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Evreux (Normandie)\GRATOT (50) - WEBER\Dossier à déposer\"/>
    </mc:Choice>
  </mc:AlternateContent>
  <xr:revisionPtr revIDLastSave="0" documentId="13_ncr:1_{B6BE8D6A-A05A-42E7-8692-4C09A4174856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DH156" i="2" l="1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CS24" i="2" l="1" a="1"/>
  <c r="CS24" i="2" s="1"/>
  <c r="CS77" i="2" a="1"/>
  <c r="CS77" i="2" s="1"/>
  <c r="CS105" i="2" a="1"/>
  <c r="CS105" i="2" s="1"/>
  <c r="CS161" i="2" a="1"/>
  <c r="CS161" i="2" s="1"/>
  <c r="CS129" i="2" a="1"/>
  <c r="CS129" i="2" s="1"/>
  <c r="CS137" i="2" a="1"/>
  <c r="CS137" i="2" s="1"/>
  <c r="CS52" i="2" a="1"/>
  <c r="CS52" i="2" s="1"/>
  <c r="CS114" i="2" a="1"/>
  <c r="CS114" i="2" s="1"/>
  <c r="CS56" i="2" a="1"/>
  <c r="CS56" i="2" s="1"/>
  <c r="CS120" i="2" a="1"/>
  <c r="CS120" i="2" s="1"/>
  <c r="CS72" i="2" a="1"/>
  <c r="CS72" i="2" s="1"/>
  <c r="CS134" i="2" a="1"/>
  <c r="CS134" i="2" s="1"/>
  <c r="CS185" i="2" a="1"/>
  <c r="CS185" i="2" s="1"/>
  <c r="CS66" i="2" a="1"/>
  <c r="CS66" i="2" s="1"/>
  <c r="CS116" i="2" a="1"/>
  <c r="CS116" i="2" s="1"/>
  <c r="CS38" i="2" a="1"/>
  <c r="CS38" i="2" s="1"/>
  <c r="BX107" i="2" a="1"/>
  <c r="BX107" i="2" s="1"/>
  <c r="BC192" i="2" a="1"/>
  <c r="BC192" i="2" s="1"/>
  <c r="BC18" i="2" a="1"/>
  <c r="BC18" i="2" s="1"/>
  <c r="BC55" i="2" a="1"/>
  <c r="BC55" i="2" s="1"/>
  <c r="BC130" i="2" a="1"/>
  <c r="BC130" i="2" s="1"/>
  <c r="BC82" i="2" a="1"/>
  <c r="BC82" i="2" s="1"/>
  <c r="BC47" i="2" a="1"/>
  <c r="BC47" i="2" s="1"/>
  <c r="BC68" i="2" a="1"/>
  <c r="BC68" i="2" s="1"/>
  <c r="BC38" i="2" a="1"/>
  <c r="BC38" i="2" s="1"/>
  <c r="BC32" i="2" a="1"/>
  <c r="BC32" i="2" s="1"/>
  <c r="BC7" i="2" a="1"/>
  <c r="BC7" i="2" s="1"/>
  <c r="BC143" i="2" a="1"/>
  <c r="BC143" i="2" s="1"/>
  <c r="BC117" i="2" a="1"/>
  <c r="BC117" i="2" s="1"/>
  <c r="BC83" i="2" a="1"/>
  <c r="BC83" i="2" s="1"/>
  <c r="BC31" i="2" a="1"/>
  <c r="BC31" i="2" s="1"/>
  <c r="BC181" i="2" a="1"/>
  <c r="BC181" i="2" s="1"/>
  <c r="BC185" i="2" a="1"/>
  <c r="BC185" i="2" s="1"/>
  <c r="BC84" i="2" a="1"/>
  <c r="BC84" i="2" s="1"/>
  <c r="BC65" i="2" a="1"/>
  <c r="BC65" i="2" s="1"/>
  <c r="BC114" i="2" a="1"/>
  <c r="BC114" i="2" s="1"/>
  <c r="BC164" i="2" a="1"/>
  <c r="BC164" i="2" s="1"/>
  <c r="BC126" i="2" a="1"/>
  <c r="BC126" i="2" s="1"/>
  <c r="BC58" i="2" a="1"/>
  <c r="BC58" i="2" s="1"/>
  <c r="BC151" i="2" a="1"/>
  <c r="BC151" i="2" s="1"/>
  <c r="BC34" i="2" a="1"/>
  <c r="BC34" i="2" s="1"/>
  <c r="AH90" i="2" a="1"/>
  <c r="AH90" i="2" s="1"/>
  <c r="AH19" i="2" a="1"/>
  <c r="AH19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M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98" i="2" l="1"/>
  <c r="CD60" i="2"/>
  <c r="CD70" i="2"/>
  <c r="CD116" i="2"/>
  <c r="CD57" i="2"/>
  <c r="CD12" i="2"/>
  <c r="CD160" i="2"/>
  <c r="CD166" i="2"/>
  <c r="CD39" i="2"/>
  <c r="CD177" i="2"/>
  <c r="CD61" i="2"/>
  <c r="CD88" i="2"/>
  <c r="CD136" i="2"/>
  <c r="CD196" i="2"/>
  <c r="CD127" i="2"/>
  <c r="CD28" i="2"/>
  <c r="CD171" i="2"/>
  <c r="CD179" i="2"/>
  <c r="CD4" i="2"/>
  <c r="CD117" i="2"/>
  <c r="CD89" i="2"/>
  <c r="CD73" i="2"/>
  <c r="CD50" i="2"/>
  <c r="CD144" i="2"/>
  <c r="CD193" i="2"/>
  <c r="CD132" i="2"/>
  <c r="CD104" i="2"/>
  <c r="CD180" i="2"/>
  <c r="CD13" i="2"/>
  <c r="CD185" i="2"/>
  <c r="CD134" i="2"/>
  <c r="CD203" i="2"/>
  <c r="CD97" i="2"/>
  <c r="CD158" i="2"/>
  <c r="CD113" i="2"/>
  <c r="CD79" i="2"/>
  <c r="CD3" i="2"/>
  <c r="C9" i="4" s="1"/>
  <c r="E9" i="4" s="1"/>
  <c r="F9" i="4" s="1"/>
  <c r="G9" i="4" s="1"/>
  <c r="L9" i="4" s="1"/>
  <c r="M9" i="4" s="1"/>
  <c r="CD145" i="2"/>
  <c r="CD44" i="2"/>
  <c r="CD123" i="2"/>
  <c r="CD80" i="2"/>
  <c r="CD84" i="2"/>
  <c r="CD133" i="2"/>
  <c r="CD198" i="2"/>
  <c r="CD202" i="2"/>
  <c r="CD195" i="2"/>
  <c r="CD130" i="2"/>
  <c r="CD46" i="2"/>
  <c r="CD186" i="2"/>
  <c r="CD137" i="2"/>
  <c r="CD56" i="2"/>
  <c r="CD102" i="2"/>
  <c r="CD24" i="2"/>
  <c r="CD149" i="2"/>
  <c r="CD54" i="2"/>
  <c r="CD5" i="2"/>
  <c r="CD45" i="2"/>
  <c r="CD91" i="2"/>
  <c r="CD63" i="2"/>
  <c r="CD33" i="2"/>
  <c r="CD27" i="2"/>
  <c r="CD188" i="2"/>
  <c r="CD15" i="2"/>
  <c r="CD175" i="2"/>
  <c r="CD43" i="2"/>
  <c r="CD157" i="2"/>
  <c r="CD53" i="2"/>
  <c r="CD42" i="2"/>
  <c r="CD187" i="2"/>
  <c r="CD90" i="2"/>
  <c r="CD103" i="2"/>
  <c r="CD147" i="2"/>
  <c r="CD83" i="2"/>
  <c r="CD16" i="2"/>
  <c r="CD20" i="2"/>
  <c r="CD67" i="2"/>
  <c r="CD121" i="2"/>
  <c r="CD11" i="2"/>
  <c r="CD146" i="2"/>
  <c r="CD192" i="2"/>
  <c r="CD161" i="2"/>
  <c r="CD87" i="2"/>
  <c r="CD71" i="2"/>
  <c r="CD18" i="2"/>
  <c r="CD75" i="2"/>
  <c r="CD52" i="2"/>
  <c r="CD181" i="2"/>
  <c r="CD93" i="2"/>
  <c r="CD131" i="2"/>
  <c r="CD86" i="2"/>
  <c r="CD153" i="2"/>
  <c r="CD68" i="2"/>
  <c r="CD170" i="2"/>
  <c r="CD17" i="2"/>
  <c r="CD21" i="2"/>
  <c r="CD112" i="2"/>
  <c r="CD122" i="2"/>
  <c r="CD6" i="2"/>
  <c r="CD152" i="2"/>
  <c r="CD36" i="2"/>
  <c r="CD30" i="2"/>
  <c r="CD189" i="2"/>
  <c r="CD167" i="2"/>
  <c r="CD163" i="2"/>
  <c r="CD184" i="2"/>
  <c r="CD190" i="2"/>
  <c r="CD14" i="2"/>
  <c r="CD96" i="2"/>
  <c r="CD114" i="2"/>
  <c r="CD151" i="2"/>
  <c r="CD95" i="2"/>
  <c r="CD194" i="2"/>
  <c r="CD66" i="2"/>
  <c r="CD31" i="2"/>
  <c r="CD100" i="2"/>
  <c r="CD108" i="2"/>
  <c r="CD174" i="2"/>
  <c r="CD201" i="2"/>
  <c r="CD176" i="2"/>
  <c r="CD165" i="2"/>
  <c r="CD85" i="2"/>
  <c r="CD26" i="2"/>
  <c r="CD9" i="2"/>
  <c r="CD129" i="2"/>
  <c r="CD32" i="2"/>
  <c r="CD19" i="2"/>
  <c r="CD178" i="2"/>
  <c r="CD81" i="2"/>
  <c r="CD110" i="2"/>
  <c r="CD51" i="2"/>
  <c r="CD159" i="2"/>
  <c r="CD154" i="2"/>
  <c r="CD62" i="2"/>
  <c r="CD35" i="2"/>
  <c r="CD118" i="2"/>
  <c r="CD135" i="2"/>
  <c r="CD164" i="2"/>
  <c r="CD140" i="2"/>
  <c r="CD25" i="2"/>
  <c r="CD23" i="2"/>
  <c r="CD150" i="2"/>
  <c r="CD49" i="2"/>
  <c r="CD126" i="2"/>
  <c r="CD182" i="2"/>
  <c r="CD197" i="2"/>
  <c r="CD69" i="2"/>
  <c r="CD77" i="2"/>
  <c r="CD168" i="2"/>
  <c r="CD139" i="2"/>
  <c r="CD7" i="2"/>
  <c r="CD48" i="2"/>
  <c r="CD128" i="2"/>
  <c r="CD55" i="2"/>
  <c r="CD72" i="2"/>
  <c r="CD37" i="2"/>
  <c r="CD183" i="2"/>
  <c r="CD94" i="2"/>
  <c r="CD8" i="2"/>
  <c r="CD191" i="2"/>
  <c r="CD155" i="2"/>
  <c r="CD119" i="2"/>
  <c r="CD169" i="2"/>
  <c r="CD82" i="2"/>
  <c r="CD143" i="2"/>
  <c r="CD162" i="2"/>
  <c r="CD34" i="2"/>
  <c r="CD106" i="2"/>
  <c r="CD59" i="2"/>
  <c r="CD115" i="2"/>
  <c r="CD172" i="2"/>
  <c r="CD200" i="2"/>
  <c r="CD142" i="2"/>
  <c r="CD111" i="2"/>
  <c r="CD64" i="2"/>
  <c r="CD58" i="2"/>
  <c r="CD138" i="2"/>
  <c r="CD29" i="2"/>
  <c r="CD65" i="2"/>
  <c r="CD107" i="2"/>
  <c r="CD99" i="2"/>
  <c r="CD38" i="2"/>
  <c r="CD78" i="2"/>
  <c r="CD101" i="2"/>
  <c r="CD105" i="2"/>
  <c r="CD156" i="2"/>
  <c r="CD109" i="2"/>
  <c r="CD10" i="2"/>
  <c r="CD76" i="2"/>
  <c r="CD120" i="2"/>
  <c r="CD199" i="2"/>
  <c r="CD125" i="2"/>
  <c r="CD92" i="2"/>
  <c r="CD40" i="2"/>
  <c r="CD41" i="2"/>
  <c r="CD173" i="2"/>
  <c r="CD124" i="2"/>
  <c r="CD47" i="2"/>
  <c r="CD141" i="2"/>
  <c r="CD148" i="2"/>
  <c r="CD22" i="2"/>
  <c r="CD74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M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<sst xmlns="http://schemas.openxmlformats.org/spreadsheetml/2006/main" count="1170" uniqueCount="324">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</sst>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2.713993017085917</c:v>
                </c:pt>
                <c:pt idx="2">
                  <c:v>3.297780094167829</c:v>
                </c:pt>
                <c:pt idx="3">
                  <c:v>4.0076148495630122</c:v>
                </c:pt>
                <c:pt idx="4">
                  <c:v>4.8708091687241364</c:v>
                </c:pt>
                <c:pt idx="5">
                  <c:v>5.9206124221209437</c:v>
                </c:pt>
                <c:pt idx="6">
                  <c:v>7.1975062064258246</c:v>
                </c:pt>
                <c:pt idx="7">
                  <c:v>8.7507822174987044</c:v>
                </c:pt>
                <c:pt idx="8">
                  <c:v>10.640465330220749</c:v>
                </c:pt>
                <c:pt idx="9">
                  <c:v>12.939657601942194</c:v>
                </c:pt>
                <c:pt idx="10">
                  <c:v>15.737395562368858</c:v>
                </c:pt>
                <c:pt idx="11">
                  <c:v>19.142133466046261</c:v>
                </c:pt>
                <c:pt idx="12">
                  <c:v>23.285989973678308</c:v>
                </c:pt>
                <c:pt idx="13">
                  <c:v>28.329925983783568</c:v>
                </c:pt>
                <c:pt idx="14">
                  <c:v>34.470058263700928</c:v>
                </c:pt>
                <c:pt idx="15">
                  <c:v>41.945358602794364</c:v>
                </c:pt>
                <c:pt idx="16">
                  <c:v>51.047043231153054</c:v>
                </c:pt>
                <c:pt idx="17">
                  <c:v>62.130024412894237</c:v>
                </c:pt>
                <c:pt idx="18">
                  <c:v>75.626878119916697</c:v>
                </c:pt>
                <c:pt idx="19">
                  <c:v>92.064881799910609</c:v>
                </c:pt>
                <c:pt idx="20">
                  <c:v>112.08679847851977</c:v>
                </c:pt>
                <c:pt idx="21">
                  <c:v>118.59205774561866</c:v>
                </c:pt>
                <c:pt idx="22">
                  <c:v>132.72117073355489</c:v>
                </c:pt>
                <c:pt idx="23">
                  <c:v>146.81397834828738</c:v>
                </c:pt>
                <c:pt idx="24">
                  <c:v>160.87445980010816</c:v>
                </c:pt>
                <c:pt idx="25">
                  <c:v>174.90584046860883</c:v>
                </c:pt>
                <c:pt idx="26">
                  <c:v>150.61714980411793</c:v>
                </c:pt>
                <c:pt idx="27">
                  <c:v>164.29006685083496</c:v>
                </c:pt>
                <c:pt idx="28">
                  <c:v>177.93609396509945</c:v>
                </c:pt>
                <c:pt idx="29">
                  <c:v>191.55758507110079</c:v>
                </c:pt>
                <c:pt idx="30">
                  <c:v>205.15653155887534</c:v>
                </c:pt>
                <c:pt idx="31">
                  <c:v>179.82938633009815</c:v>
                </c:pt>
                <c:pt idx="32">
                  <c:v>192.31365664017588</c:v>
                </c:pt>
                <c:pt idx="33">
                  <c:v>204.77907175916729</c:v>
                </c:pt>
                <c:pt idx="34">
                  <c:v>217.22694181678969</c:v>
                </c:pt>
                <c:pt idx="35">
                  <c:v>229.65841439261337</c:v>
                </c:pt>
                <c:pt idx="36">
                  <c:v>203.64659563079613</c:v>
                </c:pt>
                <c:pt idx="37">
                  <c:v>215.34198157425371</c:v>
                </c:pt>
                <c:pt idx="38">
                  <c:v>227.02275330173859</c:v>
                </c:pt>
                <c:pt idx="39">
                  <c:v>238.68976915585526</c:v>
                </c:pt>
                <c:pt idx="40">
                  <c:v>250.34379664975143</c:v>
                </c:pt>
                <c:pt idx="41">
                  <c:v>224.76305761819131</c:v>
                </c:pt>
                <c:pt idx="42">
                  <c:v>234.92767007142697</c:v>
                </c:pt>
                <c:pt idx="43">
                  <c:v>245.08225003541108</c:v>
                </c:pt>
                <c:pt idx="44">
                  <c:v>255.22727211134486</c:v>
                </c:pt>
                <c:pt idx="45">
                  <c:v>265.36317005758804</c:v>
                </c:pt>
                <c:pt idx="46">
                  <c:v>242.45051729235141</c:v>
                </c:pt>
                <c:pt idx="47">
                  <c:v>251.47094266035708</c:v>
                </c:pt>
                <c:pt idx="48">
                  <c:v>260.48403592293721</c:v>
                </c:pt>
                <c:pt idx="49">
                  <c:v>269.49008678800806</c:v>
                </c:pt>
                <c:pt idx="50">
                  <c:v>278.48936400091287</c:v>
                </c:pt>
                <c:pt idx="51">
                  <c:v>256.72945236768516</c:v>
                </c:pt>
                <c:pt idx="52">
                  <c:v>264.98792439409311</c:v>
                </c:pt>
                <c:pt idx="53">
                  <c:v>273.24059406456837</c:v>
                </c:pt>
                <c:pt idx="54">
                  <c:v>281.48766152009608</c:v>
                </c:pt>
                <c:pt idx="55">
                  <c:v>289.72931420493563</c:v>
                </c:pt>
                <c:pt idx="56">
                  <c:v>270.61536157537017</c:v>
                </c:pt>
                <c:pt idx="57">
                  <c:v>277.73967673325734</c:v>
                </c:pt>
                <c:pt idx="58">
                  <c:v>284.85989094555805</c:v>
                </c:pt>
                <c:pt idx="59">
                  <c:v>291.97612129761052</c:v>
                </c:pt>
                <c:pt idx="60">
                  <c:v>299.0884786949544</c:v>
                </c:pt>
                <c:pt idx="61">
                  <c:v>281.11291365958624</c:v>
                </c:pt>
                <c:pt idx="62">
                  <c:v>287.48211750444835</c:v>
                </c:pt>
                <c:pt idx="63">
                  <c:v>293.84816539917824</c:v>
                </c:pt>
                <c:pt idx="64">
                  <c:v>300.21113544922065</c:v>
                </c:pt>
                <c:pt idx="65">
                  <c:v>306.5711021747656</c:v>
                </c:pt>
                <c:pt idx="66">
                  <c:v>291.22722867703203</c:v>
                </c:pt>
                <c:pt idx="67">
                  <c:v>296.46858031425933</c:v>
                </c:pt>
                <c:pt idx="68">
                  <c:v>301.70786571384616</c:v>
                </c:pt>
                <c:pt idx="69">
                  <c:v>306.94512587259879</c:v>
                </c:pt>
                <c:pt idx="70">
                  <c:v>312.18040027213129</c:v>
                </c:pt>
                <c:pt idx="71">
                  <c:v>298.33998870460488</c:v>
                </c:pt>
                <c:pt idx="72">
                  <c:v>303.20443066215006</c:v>
                </c:pt>
                <c:pt idx="73">
                  <c:v>308.06713623755655</c:v>
                </c:pt>
                <c:pt idx="74">
                  <c:v>312.92813674795354</c:v>
                </c:pt>
                <c:pt idx="75">
                  <c:v>317.78746245668077</c:v>
                </c:pt>
                <c:pt idx="76">
                  <c:v>305.0749057919158</c:v>
                </c:pt>
                <c:pt idx="77">
                  <c:v>309.18905580466139</c:v>
                </c:pt>
                <c:pt idx="78">
                  <c:v>313.30199011471836</c:v>
                </c:pt>
                <c:pt idx="79">
                  <c:v>317.41372695991305</c:v>
                </c:pt>
                <c:pt idx="80">
                  <c:v>321.52428406625825</c:v>
                </c:pt>
                <c:pt idx="81">
                  <c:v>310.31088495066126</c:v>
                </c:pt>
                <c:pt idx="82">
                  <c:v>314.04966717357382</c:v>
                </c:pt>
                <c:pt idx="83">
                  <c:v>317.78746245668066</c:v>
                </c:pt>
                <c:pt idx="84">
                  <c:v>321.52428406625825</c:v>
                </c:pt>
                <c:pt idx="85">
                  <c:v>325.26014493454369</c:v>
                </c:pt>
                <c:pt idx="86">
                  <c:v>315.17110877697866</c:v>
                </c:pt>
                <c:pt idx="87">
                  <c:v>318.16118821698859</c:v>
                </c:pt>
                <c:pt idx="88">
                  <c:v>321.15064534947913</c:v>
                </c:pt>
                <c:pt idx="89">
                  <c:v>324.13948679547377</c:v>
                </c:pt>
                <c:pt idx="90">
                  <c:v>327.12771904371129</c:v>
                </c:pt>
                <c:pt idx="91">
                  <c:v>3.9806453659427267E-12</c:v>
                </c:pt>
                <c:pt idx="92">
                  <c:v>3.9806453659427267E-12</c:v>
                </c:pt>
                <c:pt idx="93">
                  <c:v>3.9806453659427267E-12</c:v>
                </c:pt>
                <c:pt idx="94">
                  <c:v>3.9806453659427267E-12</c:v>
                </c:pt>
                <c:pt idx="95">
                  <c:v>3.9806453659427267E-12</c:v>
                </c:pt>
                <c:pt idx="96">
                  <c:v>3.9806453659427267E-12</c:v>
                </c:pt>
                <c:pt idx="97">
                  <c:v>3.9806453659427267E-12</c:v>
                </c:pt>
                <c:pt idx="98">
                  <c:v>3.9806453659427267E-12</c:v>
                </c:pt>
                <c:pt idx="99">
                  <c:v>3.9806453659427267E-12</c:v>
                </c:pt>
                <c:pt idx="100">
                  <c:v>3.9806453659427267E-12</c:v>
                </c:pt>
                <c:pt idx="101">
                  <c:v>3.9806453659427267E-12</c:v>
                </c:pt>
                <c:pt idx="102">
                  <c:v>3.9806453659427267E-12</c:v>
                </c:pt>
                <c:pt idx="103">
                  <c:v>3.9806453659427267E-12</c:v>
                </c:pt>
                <c:pt idx="104">
                  <c:v>3.9806453659427267E-12</c:v>
                </c:pt>
                <c:pt idx="105">
                  <c:v>3.9806453659427267E-12</c:v>
                </c:pt>
                <c:pt idx="106">
                  <c:v>3.9806453659427267E-12</c:v>
                </c:pt>
                <c:pt idx="107">
                  <c:v>3.9806453659427267E-12</c:v>
                </c:pt>
                <c:pt idx="108">
                  <c:v>3.9806453659427267E-12</c:v>
                </c:pt>
                <c:pt idx="109">
                  <c:v>3.9806453659427267E-12</c:v>
                </c:pt>
                <c:pt idx="110">
                  <c:v>3.9806453659427267E-12</c:v>
                </c:pt>
                <c:pt idx="111">
                  <c:v>3.9806453659427267E-12</c:v>
                </c:pt>
                <c:pt idx="112">
                  <c:v>3.9806453659427267E-12</c:v>
                </c:pt>
                <c:pt idx="113">
                  <c:v>3.9806453659427267E-12</c:v>
                </c:pt>
                <c:pt idx="114">
                  <c:v>3.9806453659427267E-12</c:v>
                </c:pt>
                <c:pt idx="115">
                  <c:v>3.9806453659427267E-12</c:v>
                </c:pt>
                <c:pt idx="116">
                  <c:v>3.9806453659427267E-12</c:v>
                </c:pt>
                <c:pt idx="117">
                  <c:v>3.9806453659427267E-12</c:v>
                </c:pt>
                <c:pt idx="118">
                  <c:v>3.9806453659427267E-12</c:v>
                </c:pt>
                <c:pt idx="119">
                  <c:v>3.9806453659427267E-12</c:v>
                </c:pt>
                <c:pt idx="120">
                  <c:v>3.9806453659427267E-12</c:v>
                </c:pt>
                <c:pt idx="121">
                  <c:v>3.9806453659427267E-12</c:v>
                </c:pt>
                <c:pt idx="122">
                  <c:v>3.9806453659427267E-12</c:v>
                </c:pt>
                <c:pt idx="123">
                  <c:v>3.9806453659427267E-12</c:v>
                </c:pt>
                <c:pt idx="124">
                  <c:v>3.9806453659427267E-12</c:v>
                </c:pt>
                <c:pt idx="125">
                  <c:v>3.9806453659427267E-12</c:v>
                </c:pt>
                <c:pt idx="126">
                  <c:v>3.9806453659427267E-12</c:v>
                </c:pt>
                <c:pt idx="127">
                  <c:v>3.9806453659427267E-12</c:v>
                </c:pt>
                <c:pt idx="128">
                  <c:v>3.9806453659427267E-12</c:v>
                </c:pt>
                <c:pt idx="129">
                  <c:v>3.9806453659427267E-12</c:v>
                </c:pt>
                <c:pt idx="130">
                  <c:v>3.9806453659427267E-12</c:v>
                </c:pt>
                <c:pt idx="131">
                  <c:v>3.9806453659427267E-12</c:v>
                </c:pt>
                <c:pt idx="132">
                  <c:v>3.9806453659427267E-12</c:v>
                </c:pt>
                <c:pt idx="133">
                  <c:v>3.9806453659427267E-12</c:v>
                </c:pt>
                <c:pt idx="134">
                  <c:v>3.9806453659427267E-12</c:v>
                </c:pt>
                <c:pt idx="135">
                  <c:v>3.9806453659427267E-12</c:v>
                </c:pt>
                <c:pt idx="136">
                  <c:v>3.9806453659427267E-12</c:v>
                </c:pt>
                <c:pt idx="137">
                  <c:v>3.9806453659427267E-12</c:v>
                </c:pt>
                <c:pt idx="138">
                  <c:v>3.9806453659427267E-12</c:v>
                </c:pt>
                <c:pt idx="139">
                  <c:v>3.9806453659427267E-12</c:v>
                </c:pt>
                <c:pt idx="140">
                  <c:v>3.9806453659427267E-12</c:v>
                </c:pt>
                <c:pt idx="141">
                  <c:v>3.9806453659427267E-12</c:v>
                </c:pt>
                <c:pt idx="142">
                  <c:v>3.9806453659427267E-12</c:v>
                </c:pt>
                <c:pt idx="143">
                  <c:v>3.9806453659427267E-12</c:v>
                </c:pt>
                <c:pt idx="144">
                  <c:v>3.9806453659427267E-12</c:v>
                </c:pt>
                <c:pt idx="145">
                  <c:v>3.9806453659427267E-12</c:v>
                </c:pt>
                <c:pt idx="146">
                  <c:v>3.9806453659427267E-12</c:v>
                </c:pt>
                <c:pt idx="147">
                  <c:v>3.9806453659427267E-12</c:v>
                </c:pt>
                <c:pt idx="148">
                  <c:v>3.9806453659427267E-12</c:v>
                </c:pt>
                <c:pt idx="149">
                  <c:v>3.9806453659427267E-12</c:v>
                </c:pt>
                <c:pt idx="150">
                  <c:v>3.9806453659427267E-12</c:v>
                </c:pt>
                <c:pt idx="151">
                  <c:v>3.9806453659427267E-12</c:v>
                </c:pt>
                <c:pt idx="152">
                  <c:v>3.9806453659427267E-12</c:v>
                </c:pt>
                <c:pt idx="153">
                  <c:v>3.9806453659427267E-12</c:v>
                </c:pt>
                <c:pt idx="154">
                  <c:v>3.9806453659427267E-12</c:v>
                </c:pt>
                <c:pt idx="155">
                  <c:v>3.9806453659427267E-12</c:v>
                </c:pt>
                <c:pt idx="156">
                  <c:v>3.9806453659427267E-12</c:v>
                </c:pt>
                <c:pt idx="157">
                  <c:v>3.9806453659427267E-12</c:v>
                </c:pt>
                <c:pt idx="158">
                  <c:v>3.9806453659427267E-12</c:v>
                </c:pt>
                <c:pt idx="159">
                  <c:v>3.9806453659427267E-12</c:v>
                </c:pt>
                <c:pt idx="160">
                  <c:v>3.9806453659427267E-12</c:v>
                </c:pt>
                <c:pt idx="161">
                  <c:v>3.9806453659427267E-12</c:v>
                </c:pt>
                <c:pt idx="162">
                  <c:v>3.9806453659427267E-12</c:v>
                </c:pt>
                <c:pt idx="163">
                  <c:v>3.9806453659427267E-12</c:v>
                </c:pt>
                <c:pt idx="164">
                  <c:v>3.9806453659427267E-12</c:v>
                </c:pt>
                <c:pt idx="165">
                  <c:v>3.9806453659427267E-12</c:v>
                </c:pt>
                <c:pt idx="166">
                  <c:v>3.9806453659427267E-12</c:v>
                </c:pt>
                <c:pt idx="167">
                  <c:v>3.9806453659427267E-12</c:v>
                </c:pt>
                <c:pt idx="168">
                  <c:v>3.9806453659427267E-12</c:v>
                </c:pt>
                <c:pt idx="169">
                  <c:v>3.9806453659427267E-12</c:v>
                </c:pt>
                <c:pt idx="170">
                  <c:v>3.9806453659427267E-12</c:v>
                </c:pt>
                <c:pt idx="171">
                  <c:v>3.9806453659427267E-12</c:v>
                </c:pt>
                <c:pt idx="172">
                  <c:v>3.9806453659427267E-12</c:v>
                </c:pt>
                <c:pt idx="173">
                  <c:v>3.9806453659427267E-12</c:v>
                </c:pt>
                <c:pt idx="174">
                  <c:v>3.9806453659427267E-12</c:v>
                </c:pt>
                <c:pt idx="175">
                  <c:v>3.9806453659427267E-12</c:v>
                </c:pt>
                <c:pt idx="176">
                  <c:v>3.9806453659427267E-12</c:v>
                </c:pt>
                <c:pt idx="177">
                  <c:v>3.9806453659427267E-12</c:v>
                </c:pt>
                <c:pt idx="178">
                  <c:v>3.9806453659427267E-12</c:v>
                </c:pt>
                <c:pt idx="179">
                  <c:v>3.9806453659427267E-12</c:v>
                </c:pt>
                <c:pt idx="180">
                  <c:v>3.9806453659427267E-12</c:v>
                </c:pt>
                <c:pt idx="181">
                  <c:v>3.9806453659427267E-12</c:v>
                </c:pt>
                <c:pt idx="182">
                  <c:v>3.9806453659427267E-12</c:v>
                </c:pt>
                <c:pt idx="183">
                  <c:v>3.9806453659427267E-12</c:v>
                </c:pt>
                <c:pt idx="184">
                  <c:v>3.9806453659427267E-12</c:v>
                </c:pt>
                <c:pt idx="185">
                  <c:v>3.9806453659427267E-12</c:v>
                </c:pt>
                <c:pt idx="186">
                  <c:v>3.9806453659427267E-12</c:v>
                </c:pt>
                <c:pt idx="187">
                  <c:v>3.9806453659427267E-12</c:v>
                </c:pt>
                <c:pt idx="188">
                  <c:v>3.9806453659427267E-12</c:v>
                </c:pt>
                <c:pt idx="189">
                  <c:v>3.9806453659427267E-12</c:v>
                </c:pt>
                <c:pt idx="190">
                  <c:v>3.9806453659427267E-12</c:v>
                </c:pt>
                <c:pt idx="191">
                  <c:v>3.9806453659427267E-12</c:v>
                </c:pt>
                <c:pt idx="192">
                  <c:v>3.9806453659427267E-12</c:v>
                </c:pt>
                <c:pt idx="193">
                  <c:v>3.9806453659427267E-12</c:v>
                </c:pt>
                <c:pt idx="194">
                  <c:v>3.9806453659427267E-12</c:v>
                </c:pt>
                <c:pt idx="195">
                  <c:v>3.9806453659427267E-12</c:v>
                </c:pt>
                <c:pt idx="196">
                  <c:v>3.9806453659427267E-12</c:v>
                </c:pt>
                <c:pt idx="197">
                  <c:v>3.9806453659427267E-12</c:v>
                </c:pt>
                <c:pt idx="198">
                  <c:v>3.9806453659427267E-12</c:v>
                </c:pt>
                <c:pt idx="199">
                  <c:v>3.9806453659427267E-12</c:v>
                </c:pt>
                <c:pt idx="200">
                  <c:v>3.9806453659427267E-12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2.5056460090303925</c:v>
                </c:pt>
                <c:pt idx="2">
                  <c:v>3.327732738846354</c:v>
                </c:pt>
                <c:pt idx="3">
                  <c:v>4.4206485604712045</c:v>
                </c:pt>
                <c:pt idx="4">
                  <c:v>5.8739591407388465</c:v>
                </c:pt>
                <c:pt idx="5">
                  <c:v>7.8069564008888577</c:v>
                </c:pt>
                <c:pt idx="6">
                  <c:v>10.378557094398952</c:v>
                </c:pt>
                <c:pt idx="7">
                  <c:v>13.800507525415135</c:v>
                </c:pt>
                <c:pt idx="8">
                  <c:v>18.355001719973249</c:v>
                </c:pt>
                <c:pt idx="9">
                  <c:v>24.418192160645134</c:v>
                </c:pt>
                <c:pt idx="10">
                  <c:v>32.491569113944941</c:v>
                </c:pt>
                <c:pt idx="11">
                  <c:v>44.716696017915012</c:v>
                </c:pt>
                <c:pt idx="12">
                  <c:v>68.267356266852531</c:v>
                </c:pt>
                <c:pt idx="13">
                  <c:v>91.605526277825675</c:v>
                </c:pt>
                <c:pt idx="14">
                  <c:v>114.79386073387417</c:v>
                </c:pt>
                <c:pt idx="15">
                  <c:v>137.86711899238378</c:v>
                </c:pt>
                <c:pt idx="16">
                  <c:v>96.447363572255242</c:v>
                </c:pt>
                <c:pt idx="17">
                  <c:v>122.49645924610256</c:v>
                </c:pt>
                <c:pt idx="18">
                  <c:v>148.41023510355402</c:v>
                </c:pt>
                <c:pt idx="19">
                  <c:v>174.21574506160064</c:v>
                </c:pt>
                <c:pt idx="20">
                  <c:v>199.93131520555619</c:v>
                </c:pt>
                <c:pt idx="21">
                  <c:v>159.89147845501216</c:v>
                </c:pt>
                <c:pt idx="22">
                  <c:v>186.6076360513151</c:v>
                </c:pt>
                <c:pt idx="23">
                  <c:v>213.23441535885948</c:v>
                </c:pt>
                <c:pt idx="24">
                  <c:v>239.78455379251184</c:v>
                </c:pt>
                <c:pt idx="25">
                  <c:v>266.26773098057953</c:v>
                </c:pt>
                <c:pt idx="26">
                  <c:v>225.88624492093732</c:v>
                </c:pt>
                <c:pt idx="27">
                  <c:v>251.77283729785236</c:v>
                </c:pt>
                <c:pt idx="28">
                  <c:v>277.59910531675155</c:v>
                </c:pt>
                <c:pt idx="29">
                  <c:v>303.37144778612094</c:v>
                </c:pt>
                <c:pt idx="30">
                  <c:v>329.09508705409212</c:v>
                </c:pt>
                <c:pt idx="31">
                  <c:v>287.03396888617937</c:v>
                </c:pt>
                <c:pt idx="32">
                  <c:v>310.90515078463847</c:v>
                </c:pt>
                <c:pt idx="33">
                  <c:v>334.73566468440248</c:v>
                </c:pt>
                <c:pt idx="34">
                  <c:v>358.52881092769786</c:v>
                </c:pt>
                <c:pt idx="35">
                  <c:v>382.28741618096228</c:v>
                </c:pt>
                <c:pt idx="36">
                  <c:v>337.24191352703082</c:v>
                </c:pt>
                <c:pt idx="37">
                  <c:v>357.90312952366207</c:v>
                </c:pt>
                <c:pt idx="38">
                  <c:v>378.53824995849158</c:v>
                </c:pt>
                <c:pt idx="39">
                  <c:v>399.14889663922986</c:v>
                </c:pt>
                <c:pt idx="40">
                  <c:v>419.73651029301618</c:v>
                </c:pt>
                <c:pt idx="41">
                  <c:v>375.10080417289322</c:v>
                </c:pt>
                <c:pt idx="42">
                  <c:v>392.90574133229569</c:v>
                </c:pt>
                <c:pt idx="43">
                  <c:v>410.69318870493333</c:v>
                </c:pt>
                <c:pt idx="44">
                  <c:v>428.46401008226007</c:v>
                </c:pt>
                <c:pt idx="45">
                  <c:v>446.21899178570357</c:v>
                </c:pt>
                <c:pt idx="46">
                  <c:v>420.98353332932442</c:v>
                </c:pt>
                <c:pt idx="47">
                  <c:v>436.25318896943855</c:v>
                </c:pt>
                <c:pt idx="48">
                  <c:v>451.51137887574367</c:v>
                </c:pt>
                <c:pt idx="49">
                  <c:v>466.75854497480481</c:v>
                </c:pt>
                <c:pt idx="50">
                  <c:v>481.99509797473166</c:v>
                </c:pt>
                <c:pt idx="51">
                  <c:v>462.4033121825118</c:v>
                </c:pt>
                <c:pt idx="52">
                  <c:v>475.46642110106609</c:v>
                </c:pt>
                <c:pt idx="53">
                  <c:v>488.5218960991653</c:v>
                </c:pt>
                <c:pt idx="54">
                  <c:v>501.5699699024297</c:v>
                </c:pt>
                <c:pt idx="55">
                  <c:v>514.61086214265526</c:v>
                </c:pt>
                <c:pt idx="56">
                  <c:v>498.15332008482136</c:v>
                </c:pt>
                <c:pt idx="57">
                  <c:v>509.64373653602433</c:v>
                </c:pt>
                <c:pt idx="58">
                  <c:v>521.12868049361134</c:v>
                </c:pt>
                <c:pt idx="59">
                  <c:v>532.60828955263503</c:v>
                </c:pt>
                <c:pt idx="60">
                  <c:v>544.08269489370571</c:v>
                </c:pt>
                <c:pt idx="61">
                  <c:v>527.02427283891677</c:v>
                </c:pt>
                <c:pt idx="62">
                  <c:v>536.330282305266</c:v>
                </c:pt>
                <c:pt idx="63">
                  <c:v>545.63289799541383</c:v>
                </c:pt>
                <c:pt idx="64">
                  <c:v>554.9321859329965</c:v>
                </c:pt>
                <c:pt idx="65">
                  <c:v>564.22820974827573</c:v>
                </c:pt>
                <c:pt idx="66">
                  <c:v>547.4930197333249</c:v>
                </c:pt>
                <c:pt idx="67">
                  <c:v>555.55202171385451</c:v>
                </c:pt>
                <c:pt idx="68">
                  <c:v>563.60857513569988</c:v>
                </c:pt>
                <c:pt idx="69">
                  <c:v>571.66271994120405</c:v>
                </c:pt>
                <c:pt idx="70">
                  <c:v>579.71449485526693</c:v>
                </c:pt>
                <c:pt idx="71">
                  <c:v>563.9183942223159</c:v>
                </c:pt>
                <c:pt idx="72">
                  <c:v>571.35298920709954</c:v>
                </c:pt>
                <c:pt idx="73">
                  <c:v>578.78556363786606</c:v>
                </c:pt>
                <c:pt idx="74">
                  <c:v>586.21614712582311</c:v>
                </c:pt>
                <c:pt idx="75">
                  <c:v>593.64476847015783</c:v>
                </c:pt>
                <c:pt idx="76">
                  <c:v>578.47591298878478</c:v>
                </c:pt>
                <c:pt idx="77">
                  <c:v>584.97785357240684</c:v>
                </c:pt>
                <c:pt idx="78">
                  <c:v>591.47828826876241</c:v>
                </c:pt>
                <c:pt idx="79">
                  <c:v>597.97723596598223</c:v>
                </c:pt>
                <c:pt idx="80">
                  <c:v>604.47471510805701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1.9458984953353149</c:v>
                </c:pt>
                <c:pt idx="2">
                  <c:v>2.6054737754654309</c:v>
                </c:pt>
                <c:pt idx="3">
                  <c:v>3.4895535432456906</c:v>
                </c:pt>
                <c:pt idx="4">
                  <c:v>4.6748547119905464</c:v>
                </c:pt>
                <c:pt idx="5">
                  <c:v>6.2644057123905768</c:v>
                </c:pt>
                <c:pt idx="6">
                  <c:v>8.3966011035592718</c:v>
                </c:pt>
                <c:pt idx="7">
                  <c:v>11.25738185406979</c:v>
                </c:pt>
                <c:pt idx="8">
                  <c:v>15.096623345216566</c:v>
                </c:pt>
                <c:pt idx="9">
                  <c:v>20.250188701844856</c:v>
                </c:pt>
                <c:pt idx="10">
                  <c:v>27.169611257589576</c:v>
                </c:pt>
                <c:pt idx="11">
                  <c:v>36.46205235661585</c:v>
                </c:pt>
                <c:pt idx="12">
                  <c:v>48.944100735616622</c:v>
                </c:pt>
                <c:pt idx="13">
                  <c:v>65.714220342954093</c:v>
                </c:pt>
                <c:pt idx="14">
                  <c:v>88.250326548793154</c:v>
                </c:pt>
                <c:pt idx="15">
                  <c:v>118.54122732930301</c:v>
                </c:pt>
                <c:pt idx="16">
                  <c:v>159.2637100609285</c:v>
                </c:pt>
                <c:pt idx="17">
                  <c:v>214.02116128588668</c:v>
                </c:pt>
                <c:pt idx="18">
                  <c:v>248.94588617368973</c:v>
                </c:pt>
                <c:pt idx="19">
                  <c:v>186.22934307037499</c:v>
                </c:pt>
                <c:pt idx="20">
                  <c:v>219.14713867217384</c:v>
                </c:pt>
                <c:pt idx="21">
                  <c:v>251.95117490315215</c:v>
                </c:pt>
                <c:pt idx="22">
                  <c:v>284.65835187261939</c:v>
                </c:pt>
                <c:pt idx="23">
                  <c:v>317.28135996753446</c:v>
                </c:pt>
                <c:pt idx="24">
                  <c:v>353.11098821334605</c:v>
                </c:pt>
                <c:pt idx="25">
                  <c:v>325.0516956495191</c:v>
                </c:pt>
                <c:pt idx="26">
                  <c:v>357.8820511873505</c:v>
                </c:pt>
                <c:pt idx="27">
                  <c:v>391.83677372448545</c:v>
                </c:pt>
                <c:pt idx="28">
                  <c:v>425.72768674484365</c:v>
                </c:pt>
                <c:pt idx="29">
                  <c:v>461.93276684310149</c:v>
                </c:pt>
                <c:pt idx="30">
                  <c:v>498.07731547495428</c:v>
                </c:pt>
                <c:pt idx="31">
                  <c:v>434.04269392480802</c:v>
                </c:pt>
                <c:pt idx="32">
                  <c:v>466.08347466593324</c:v>
                </c:pt>
                <c:pt idx="33">
                  <c:v>500.4454598454069</c:v>
                </c:pt>
                <c:pt idx="34">
                  <c:v>534.75752089257196</c:v>
                </c:pt>
                <c:pt idx="35">
                  <c:v>569.61370903889349</c:v>
                </c:pt>
                <c:pt idx="36">
                  <c:v>604.42534765808989</c:v>
                </c:pt>
                <c:pt idx="37">
                  <c:v>535.34869260736878</c:v>
                </c:pt>
                <c:pt idx="38">
                  <c:v>567.84246187417853</c:v>
                </c:pt>
                <c:pt idx="39">
                  <c:v>600.88712848882722</c:v>
                </c:pt>
                <c:pt idx="40">
                  <c:v>633.89404321407949</c:v>
                </c:pt>
                <c:pt idx="41">
                  <c:v>668.04236380157397</c:v>
                </c:pt>
                <c:pt idx="42">
                  <c:v>702.15480542830119</c:v>
                </c:pt>
                <c:pt idx="43">
                  <c:v>626.23496667099357</c:v>
                </c:pt>
                <c:pt idx="44">
                  <c:v>657.44854745472787</c:v>
                </c:pt>
                <c:pt idx="45">
                  <c:v>689.21969608625716</c:v>
                </c:pt>
                <c:pt idx="46">
                  <c:v>720.96083564509354</c:v>
                </c:pt>
                <c:pt idx="47">
                  <c:v>753.26048190247093</c:v>
                </c:pt>
                <c:pt idx="48">
                  <c:v>785.53200185876494</c:v>
                </c:pt>
                <c:pt idx="49">
                  <c:v>696.27582074058864</c:v>
                </c:pt>
                <c:pt idx="50">
                  <c:v>725.66076798010135</c:v>
                </c:pt>
                <c:pt idx="51">
                  <c:v>756.19539804826309</c:v>
                </c:pt>
                <c:pt idx="52">
                  <c:v>786.7049988860299</c:v>
                </c:pt>
                <c:pt idx="53">
                  <c:v>817.1906760148089</c:v>
                </c:pt>
                <c:pt idx="54">
                  <c:v>847.65344588994014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2.6519655211592874</c:v>
                </c:pt>
                <c:pt idx="2">
                  <c:v>3.2610223314459752</c:v>
                </c:pt>
                <c:pt idx="3">
                  <c:v>4.0104905158163051</c:v>
                </c:pt>
                <c:pt idx="4">
                  <c:v>4.9328564726428068</c:v>
                </c:pt>
                <c:pt idx="5">
                  <c:v>6.068147991440398</c:v>
                </c:pt>
                <c:pt idx="6">
                  <c:v>7.4656903389318279</c:v>
                </c:pt>
                <c:pt idx="7">
                  <c:v>9.1862724344194735</c:v>
                </c:pt>
                <c:pt idx="8">
                  <c:v>11.304819130811806</c:v>
                </c:pt>
                <c:pt idx="9">
                  <c:v>13.913688152008866</c:v>
                </c:pt>
                <c:pt idx="10">
                  <c:v>17.126738071781514</c:v>
                </c:pt>
                <c:pt idx="11">
                  <c:v>21.084348102790369</c:v>
                </c:pt>
                <c:pt idx="12">
                  <c:v>25.959612940843225</c:v>
                </c:pt>
                <c:pt idx="13">
                  <c:v>31.965988387315338</c:v>
                </c:pt>
                <c:pt idx="14">
                  <c:v>39.366728311080898</c:v>
                </c:pt>
                <c:pt idx="15">
                  <c:v>48.486533626988098</c:v>
                </c:pt>
                <c:pt idx="16">
                  <c:v>59.725932966858835</c:v>
                </c:pt>
                <c:pt idx="17">
                  <c:v>73.579037059713301</c:v>
                </c:pt>
                <c:pt idx="18">
                  <c:v>90.655460033245092</c:v>
                </c:pt>
                <c:pt idx="19">
                  <c:v>111.70738771533587</c:v>
                </c:pt>
                <c:pt idx="20">
                  <c:v>137.66300398229683</c:v>
                </c:pt>
                <c:pt idx="21">
                  <c:v>139.86706331239944</c:v>
                </c:pt>
                <c:pt idx="22">
                  <c:v>153.07440627470763</c:v>
                </c:pt>
                <c:pt idx="23">
                  <c:v>166.25463305956598</c:v>
                </c:pt>
                <c:pt idx="24">
                  <c:v>179.41019776275084</c:v>
                </c:pt>
                <c:pt idx="25">
                  <c:v>192.54316466070134</c:v>
                </c:pt>
                <c:pt idx="26">
                  <c:v>158.20312733333313</c:v>
                </c:pt>
                <c:pt idx="27">
                  <c:v>175.02761536134474</c:v>
                </c:pt>
                <c:pt idx="28">
                  <c:v>191.81411712876402</c:v>
                </c:pt>
                <c:pt idx="29">
                  <c:v>208.56642615430928</c:v>
                </c:pt>
                <c:pt idx="30">
                  <c:v>225.28767604319731</c:v>
                </c:pt>
                <c:pt idx="31">
                  <c:v>194.0010672384883</c:v>
                </c:pt>
                <c:pt idx="32">
                  <c:v>213.65866040016559</c:v>
                </c:pt>
                <c:pt idx="33">
                  <c:v>233.27460027305116</c:v>
                </c:pt>
                <c:pt idx="34">
                  <c:v>252.85288210026226</c:v>
                </c:pt>
                <c:pt idx="35">
                  <c:v>272.39683147829243</c:v>
                </c:pt>
                <c:pt idx="36">
                  <c:v>241.9804968286094</c:v>
                </c:pt>
                <c:pt idx="37">
                  <c:v>262.26703366253628</c:v>
                </c:pt>
                <c:pt idx="38">
                  <c:v>282.51816051208363</c:v>
                </c:pt>
                <c:pt idx="39">
                  <c:v>302.73677181781744</c:v>
                </c:pt>
                <c:pt idx="40">
                  <c:v>322.92534379451826</c:v>
                </c:pt>
                <c:pt idx="41">
                  <c:v>292.99240696074895</c:v>
                </c:pt>
                <c:pt idx="42">
                  <c:v>313.55567069110168</c:v>
                </c:pt>
                <c:pt idx="43">
                  <c:v>334.08903883375007</c:v>
                </c:pt>
                <c:pt idx="44">
                  <c:v>354.59460634776502</c:v>
                </c:pt>
                <c:pt idx="45">
                  <c:v>375.07420618051674</c:v>
                </c:pt>
                <c:pt idx="46">
                  <c:v>344.52504925832596</c:v>
                </c:pt>
                <c:pt idx="47">
                  <c:v>364.29860280650678</c:v>
                </c:pt>
                <c:pt idx="48">
                  <c:v>384.04871588248369</c:v>
                </c:pt>
                <c:pt idx="49">
                  <c:v>403.77676289014676</c:v>
                </c:pt>
                <c:pt idx="50">
                  <c:v>423.48397302905886</c:v>
                </c:pt>
                <c:pt idx="51">
                  <c:v>391.58377731754803</c:v>
                </c:pt>
                <c:pt idx="52">
                  <c:v>409.870253510586</c:v>
                </c:pt>
                <c:pt idx="53">
                  <c:v>428.1391190250547</c:v>
                </c:pt>
                <c:pt idx="54">
                  <c:v>446.39123070522641</c:v>
                </c:pt>
                <c:pt idx="55">
                  <c:v>464.62736964269283</c:v>
                </c:pt>
                <c:pt idx="56">
                  <c:v>431.36127413252484</c:v>
                </c:pt>
                <c:pt idx="57">
                  <c:v>448.1797816290819</c:v>
                </c:pt>
                <c:pt idx="58">
                  <c:v>464.98478623960131</c:v>
                </c:pt>
                <c:pt idx="59">
                  <c:v>481.77684446495124</c:v>
                </c:pt>
                <c:pt idx="60">
                  <c:v>498.55647086626527</c:v>
                </c:pt>
                <c:pt idx="61">
                  <c:v>464.2699471814667</c:v>
                </c:pt>
                <c:pt idx="62">
                  <c:v>479.99105490653511</c:v>
                </c:pt>
                <c:pt idx="63">
                  <c:v>495.70122118881324</c:v>
                </c:pt>
                <c:pt idx="64">
                  <c:v>511.40084148822439</c:v>
                </c:pt>
                <c:pt idx="65">
                  <c:v>527.09028501417208</c:v>
                </c:pt>
                <c:pt idx="66">
                  <c:v>491.77468328265195</c:v>
                </c:pt>
                <c:pt idx="67">
                  <c:v>506.40662874127952</c:v>
                </c:pt>
                <c:pt idx="68">
                  <c:v>521.02963842518272</c:v>
                </c:pt>
                <c:pt idx="69">
                  <c:v>535.64399835878714</c:v>
                </c:pt>
                <c:pt idx="70">
                  <c:v>550.24997769212484</c:v>
                </c:pt>
                <c:pt idx="71">
                  <c:v>513.89756085284455</c:v>
                </c:pt>
                <c:pt idx="72">
                  <c:v>527.44674775244675</c:v>
                </c:pt>
                <c:pt idx="73">
                  <c:v>540.9886077852442</c:v>
                </c:pt>
                <c:pt idx="74">
                  <c:v>554.52335013925483</c:v>
                </c:pt>
                <c:pt idx="75">
                  <c:v>568.05117296149115</c:v>
                </c:pt>
                <c:pt idx="76">
                  <c:v>531.01109674664542</c:v>
                </c:pt>
                <c:pt idx="77">
                  <c:v>543.83861192085692</c:v>
                </c:pt>
                <c:pt idx="78">
                  <c:v>556.65977724898164</c:v>
                </c:pt>
                <c:pt idx="79">
                  <c:v>569.4747595509881</c:v>
                </c:pt>
                <c:pt idx="80">
                  <c:v>582.28371752891621</c:v>
                </c:pt>
                <c:pt idx="81">
                  <c:v>544.55106389111097</c:v>
                </c:pt>
                <c:pt idx="82">
                  <c:v>556.65977724898164</c:v>
                </c:pt>
                <c:pt idx="83">
                  <c:v>568.76297556535803</c:v>
                </c:pt>
                <c:pt idx="84">
                  <c:v>580.86079271099538</c:v>
                </c:pt>
                <c:pt idx="85">
                  <c:v>592.95335652703079</c:v>
                </c:pt>
                <c:pt idx="86">
                  <c:v>554.52335013925483</c:v>
                </c:pt>
                <c:pt idx="87">
                  <c:v>565.91565317360812</c:v>
                </c:pt>
                <c:pt idx="88">
                  <c:v>577.3031621395595</c:v>
                </c:pt>
                <c:pt idx="89">
                  <c:v>588.68598491201885</c:v>
                </c:pt>
                <c:pt idx="90">
                  <c:v>600.06422485487678</c:v>
                </c:pt>
                <c:pt idx="91">
                  <c:v>560.93211702073938</c:v>
                </c:pt>
                <c:pt idx="92">
                  <c:v>571.61000006387746</c:v>
                </c:pt>
                <c:pt idx="93">
                  <c:v>582.2837175289161</c:v>
                </c:pt>
                <c:pt idx="94">
                  <c:v>592.95335652703068</c:v>
                </c:pt>
                <c:pt idx="95">
                  <c:v>603.61900077928863</c:v>
                </c:pt>
                <c:pt idx="96">
                  <c:v>564.13592464467149</c:v>
                </c:pt>
                <c:pt idx="97">
                  <c:v>574.45672836329322</c:v>
                </c:pt>
                <c:pt idx="98">
                  <c:v>584.77366162583451</c:v>
                </c:pt>
                <c:pt idx="99">
                  <c:v>595.08680233554503</c:v>
                </c:pt>
                <c:pt idx="100">
                  <c:v>605.39622547563897</c:v>
                </c:pt>
                <c:pt idx="101">
                  <c:v>566.98343408818027</c:v>
                </c:pt>
                <c:pt idx="102">
                  <c:v>576.59158121605947</c:v>
                </c:pt>
                <c:pt idx="103">
                  <c:v>586.19638755057997</c:v>
                </c:pt>
                <c:pt idx="104">
                  <c:v>595.79791554499843</c:v>
                </c:pt>
                <c:pt idx="105">
                  <c:v>605.39622547563874</c:v>
                </c:pt>
                <c:pt idx="106">
                  <c:v>568.05117296149081</c:v>
                </c:pt>
                <c:pt idx="107">
                  <c:v>576.94737396741823</c:v>
                </c:pt>
                <c:pt idx="108">
                  <c:v>585.84071282237755</c:v>
                </c:pt>
                <c:pt idx="109">
                  <c:v>594.73123910211143</c:v>
                </c:pt>
                <c:pt idx="110">
                  <c:v>603.61900077928851</c:v>
                </c:pt>
                <c:pt idx="111">
                  <c:v>567.33935171273708</c:v>
                </c:pt>
                <c:pt idx="112">
                  <c:v>575.52417545438084</c:v>
                </c:pt>
                <c:pt idx="113">
                  <c:v>583.70656984568836</c:v>
                </c:pt>
                <c:pt idx="114">
                  <c:v>591.88657374650074</c:v>
                </c:pt>
                <c:pt idx="115">
                  <c:v>600.06422485487678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2.6520064228877711</c:v>
                </c:pt>
                <c:pt idx="2">
                  <c:v>3.381963506066374</c:v>
                </c:pt>
                <c:pt idx="3">
                  <c:v>4.3136320075964552</c:v>
                </c:pt>
                <c:pt idx="4">
                  <c:v>5.5029579065985139</c:v>
                </c:pt>
                <c:pt idx="5">
                  <c:v>7.021457688372557</c:v>
                </c:pt>
                <c:pt idx="6">
                  <c:v>8.9605656503592659</c:v>
                </c:pt>
                <c:pt idx="7">
                  <c:v>11.437198541966</c:v>
                </c:pt>
                <c:pt idx="8">
                  <c:v>14.600879330175678</c:v>
                </c:pt>
                <c:pt idx="9">
                  <c:v>18.642858081902926</c:v>
                </c:pt>
                <c:pt idx="10">
                  <c:v>23.807791288486314</c:v>
                </c:pt>
                <c:pt idx="11">
                  <c:v>30.40869909692162</c:v>
                </c:pt>
                <c:pt idx="12">
                  <c:v>38.84612269736899</c:v>
                </c:pt>
                <c:pt idx="13">
                  <c:v>49.63266417534652</c:v>
                </c:pt>
                <c:pt idx="14">
                  <c:v>63.424424676119621</c:v>
                </c:pt>
                <c:pt idx="15">
                  <c:v>81.061284547709775</c:v>
                </c:pt>
                <c:pt idx="16">
                  <c:v>77.115721108744836</c:v>
                </c:pt>
                <c:pt idx="17">
                  <c:v>87.50729451939587</c:v>
                </c:pt>
                <c:pt idx="18">
                  <c:v>97.867845010479286</c:v>
                </c:pt>
                <c:pt idx="19">
                  <c:v>108.20112627091542</c:v>
                </c:pt>
                <c:pt idx="20">
                  <c:v>118.51011399861333</c:v>
                </c:pt>
                <c:pt idx="21">
                  <c:v>112.11415049586441</c:v>
                </c:pt>
                <c:pt idx="22">
                  <c:v>123.47890428692084</c:v>
                </c:pt>
                <c:pt idx="23">
                  <c:v>134.8182383706787</c:v>
                </c:pt>
                <c:pt idx="24">
                  <c:v>146.13459457198724</c:v>
                </c:pt>
                <c:pt idx="25">
                  <c:v>157.43000487343215</c:v>
                </c:pt>
                <c:pt idx="26">
                  <c:v>148.25402389766148</c:v>
                </c:pt>
                <c:pt idx="27">
                  <c:v>160.25079164727728</c:v>
                </c:pt>
                <c:pt idx="28">
                  <c:v>172.22628590712233</c:v>
                </c:pt>
                <c:pt idx="29">
                  <c:v>184.18219548866375</c:v>
                </c:pt>
                <c:pt idx="30">
                  <c:v>196.11997175537047</c:v>
                </c:pt>
                <c:pt idx="31">
                  <c:v>184.18219548866375</c:v>
                </c:pt>
                <c:pt idx="32">
                  <c:v>196.82165695831429</c:v>
                </c:pt>
                <c:pt idx="33">
                  <c:v>209.44227724318702</c:v>
                </c:pt>
                <c:pt idx="34">
                  <c:v>222.04535224268434</c:v>
                </c:pt>
                <c:pt idx="35">
                  <c:v>234.63201860696017</c:v>
                </c:pt>
                <c:pt idx="36">
                  <c:v>220.29593068636186</c:v>
                </c:pt>
                <c:pt idx="37">
                  <c:v>232.1858473186754</c:v>
                </c:pt>
                <c:pt idx="38">
                  <c:v>244.06185890372981</c:v>
                </c:pt>
                <c:pt idx="39">
                  <c:v>255.92473775915428</c:v>
                </c:pt>
                <c:pt idx="40">
                  <c:v>267.77517870928642</c:v>
                </c:pt>
                <c:pt idx="41">
                  <c:v>252.08814071355732</c:v>
                </c:pt>
                <c:pt idx="42">
                  <c:v>264.29100777629338</c:v>
                </c:pt>
                <c:pt idx="43">
                  <c:v>276.48117089492013</c:v>
                </c:pt>
                <c:pt idx="44">
                  <c:v>288.65926934113531</c:v>
                </c:pt>
                <c:pt idx="45">
                  <c:v>300.82588401658938</c:v>
                </c:pt>
                <c:pt idx="46">
                  <c:v>283.09359729649941</c:v>
                </c:pt>
                <c:pt idx="47">
                  <c:v>294.91778523157956</c:v>
                </c:pt>
                <c:pt idx="48">
                  <c:v>306.73139928667956</c:v>
                </c:pt>
                <c:pt idx="49">
                  <c:v>318.5349042539159</c:v>
                </c:pt>
                <c:pt idx="50">
                  <c:v>330.32872765301596</c:v>
                </c:pt>
                <c:pt idx="51">
                  <c:v>312.28722219962481</c:v>
                </c:pt>
                <c:pt idx="52">
                  <c:v>323.73923100223965</c:v>
                </c:pt>
                <c:pt idx="53">
                  <c:v>335.18228708152975</c:v>
                </c:pt>
                <c:pt idx="54">
                  <c:v>346.61673926722665</c:v>
                </c:pt>
                <c:pt idx="55">
                  <c:v>358.04291148739253</c:v>
                </c:pt>
                <c:pt idx="56">
                  <c:v>339.34124764190256</c:v>
                </c:pt>
                <c:pt idx="57">
                  <c:v>350.08007582809665</c:v>
                </c:pt>
                <c:pt idx="58">
                  <c:v>360.81168008565845</c:v>
                </c:pt>
                <c:pt idx="59">
                  <c:v>371.53630564474889</c:v>
                </c:pt>
                <c:pt idx="60">
                  <c:v>382.25418241750987</c:v>
                </c:pt>
                <c:pt idx="61">
                  <c:v>363.2339712848547</c:v>
                </c:pt>
                <c:pt idx="62">
                  <c:v>373.61125321420673</c:v>
                </c:pt>
                <c:pt idx="63">
                  <c:v>383.98225493635573</c:v>
                </c:pt>
                <c:pt idx="64">
                  <c:v>394.3471700483513</c:v>
                </c:pt>
                <c:pt idx="65">
                  <c:v>404.7061811363821</c:v>
                </c:pt>
                <c:pt idx="66">
                  <c:v>385.36459119538358</c:v>
                </c:pt>
                <c:pt idx="67">
                  <c:v>395.38333391594932</c:v>
                </c:pt>
                <c:pt idx="68">
                  <c:v>405.39657623414746</c:v>
                </c:pt>
                <c:pt idx="69">
                  <c:v>415.40447321133962</c:v>
                </c:pt>
                <c:pt idx="70">
                  <c:v>425.40717182534803</c:v>
                </c:pt>
                <c:pt idx="71">
                  <c:v>405.39657623414752</c:v>
                </c:pt>
                <c:pt idx="72">
                  <c:v>414.71444195012685</c:v>
                </c:pt>
                <c:pt idx="73">
                  <c:v>424.02779309344351</c:v>
                </c:pt>
                <c:pt idx="74">
                  <c:v>433.33674284236622</c:v>
                </c:pt>
                <c:pt idx="75">
                  <c:v>442.64139911407352</c:v>
                </c:pt>
                <c:pt idx="76">
                  <c:v>422.30343380409914</c:v>
                </c:pt>
                <c:pt idx="77">
                  <c:v>431.268462104241</c:v>
                </c:pt>
                <c:pt idx="78">
                  <c:v>440.2294872672864</c:v>
                </c:pt>
                <c:pt idx="79">
                  <c:v>449.18660230031583</c:v>
                </c:pt>
                <c:pt idx="80">
                  <c:v>458.13989619719581</c:v>
                </c:pt>
                <c:pt idx="81">
                  <c:v>438.85112479761966</c:v>
                </c:pt>
                <c:pt idx="82">
                  <c:v>447.1199180865508</c:v>
                </c:pt>
                <c:pt idx="83">
                  <c:v>455.38543832930424</c:v>
                </c:pt>
                <c:pt idx="84">
                  <c:v>463.64775333711083</c:v>
                </c:pt>
                <c:pt idx="85">
                  <c:v>471.90692830623652</c:v>
                </c:pt>
                <c:pt idx="86">
                  <c:v>452.63062434570634</c:v>
                </c:pt>
                <c:pt idx="87">
                  <c:v>460.89400039510565</c:v>
                </c:pt>
                <c:pt idx="88">
                  <c:v>469.15421495505831</c:v>
                </c:pt>
                <c:pt idx="89">
                  <c:v>477.41133156021147</c:v>
                </c:pt>
                <c:pt idx="90">
                  <c:v>485.66541136738419</c:v>
                </c:pt>
                <c:pt idx="91">
                  <c:v>459.8612526126696</c:v>
                </c:pt>
                <c:pt idx="92">
                  <c:v>459.8612526126696</c:v>
                </c:pt>
                <c:pt idx="93">
                  <c:v>459.8612526126696</c:v>
                </c:pt>
                <c:pt idx="94">
                  <c:v>459.8612526126696</c:v>
                </c:pt>
                <c:pt idx="95">
                  <c:v>459.8612526126696</c:v>
                </c:pt>
                <c:pt idx="96">
                  <c:v>459.8612526126696</c:v>
                </c:pt>
                <c:pt idx="97">
                  <c:v>459.8612526126696</c:v>
                </c:pt>
                <c:pt idx="98">
                  <c:v>459.8612526126696</c:v>
                </c:pt>
                <c:pt idx="99">
                  <c:v>459.8612526126696</c:v>
                </c:pt>
                <c:pt idx="100">
                  <c:v>459.8612526126696</c:v>
                </c:pt>
                <c:pt idx="101">
                  <c:v>459.8612526126696</c:v>
                </c:pt>
                <c:pt idx="102">
                  <c:v>459.8612526126696</c:v>
                </c:pt>
                <c:pt idx="103">
                  <c:v>459.8612526126696</c:v>
                </c:pt>
                <c:pt idx="104">
                  <c:v>459.8612526126696</c:v>
                </c:pt>
                <c:pt idx="105">
                  <c:v>459.8612526126696</c:v>
                </c:pt>
                <c:pt idx="106">
                  <c:v>459.8612526126696</c:v>
                </c:pt>
                <c:pt idx="107">
                  <c:v>459.8612526126696</c:v>
                </c:pt>
                <c:pt idx="108">
                  <c:v>459.8612526126696</c:v>
                </c:pt>
                <c:pt idx="109">
                  <c:v>459.8612526126696</c:v>
                </c:pt>
                <c:pt idx="110">
                  <c:v>459.8612526126696</c:v>
                </c:pt>
                <c:pt idx="111">
                  <c:v>459.8612526126696</c:v>
                </c:pt>
                <c:pt idx="112">
                  <c:v>459.8612526126696</c:v>
                </c:pt>
                <c:pt idx="113">
                  <c:v>459.8612526126696</c:v>
                </c:pt>
                <c:pt idx="114">
                  <c:v>459.8612526126696</c:v>
                </c:pt>
                <c:pt idx="115">
                  <c:v>459.8612526126696</c:v>
                </c:pt>
                <c:pt idx="116">
                  <c:v>459.8612526126696</c:v>
                </c:pt>
                <c:pt idx="117">
                  <c:v>459.8612526126696</c:v>
                </c:pt>
                <c:pt idx="118">
                  <c:v>459.8612526126696</c:v>
                </c:pt>
                <c:pt idx="119">
                  <c:v>459.8612526126696</c:v>
                </c:pt>
                <c:pt idx="120">
                  <c:v>459.8612526126696</c:v>
                </c:pt>
                <c:pt idx="121">
                  <c:v>459.8612526126696</c:v>
                </c:pt>
                <c:pt idx="122">
                  <c:v>459.8612526126696</c:v>
                </c:pt>
                <c:pt idx="123">
                  <c:v>459.8612526126696</c:v>
                </c:pt>
                <c:pt idx="124">
                  <c:v>459.8612526126696</c:v>
                </c:pt>
                <c:pt idx="125">
                  <c:v>459.8612526126696</c:v>
                </c:pt>
                <c:pt idx="126">
                  <c:v>459.8612526126696</c:v>
                </c:pt>
                <c:pt idx="127">
                  <c:v>459.8612526126696</c:v>
                </c:pt>
                <c:pt idx="128">
                  <c:v>459.8612526126696</c:v>
                </c:pt>
                <c:pt idx="129">
                  <c:v>459.8612526126696</c:v>
                </c:pt>
                <c:pt idx="130">
                  <c:v>459.8612526126696</c:v>
                </c:pt>
                <c:pt idx="131">
                  <c:v>459.8612526126696</c:v>
                </c:pt>
                <c:pt idx="132">
                  <c:v>459.8612526126696</c:v>
                </c:pt>
                <c:pt idx="133">
                  <c:v>459.8612526126696</c:v>
                </c:pt>
                <c:pt idx="134">
                  <c:v>459.8612526126696</c:v>
                </c:pt>
                <c:pt idx="135">
                  <c:v>459.8612526126696</c:v>
                </c:pt>
                <c:pt idx="136">
                  <c:v>459.8612526126696</c:v>
                </c:pt>
                <c:pt idx="137">
                  <c:v>459.8612526126696</c:v>
                </c:pt>
                <c:pt idx="138">
                  <c:v>459.8612526126696</c:v>
                </c:pt>
                <c:pt idx="139">
                  <c:v>459.8612526126696</c:v>
                </c:pt>
                <c:pt idx="140">
                  <c:v>459.8612526126696</c:v>
                </c:pt>
                <c:pt idx="141">
                  <c:v>459.8612526126696</c:v>
                </c:pt>
                <c:pt idx="142">
                  <c:v>459.8612526126696</c:v>
                </c:pt>
                <c:pt idx="143">
                  <c:v>459.8612526126696</c:v>
                </c:pt>
                <c:pt idx="144">
                  <c:v>459.8612526126696</c:v>
                </c:pt>
                <c:pt idx="145">
                  <c:v>459.8612526126696</c:v>
                </c:pt>
                <c:pt idx="146">
                  <c:v>459.8612526126696</c:v>
                </c:pt>
                <c:pt idx="147">
                  <c:v>459.8612526126696</c:v>
                </c:pt>
                <c:pt idx="148">
                  <c:v>459.8612526126696</c:v>
                </c:pt>
                <c:pt idx="149">
                  <c:v>459.8612526126696</c:v>
                </c:pt>
                <c:pt idx="150">
                  <c:v>459.8612526126696</c:v>
                </c:pt>
                <c:pt idx="151">
                  <c:v>459.8612526126696</c:v>
                </c:pt>
                <c:pt idx="152">
                  <c:v>459.8612526126696</c:v>
                </c:pt>
                <c:pt idx="153">
                  <c:v>459.8612526126696</c:v>
                </c:pt>
                <c:pt idx="154">
                  <c:v>459.8612526126696</c:v>
                </c:pt>
                <c:pt idx="155">
                  <c:v>459.8612526126696</c:v>
                </c:pt>
                <c:pt idx="156">
                  <c:v>459.8612526126696</c:v>
                </c:pt>
                <c:pt idx="157">
                  <c:v>459.8612526126696</c:v>
                </c:pt>
                <c:pt idx="158">
                  <c:v>459.8612526126696</c:v>
                </c:pt>
                <c:pt idx="159">
                  <c:v>459.8612526126696</c:v>
                </c:pt>
                <c:pt idx="160">
                  <c:v>459.8612526126696</c:v>
                </c:pt>
                <c:pt idx="161">
                  <c:v>459.8612526126696</c:v>
                </c:pt>
                <c:pt idx="162">
                  <c:v>459.8612526126696</c:v>
                </c:pt>
                <c:pt idx="163">
                  <c:v>459.8612526126696</c:v>
                </c:pt>
                <c:pt idx="164">
                  <c:v>459.8612526126696</c:v>
                </c:pt>
                <c:pt idx="165">
                  <c:v>459.8612526126696</c:v>
                </c:pt>
                <c:pt idx="166">
                  <c:v>459.8612526126696</c:v>
                </c:pt>
                <c:pt idx="167">
                  <c:v>459.8612526126696</c:v>
                </c:pt>
                <c:pt idx="168">
                  <c:v>459.8612526126696</c:v>
                </c:pt>
                <c:pt idx="169">
                  <c:v>459.8612526126696</c:v>
                </c:pt>
                <c:pt idx="170">
                  <c:v>459.8612526126696</c:v>
                </c:pt>
                <c:pt idx="171">
                  <c:v>459.8612526126696</c:v>
                </c:pt>
                <c:pt idx="172">
                  <c:v>459.8612526126696</c:v>
                </c:pt>
                <c:pt idx="173">
                  <c:v>459.8612526126696</c:v>
                </c:pt>
                <c:pt idx="174">
                  <c:v>459.8612526126696</c:v>
                </c:pt>
                <c:pt idx="175">
                  <c:v>459.8612526126696</c:v>
                </c:pt>
                <c:pt idx="176">
                  <c:v>459.8612526126696</c:v>
                </c:pt>
                <c:pt idx="177">
                  <c:v>459.8612526126696</c:v>
                </c:pt>
                <c:pt idx="178">
                  <c:v>459.8612526126696</c:v>
                </c:pt>
                <c:pt idx="179">
                  <c:v>459.8612526126696</c:v>
                </c:pt>
                <c:pt idx="180">
                  <c:v>459.8612526126696</c:v>
                </c:pt>
                <c:pt idx="181">
                  <c:v>459.8612526126696</c:v>
                </c:pt>
                <c:pt idx="182">
                  <c:v>459.8612526126696</c:v>
                </c:pt>
                <c:pt idx="183">
                  <c:v>459.8612526126696</c:v>
                </c:pt>
                <c:pt idx="184">
                  <c:v>459.8612526126696</c:v>
                </c:pt>
                <c:pt idx="185">
                  <c:v>459.8612526126696</c:v>
                </c:pt>
                <c:pt idx="186">
                  <c:v>459.8612526126696</c:v>
                </c:pt>
                <c:pt idx="187">
                  <c:v>459.8612526126696</c:v>
                </c:pt>
                <c:pt idx="188">
                  <c:v>459.8612526126696</c:v>
                </c:pt>
                <c:pt idx="189">
                  <c:v>459.8612526126696</c:v>
                </c:pt>
                <c:pt idx="190">
                  <c:v>459.8612526126696</c:v>
                </c:pt>
                <c:pt idx="191">
                  <c:v>459.8612526126696</c:v>
                </c:pt>
                <c:pt idx="192">
                  <c:v>459.8612526126696</c:v>
                </c:pt>
                <c:pt idx="193">
                  <c:v>459.8612526126696</c:v>
                </c:pt>
                <c:pt idx="194">
                  <c:v>459.8612526126696</c:v>
                </c:pt>
                <c:pt idx="195">
                  <c:v>459.8612526126696</c:v>
                </c:pt>
                <c:pt idx="196">
                  <c:v>459.8612526126696</c:v>
                </c:pt>
                <c:pt idx="197">
                  <c:v>459.8612526126696</c:v>
                </c:pt>
                <c:pt idx="198">
                  <c:v>459.8612526126696</c:v>
                </c:pt>
                <c:pt idx="199">
                  <c:v>459.8612526126696</c:v>
                </c:pt>
                <c:pt idx="200">
                  <c:v>459.8612526126696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B1" zoomScale="90" zoomScaleNormal="90" workbookViewId="0">
      <selection activeCell="C14" sqref="C1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2.44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</v>
      </c>
      <c r="C9" s="35">
        <v>7.7100000000000002E-2</v>
      </c>
      <c r="D9" s="36">
        <f t="shared" ref="D9:D18" si="0">C9*$C$5</f>
        <v>0.18812400000000001</v>
      </c>
      <c r="E9" s="37">
        <v>90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8</v>
      </c>
      <c r="C10" s="35">
        <v>7.7100000000000002E-2</v>
      </c>
      <c r="D10" s="36">
        <f t="shared" si="0"/>
        <v>0.18812400000000001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18</v>
      </c>
      <c r="C11" s="35">
        <v>2.5899999999999999E-2</v>
      </c>
      <c r="D11" s="36">
        <f t="shared" si="0"/>
        <v>6.3196000000000002E-2</v>
      </c>
      <c r="E11" s="37">
        <v>54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11</v>
      </c>
      <c r="C12" s="35">
        <v>0.65900000000000003</v>
      </c>
      <c r="D12" s="36">
        <f t="shared" si="0"/>
        <v>1.6079600000000001</v>
      </c>
      <c r="E12" s="37">
        <v>115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5</v>
      </c>
      <c r="C13" s="35">
        <v>0.16059999999999999</v>
      </c>
      <c r="D13" s="36">
        <f t="shared" si="0"/>
        <v>0.39186399999999999</v>
      </c>
      <c r="E13" s="37">
        <v>90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0.99970000000000003</v>
      </c>
      <c r="D19" s="41">
        <f>SUM(D9:D18)</f>
        <v>2.4392680000000002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rouge d'Amérique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57</v>
      </c>
      <c r="C36" s="63">
        <v>1</v>
      </c>
      <c r="D36" s="63">
        <v>4</v>
      </c>
      <c r="E36" s="54"/>
      <c r="F36" s="54"/>
      <c r="G36" s="54"/>
      <c r="H36" s="54">
        <v>1</v>
      </c>
      <c r="I36" s="52">
        <f>IFERROR(B36/A36,"")</f>
        <v>2.85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90</v>
      </c>
      <c r="C37" s="63">
        <v>2</v>
      </c>
      <c r="D37" s="63">
        <v>20</v>
      </c>
      <c r="E37" s="54"/>
      <c r="F37" s="54">
        <v>0.2</v>
      </c>
      <c r="G37" s="54"/>
      <c r="H37" s="54">
        <v>0.8</v>
      </c>
      <c r="I37" s="56">
        <f t="shared" ref="I37:I55" si="1">IF(A37&lt;&gt;0,(B37-(B36-D36))/(A37-A36),"")</f>
        <v>7.4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106</v>
      </c>
      <c r="C38" s="63">
        <v>3</v>
      </c>
      <c r="D38" s="63">
        <v>20</v>
      </c>
      <c r="E38" s="54"/>
      <c r="F38" s="54">
        <v>0.4</v>
      </c>
      <c r="G38" s="54"/>
      <c r="H38" s="54">
        <v>0.6</v>
      </c>
      <c r="I38" s="56">
        <f t="shared" si="1"/>
        <v>7.2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119</v>
      </c>
      <c r="C39" s="63">
        <v>4</v>
      </c>
      <c r="D39" s="63">
        <v>20</v>
      </c>
      <c r="E39" s="54"/>
      <c r="F39" s="54"/>
      <c r="G39" s="54"/>
      <c r="H39" s="54"/>
      <c r="I39" s="52">
        <f t="shared" si="1"/>
        <v>6.6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130</v>
      </c>
      <c r="C40" s="63">
        <v>5</v>
      </c>
      <c r="D40" s="63">
        <v>19</v>
      </c>
      <c r="E40" s="54"/>
      <c r="F40" s="54"/>
      <c r="G40" s="54"/>
      <c r="H40" s="54"/>
      <c r="I40" s="52">
        <f t="shared" si="1"/>
        <v>6.2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138</v>
      </c>
      <c r="C41" s="63">
        <v>6</v>
      </c>
      <c r="D41" s="63">
        <v>17</v>
      </c>
      <c r="E41" s="54"/>
      <c r="F41" s="54"/>
      <c r="G41" s="54"/>
      <c r="H41" s="54"/>
      <c r="I41" s="56">
        <f t="shared" si="1"/>
        <v>5.4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145</v>
      </c>
      <c r="C42" s="63">
        <v>7</v>
      </c>
      <c r="D42" s="63">
        <v>16</v>
      </c>
      <c r="E42" s="54"/>
      <c r="F42" s="54"/>
      <c r="G42" s="54"/>
      <c r="H42" s="54"/>
      <c r="I42" s="56">
        <f t="shared" si="1"/>
        <v>4.8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55</v>
      </c>
      <c r="B43" s="63">
        <v>151</v>
      </c>
      <c r="C43" s="63">
        <v>8</v>
      </c>
      <c r="D43" s="63">
        <v>14</v>
      </c>
      <c r="E43" s="54"/>
      <c r="F43" s="54"/>
      <c r="G43" s="54"/>
      <c r="H43" s="54"/>
      <c r="I43" s="52">
        <f t="shared" si="1"/>
        <v>4.4000000000000004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v>156</v>
      </c>
      <c r="C44" s="63">
        <v>9</v>
      </c>
      <c r="D44" s="63">
        <v>13</v>
      </c>
      <c r="E44" s="54"/>
      <c r="F44" s="54"/>
      <c r="G44" s="54"/>
      <c r="H44" s="54"/>
      <c r="I44" s="52">
        <f t="shared" si="1"/>
        <v>3.8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65</v>
      </c>
      <c r="B45" s="63">
        <v>160</v>
      </c>
      <c r="C45" s="63">
        <v>10</v>
      </c>
      <c r="D45" s="63">
        <v>11</v>
      </c>
      <c r="E45" s="54"/>
      <c r="F45" s="54"/>
      <c r="G45" s="54"/>
      <c r="H45" s="54"/>
      <c r="I45" s="52">
        <f t="shared" si="1"/>
        <v>3.4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70</v>
      </c>
      <c r="B46" s="63">
        <v>163</v>
      </c>
      <c r="C46" s="63">
        <v>11</v>
      </c>
      <c r="D46" s="63">
        <v>10</v>
      </c>
      <c r="E46" s="54"/>
      <c r="F46" s="54"/>
      <c r="G46" s="54"/>
      <c r="H46" s="54"/>
      <c r="I46" s="52">
        <f t="shared" si="1"/>
        <v>2.8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75</v>
      </c>
      <c r="B47" s="63">
        <v>166</v>
      </c>
      <c r="C47" s="63">
        <v>12</v>
      </c>
      <c r="D47" s="63">
        <v>9</v>
      </c>
      <c r="E47" s="54"/>
      <c r="F47" s="54"/>
      <c r="G47" s="54"/>
      <c r="H47" s="54"/>
      <c r="I47" s="52">
        <f t="shared" si="1"/>
        <v>2.6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80</v>
      </c>
      <c r="B48" s="63">
        <v>168</v>
      </c>
      <c r="C48" s="63">
        <v>13</v>
      </c>
      <c r="D48" s="63">
        <v>8</v>
      </c>
      <c r="E48" s="54"/>
      <c r="F48" s="54"/>
      <c r="G48" s="54"/>
      <c r="H48" s="54"/>
      <c r="I48" s="52">
        <f t="shared" si="1"/>
        <v>2.2000000000000002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85</v>
      </c>
      <c r="B49" s="63">
        <v>170</v>
      </c>
      <c r="C49" s="63">
        <v>14</v>
      </c>
      <c r="D49" s="63">
        <v>7</v>
      </c>
      <c r="E49" s="54"/>
      <c r="F49" s="54"/>
      <c r="G49" s="54"/>
      <c r="H49" s="54"/>
      <c r="I49" s="52">
        <f t="shared" si="1"/>
        <v>2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90</v>
      </c>
      <c r="B50" s="53">
        <v>171</v>
      </c>
      <c r="C50" s="53">
        <v>15</v>
      </c>
      <c r="D50" s="53">
        <v>171</v>
      </c>
      <c r="E50" s="54"/>
      <c r="F50" s="54"/>
      <c r="G50" s="54"/>
      <c r="H50" s="54"/>
      <c r="I50" s="52">
        <f t="shared" si="1"/>
        <v>1.6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Châtaignier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10</v>
      </c>
      <c r="B62" s="63">
        <v>19</v>
      </c>
      <c r="C62" s="63">
        <v>1</v>
      </c>
      <c r="D62" s="63">
        <v>7</v>
      </c>
      <c r="E62" s="54"/>
      <c r="F62" s="54"/>
      <c r="G62" s="54"/>
      <c r="H62" s="54">
        <v>1</v>
      </c>
      <c r="I62" s="56">
        <f>IFERROR(B62/A62,"")</f>
        <v>1.9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15</v>
      </c>
      <c r="B63" s="63">
        <v>84</v>
      </c>
      <c r="C63" s="63">
        <v>2</v>
      </c>
      <c r="D63" s="63">
        <v>42</v>
      </c>
      <c r="E63" s="54"/>
      <c r="F63" s="54"/>
      <c r="G63" s="54"/>
      <c r="H63" s="54">
        <v>1</v>
      </c>
      <c r="I63" s="52">
        <f>IF(A63&lt;&gt;0,(B63-(B62-D62))/(A63-A62),"")</f>
        <v>14.4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20</v>
      </c>
      <c r="B64" s="63">
        <v>123</v>
      </c>
      <c r="C64" s="63">
        <v>3</v>
      </c>
      <c r="D64" s="63">
        <v>42</v>
      </c>
      <c r="E64" s="54">
        <v>0.2</v>
      </c>
      <c r="F64" s="54"/>
      <c r="G64" s="54"/>
      <c r="H64" s="54">
        <v>0.8</v>
      </c>
      <c r="I64" s="52">
        <f>IF(A64&lt;&gt;0,(B64-(B63-D63))/(A64-A63),"")</f>
        <v>16.2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25</v>
      </c>
      <c r="B65" s="63">
        <v>165</v>
      </c>
      <c r="C65" s="63">
        <v>4</v>
      </c>
      <c r="D65" s="63">
        <v>42</v>
      </c>
      <c r="E65" s="54">
        <v>0.4</v>
      </c>
      <c r="F65" s="54"/>
      <c r="G65" s="54"/>
      <c r="H65" s="54">
        <v>0.6</v>
      </c>
      <c r="I65" s="52">
        <f>IF(A65&lt;&gt;0,(B65-(B64-D64))/(A65-A64),"")</f>
        <v>16.8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30</v>
      </c>
      <c r="B66" s="63">
        <v>205</v>
      </c>
      <c r="C66" s="63">
        <v>5</v>
      </c>
      <c r="D66" s="63">
        <v>42</v>
      </c>
      <c r="E66" s="54"/>
      <c r="F66" s="54"/>
      <c r="G66" s="54"/>
      <c r="H66" s="54"/>
      <c r="I66" s="52">
        <f t="shared" ref="I66:I81" si="2">IF(A66&lt;&gt;0,(B66-(B65-D65))/(A66-A65),"")</f>
        <v>16.399999999999999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35</v>
      </c>
      <c r="B67" s="63">
        <v>239</v>
      </c>
      <c r="C67" s="63">
        <v>6</v>
      </c>
      <c r="D67" s="63">
        <v>42</v>
      </c>
      <c r="E67" s="54"/>
      <c r="F67" s="54"/>
      <c r="G67" s="54"/>
      <c r="H67" s="54"/>
      <c r="I67" s="52">
        <f t="shared" si="2"/>
        <v>15.2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40</v>
      </c>
      <c r="B68" s="63">
        <v>263</v>
      </c>
      <c r="C68" s="63">
        <v>7</v>
      </c>
      <c r="D68" s="63">
        <v>40</v>
      </c>
      <c r="E68" s="54"/>
      <c r="F68" s="54"/>
      <c r="G68" s="54"/>
      <c r="H68" s="54"/>
      <c r="I68" s="52">
        <f t="shared" si="2"/>
        <v>13.2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45</v>
      </c>
      <c r="B69" s="53">
        <v>280</v>
      </c>
      <c r="C69" s="53">
        <v>8</v>
      </c>
      <c r="D69" s="53">
        <v>26</v>
      </c>
      <c r="E69" s="54"/>
      <c r="F69" s="54"/>
      <c r="G69" s="54"/>
      <c r="H69" s="54"/>
      <c r="I69" s="52">
        <f t="shared" si="2"/>
        <v>11.4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50</v>
      </c>
      <c r="B70" s="53">
        <v>303</v>
      </c>
      <c r="C70" s="53">
        <v>9</v>
      </c>
      <c r="D70" s="53">
        <v>21</v>
      </c>
      <c r="E70" s="54"/>
      <c r="F70" s="54"/>
      <c r="G70" s="54"/>
      <c r="H70" s="54"/>
      <c r="I70" s="52">
        <f t="shared" si="2"/>
        <v>9.8000000000000007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55</v>
      </c>
      <c r="B71" s="53">
        <v>324</v>
      </c>
      <c r="C71" s="53">
        <v>10</v>
      </c>
      <c r="D71" s="53">
        <v>18</v>
      </c>
      <c r="E71" s="54"/>
      <c r="F71" s="54"/>
      <c r="G71" s="54"/>
      <c r="H71" s="54"/>
      <c r="I71" s="52">
        <f t="shared" si="2"/>
        <v>8.4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60</v>
      </c>
      <c r="B72" s="53">
        <v>343</v>
      </c>
      <c r="C72" s="53">
        <v>11</v>
      </c>
      <c r="D72" s="53">
        <v>17</v>
      </c>
      <c r="E72" s="54"/>
      <c r="F72" s="54"/>
      <c r="G72" s="54"/>
      <c r="H72" s="54"/>
      <c r="I72" s="52">
        <f t="shared" si="2"/>
        <v>7.4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65</v>
      </c>
      <c r="B73" s="53">
        <v>356</v>
      </c>
      <c r="C73" s="53">
        <v>12</v>
      </c>
      <c r="D73" s="53">
        <v>16</v>
      </c>
      <c r="E73" s="54"/>
      <c r="F73" s="54"/>
      <c r="G73" s="54"/>
      <c r="H73" s="54"/>
      <c r="I73" s="52">
        <f t="shared" si="2"/>
        <v>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70</v>
      </c>
      <c r="B74" s="53">
        <v>366</v>
      </c>
      <c r="C74" s="53">
        <v>13</v>
      </c>
      <c r="D74" s="53">
        <v>15</v>
      </c>
      <c r="E74" s="54"/>
      <c r="F74" s="54"/>
      <c r="G74" s="54"/>
      <c r="H74" s="54"/>
      <c r="I74" s="52">
        <f t="shared" si="2"/>
        <v>5.2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75</v>
      </c>
      <c r="B75" s="53">
        <v>375</v>
      </c>
      <c r="C75" s="53">
        <v>14</v>
      </c>
      <c r="D75" s="53">
        <v>14</v>
      </c>
      <c r="E75" s="54"/>
      <c r="F75" s="54"/>
      <c r="G75" s="54"/>
      <c r="H75" s="54"/>
      <c r="I75" s="52">
        <f t="shared" si="2"/>
        <v>4.8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80</v>
      </c>
      <c r="B76" s="53">
        <v>382</v>
      </c>
      <c r="C76" s="53">
        <v>15</v>
      </c>
      <c r="D76" s="53">
        <v>382</v>
      </c>
      <c r="E76" s="54"/>
      <c r="F76" s="54"/>
      <c r="G76" s="54"/>
      <c r="H76" s="54"/>
      <c r="I76" s="52">
        <f t="shared" si="2"/>
        <v>4.2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Douglas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17</v>
      </c>
      <c r="B88" s="63">
        <v>173</v>
      </c>
      <c r="C88" s="63">
        <v>1</v>
      </c>
      <c r="D88" s="63">
        <v>0</v>
      </c>
      <c r="E88" s="54"/>
      <c r="F88" s="54"/>
      <c r="G88" s="54"/>
      <c r="H88" s="93"/>
      <c r="I88" s="56">
        <f>IFERROR(B88/A88,"")</f>
        <v>10.176470588235293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18</v>
      </c>
      <c r="B89" s="63">
        <v>202</v>
      </c>
      <c r="C89" s="63">
        <v>2</v>
      </c>
      <c r="D89" s="63">
        <v>75</v>
      </c>
      <c r="E89" s="54"/>
      <c r="F89" s="54"/>
      <c r="G89" s="54"/>
      <c r="H89" s="93"/>
      <c r="I89" s="56">
        <f t="shared" ref="I89:I107" si="3">IF(A89&lt;&gt;0,(B89-(B88-D88))/(A89-A88),"")</f>
        <v>29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19</v>
      </c>
      <c r="B90" s="63">
        <v>150</v>
      </c>
      <c r="C90" s="63">
        <v>3</v>
      </c>
      <c r="D90" s="63">
        <v>0</v>
      </c>
      <c r="E90" s="93"/>
      <c r="F90" s="93"/>
      <c r="G90" s="93"/>
      <c r="H90" s="93"/>
      <c r="I90" s="56">
        <f t="shared" si="3"/>
        <v>23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23</v>
      </c>
      <c r="B91" s="63">
        <v>259</v>
      </c>
      <c r="C91" s="63">
        <v>4</v>
      </c>
      <c r="D91" s="63">
        <v>0</v>
      </c>
      <c r="E91" s="93"/>
      <c r="F91" s="93"/>
      <c r="G91" s="93"/>
      <c r="H91" s="93"/>
      <c r="I91" s="56">
        <f t="shared" si="3"/>
        <v>27.25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24</v>
      </c>
      <c r="B92" s="63">
        <v>289</v>
      </c>
      <c r="C92" s="63">
        <v>5</v>
      </c>
      <c r="D92" s="63">
        <v>51</v>
      </c>
      <c r="E92" s="93"/>
      <c r="F92" s="93"/>
      <c r="G92" s="93"/>
      <c r="H92" s="93"/>
      <c r="I92" s="56">
        <f t="shared" si="3"/>
        <v>30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26</v>
      </c>
      <c r="B93" s="63">
        <v>293</v>
      </c>
      <c r="C93" s="63">
        <v>6</v>
      </c>
      <c r="D93" s="63">
        <v>0</v>
      </c>
      <c r="E93" s="93"/>
      <c r="F93" s="93"/>
      <c r="G93" s="93"/>
      <c r="H93" s="93"/>
      <c r="I93" s="56">
        <f t="shared" si="3"/>
        <v>27.5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28</v>
      </c>
      <c r="B94" s="63">
        <v>350</v>
      </c>
      <c r="C94" s="63">
        <v>7</v>
      </c>
      <c r="D94" s="63">
        <v>0</v>
      </c>
      <c r="E94" s="54">
        <v>0.15</v>
      </c>
      <c r="F94" s="54"/>
      <c r="G94" s="54">
        <v>0.85</v>
      </c>
      <c r="H94" s="93"/>
      <c r="I94" s="56">
        <f t="shared" si="3"/>
        <v>28.5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30</v>
      </c>
      <c r="B95" s="63">
        <v>411</v>
      </c>
      <c r="C95" s="63">
        <v>8</v>
      </c>
      <c r="D95" s="63">
        <v>81</v>
      </c>
      <c r="E95" s="54">
        <v>0.25</v>
      </c>
      <c r="F95" s="54"/>
      <c r="G95" s="54">
        <v>0.75</v>
      </c>
      <c r="H95" s="93"/>
      <c r="I95" s="56">
        <f t="shared" si="3"/>
        <v>30.5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32</v>
      </c>
      <c r="B96" s="63">
        <v>384</v>
      </c>
      <c r="C96" s="63">
        <v>9</v>
      </c>
      <c r="D96" s="63">
        <v>0</v>
      </c>
      <c r="E96" s="93"/>
      <c r="F96" s="93"/>
      <c r="G96" s="93"/>
      <c r="H96" s="93"/>
      <c r="I96" s="56">
        <f t="shared" si="3"/>
        <v>27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34</v>
      </c>
      <c r="B97" s="63">
        <v>442</v>
      </c>
      <c r="C97" s="63">
        <v>10</v>
      </c>
      <c r="D97" s="63">
        <v>0</v>
      </c>
      <c r="E97" s="93"/>
      <c r="F97" s="93"/>
      <c r="G97" s="93"/>
      <c r="H97" s="93"/>
      <c r="I97" s="56">
        <f t="shared" si="3"/>
        <v>29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36</v>
      </c>
      <c r="B98" s="63">
        <v>501</v>
      </c>
      <c r="C98" s="63">
        <v>11</v>
      </c>
      <c r="D98" s="63">
        <v>86</v>
      </c>
      <c r="E98" s="93"/>
      <c r="F98" s="93"/>
      <c r="G98" s="93"/>
      <c r="H98" s="93"/>
      <c r="I98" s="56">
        <f t="shared" si="3"/>
        <v>29.5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38</v>
      </c>
      <c r="B99" s="63">
        <v>470</v>
      </c>
      <c r="C99" s="63">
        <v>12</v>
      </c>
      <c r="D99" s="63">
        <v>0</v>
      </c>
      <c r="E99" s="93"/>
      <c r="F99" s="93"/>
      <c r="G99" s="93"/>
      <c r="H99" s="93"/>
      <c r="I99" s="56">
        <f t="shared" si="3"/>
        <v>27.5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40</v>
      </c>
      <c r="B100" s="63">
        <v>526</v>
      </c>
      <c r="C100" s="63">
        <v>13</v>
      </c>
      <c r="D100" s="63">
        <v>0</v>
      </c>
      <c r="E100" s="68"/>
      <c r="F100" s="68"/>
      <c r="G100" s="68"/>
      <c r="H100" s="68"/>
      <c r="I100" s="56">
        <f t="shared" si="3"/>
        <v>28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42</v>
      </c>
      <c r="B101" s="63">
        <v>584</v>
      </c>
      <c r="C101" s="63">
        <v>14</v>
      </c>
      <c r="D101" s="63">
        <v>91</v>
      </c>
      <c r="E101" s="68"/>
      <c r="F101" s="68"/>
      <c r="G101" s="68"/>
      <c r="H101" s="68"/>
      <c r="I101" s="56">
        <f t="shared" si="3"/>
        <v>29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44</v>
      </c>
      <c r="B102" s="53">
        <v>546</v>
      </c>
      <c r="C102" s="63">
        <v>15</v>
      </c>
      <c r="D102" s="53">
        <v>0</v>
      </c>
      <c r="E102" s="57"/>
      <c r="F102" s="57"/>
      <c r="G102" s="57"/>
      <c r="H102" s="57"/>
      <c r="I102" s="56">
        <f t="shared" si="3"/>
        <v>26.5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46</v>
      </c>
      <c r="B103" s="53">
        <v>600</v>
      </c>
      <c r="C103" s="63">
        <v>16</v>
      </c>
      <c r="D103" s="53">
        <v>0</v>
      </c>
      <c r="E103" s="57"/>
      <c r="F103" s="57"/>
      <c r="G103" s="57"/>
      <c r="H103" s="57"/>
      <c r="I103" s="56">
        <f t="shared" si="3"/>
        <v>27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48</v>
      </c>
      <c r="B104" s="53">
        <v>655</v>
      </c>
      <c r="C104" s="63">
        <v>17</v>
      </c>
      <c r="D104" s="53">
        <v>101</v>
      </c>
      <c r="E104" s="57"/>
      <c r="F104" s="57"/>
      <c r="G104" s="57"/>
      <c r="H104" s="57"/>
      <c r="I104" s="56">
        <f t="shared" si="3"/>
        <v>27.5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50</v>
      </c>
      <c r="B105" s="53">
        <v>604</v>
      </c>
      <c r="C105" s="53">
        <v>18</v>
      </c>
      <c r="D105" s="53">
        <v>0</v>
      </c>
      <c r="E105" s="57"/>
      <c r="F105" s="57"/>
      <c r="G105" s="57"/>
      <c r="H105" s="57"/>
      <c r="I105" s="56">
        <f t="shared" si="3"/>
        <v>25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52</v>
      </c>
      <c r="B106" s="53">
        <v>656</v>
      </c>
      <c r="C106" s="53">
        <v>19</v>
      </c>
      <c r="D106" s="53">
        <v>0</v>
      </c>
      <c r="E106" s="57"/>
      <c r="F106" s="57"/>
      <c r="G106" s="57"/>
      <c r="H106" s="57"/>
      <c r="I106" s="56">
        <f t="shared" si="3"/>
        <v>26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54</v>
      </c>
      <c r="B107" s="53">
        <v>708</v>
      </c>
      <c r="C107" s="53">
        <v>20</v>
      </c>
      <c r="D107" s="53">
        <v>708</v>
      </c>
      <c r="E107" s="57"/>
      <c r="F107" s="57"/>
      <c r="G107" s="57"/>
      <c r="H107" s="57"/>
      <c r="I107" s="56">
        <f t="shared" si="3"/>
        <v>26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Chêne pédonculé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3">
        <v>73</v>
      </c>
      <c r="C114" s="53">
        <v>1</v>
      </c>
      <c r="D114" s="63">
        <v>6</v>
      </c>
      <c r="E114" s="54"/>
      <c r="F114" s="54"/>
      <c r="G114" s="54"/>
      <c r="H114" s="54">
        <v>1</v>
      </c>
      <c r="I114" s="56">
        <f>IFERROR(B114/A114,"")</f>
        <v>3.65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3">
        <v>103</v>
      </c>
      <c r="C115" s="53">
        <v>2</v>
      </c>
      <c r="D115" s="63">
        <v>28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7.2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3">
        <v>121</v>
      </c>
      <c r="C116" s="53">
        <v>3</v>
      </c>
      <c r="D116" s="63">
        <v>28</v>
      </c>
      <c r="E116" s="54"/>
      <c r="F116" s="54"/>
      <c r="G116" s="54"/>
      <c r="H116" s="54">
        <v>1</v>
      </c>
      <c r="I116" s="56">
        <f t="shared" si="4"/>
        <v>9.1999999999999993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3">
        <v>147</v>
      </c>
      <c r="C117" s="53">
        <v>4</v>
      </c>
      <c r="D117" s="63">
        <v>28</v>
      </c>
      <c r="E117" s="54"/>
      <c r="F117" s="54"/>
      <c r="G117" s="54"/>
      <c r="H117" s="54"/>
      <c r="I117" s="56">
        <f t="shared" si="4"/>
        <v>10.8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3">
        <v>175</v>
      </c>
      <c r="C118" s="53">
        <v>5</v>
      </c>
      <c r="D118" s="63">
        <v>28</v>
      </c>
      <c r="E118" s="54"/>
      <c r="F118" s="54"/>
      <c r="G118" s="54"/>
      <c r="H118" s="54"/>
      <c r="I118" s="56">
        <f t="shared" si="4"/>
        <v>11.2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3">
        <v>204</v>
      </c>
      <c r="C119" s="53">
        <v>6</v>
      </c>
      <c r="D119" s="63">
        <v>28</v>
      </c>
      <c r="E119" s="54"/>
      <c r="F119" s="54"/>
      <c r="G119" s="54"/>
      <c r="H119" s="54"/>
      <c r="I119" s="56">
        <f t="shared" si="4"/>
        <v>11.4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50</v>
      </c>
      <c r="B120" s="63">
        <v>231</v>
      </c>
      <c r="C120" s="63">
        <v>7</v>
      </c>
      <c r="D120" s="63">
        <v>28</v>
      </c>
      <c r="E120" s="93"/>
      <c r="F120" s="93"/>
      <c r="G120" s="93"/>
      <c r="H120" s="93"/>
      <c r="I120" s="56">
        <f t="shared" si="4"/>
        <v>11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55</v>
      </c>
      <c r="B121" s="63">
        <v>254</v>
      </c>
      <c r="C121" s="63">
        <v>8</v>
      </c>
      <c r="D121" s="63">
        <v>28</v>
      </c>
      <c r="E121" s="93"/>
      <c r="F121" s="93"/>
      <c r="G121" s="93"/>
      <c r="H121" s="93"/>
      <c r="I121" s="56">
        <f t="shared" si="4"/>
        <v>10.199999999999999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60</v>
      </c>
      <c r="B122" s="63">
        <v>273</v>
      </c>
      <c r="C122" s="63">
        <v>9</v>
      </c>
      <c r="D122" s="63">
        <v>28</v>
      </c>
      <c r="E122" s="93"/>
      <c r="F122" s="93"/>
      <c r="G122" s="93"/>
      <c r="H122" s="93"/>
      <c r="I122" s="56">
        <f t="shared" si="4"/>
        <v>9.4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65</v>
      </c>
      <c r="B123" s="63">
        <v>289</v>
      </c>
      <c r="C123" s="63">
        <v>10</v>
      </c>
      <c r="D123" s="63">
        <v>28</v>
      </c>
      <c r="E123" s="93"/>
      <c r="F123" s="93"/>
      <c r="G123" s="93"/>
      <c r="H123" s="93"/>
      <c r="I123" s="56">
        <f t="shared" si="4"/>
        <v>8.8000000000000007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70</v>
      </c>
      <c r="B124" s="63">
        <v>302</v>
      </c>
      <c r="C124" s="63">
        <v>11</v>
      </c>
      <c r="D124" s="63">
        <v>28</v>
      </c>
      <c r="E124" s="93"/>
      <c r="F124" s="93"/>
      <c r="G124" s="93"/>
      <c r="H124" s="93"/>
      <c r="I124" s="56">
        <f t="shared" si="4"/>
        <v>8.1999999999999993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75</v>
      </c>
      <c r="B125" s="63">
        <v>312</v>
      </c>
      <c r="C125" s="63">
        <v>12</v>
      </c>
      <c r="D125" s="63">
        <v>28</v>
      </c>
      <c r="E125" s="93"/>
      <c r="F125" s="93"/>
      <c r="G125" s="93"/>
      <c r="H125" s="93"/>
      <c r="I125" s="56">
        <f t="shared" si="4"/>
        <v>7.6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80</v>
      </c>
      <c r="B126" s="63">
        <v>320</v>
      </c>
      <c r="C126" s="63">
        <v>13</v>
      </c>
      <c r="D126" s="63">
        <v>28</v>
      </c>
      <c r="E126" s="68"/>
      <c r="F126" s="68"/>
      <c r="G126" s="68"/>
      <c r="H126" s="68"/>
      <c r="I126" s="56">
        <f t="shared" si="4"/>
        <v>7.2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85</v>
      </c>
      <c r="B127" s="63">
        <v>326</v>
      </c>
      <c r="C127" s="63">
        <v>14</v>
      </c>
      <c r="D127" s="63">
        <v>28</v>
      </c>
      <c r="E127" s="68"/>
      <c r="F127" s="68"/>
      <c r="G127" s="68"/>
      <c r="H127" s="68"/>
      <c r="I127" s="56">
        <f t="shared" si="4"/>
        <v>6.8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90</v>
      </c>
      <c r="B128" s="53">
        <v>330</v>
      </c>
      <c r="C128" s="53">
        <v>15</v>
      </c>
      <c r="D128" s="53">
        <v>28</v>
      </c>
      <c r="E128" s="57"/>
      <c r="F128" s="57"/>
      <c r="G128" s="57"/>
      <c r="H128" s="57"/>
      <c r="I128" s="56">
        <f t="shared" si="4"/>
        <v>6.4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95</v>
      </c>
      <c r="B129" s="53">
        <v>332</v>
      </c>
      <c r="C129" s="53">
        <v>16</v>
      </c>
      <c r="D129" s="53">
        <v>28</v>
      </c>
      <c r="E129" s="57"/>
      <c r="F129" s="57"/>
      <c r="G129" s="57"/>
      <c r="H129" s="57"/>
      <c r="I129" s="56">
        <f t="shared" si="4"/>
        <v>6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100</v>
      </c>
      <c r="B130" s="53">
        <v>333</v>
      </c>
      <c r="C130" s="53">
        <v>17</v>
      </c>
      <c r="D130" s="53">
        <v>27</v>
      </c>
      <c r="E130" s="57"/>
      <c r="F130" s="57"/>
      <c r="G130" s="57"/>
      <c r="H130" s="57"/>
      <c r="I130" s="56">
        <f t="shared" si="4"/>
        <v>5.8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105</v>
      </c>
      <c r="B131" s="53">
        <v>333</v>
      </c>
      <c r="C131" s="53">
        <v>18</v>
      </c>
      <c r="D131" s="53">
        <v>26</v>
      </c>
      <c r="E131" s="57"/>
      <c r="F131" s="57"/>
      <c r="G131" s="57"/>
      <c r="H131" s="57"/>
      <c r="I131" s="56">
        <f t="shared" si="4"/>
        <v>5.4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110</v>
      </c>
      <c r="B132" s="53">
        <v>332</v>
      </c>
      <c r="C132" s="53">
        <v>19</v>
      </c>
      <c r="D132" s="53">
        <v>25</v>
      </c>
      <c r="E132" s="57"/>
      <c r="F132" s="57"/>
      <c r="G132" s="57"/>
      <c r="H132" s="57"/>
      <c r="I132" s="56">
        <f t="shared" si="4"/>
        <v>5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115</v>
      </c>
      <c r="B133" s="53">
        <v>330</v>
      </c>
      <c r="C133" s="53">
        <v>20</v>
      </c>
      <c r="D133" s="53">
        <v>330</v>
      </c>
      <c r="E133" s="57"/>
      <c r="F133" s="57"/>
      <c r="G133" s="57"/>
      <c r="H133" s="57"/>
      <c r="I133" s="56">
        <f t="shared" si="4"/>
        <v>4.5999999999999996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Bouleau verruqueux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15</v>
      </c>
      <c r="B140" s="63">
        <v>44</v>
      </c>
      <c r="C140" s="53">
        <v>1</v>
      </c>
      <c r="D140" s="63">
        <v>8</v>
      </c>
      <c r="E140" s="54"/>
      <c r="F140" s="54"/>
      <c r="G140" s="54"/>
      <c r="H140" s="54">
        <v>1</v>
      </c>
      <c r="I140" s="60">
        <f>IFERROR(B140/A140,"")</f>
        <v>2.9333333333333331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20</v>
      </c>
      <c r="B141" s="63">
        <v>65</v>
      </c>
      <c r="C141" s="53">
        <v>2</v>
      </c>
      <c r="D141" s="63">
        <v>10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5.8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25</v>
      </c>
      <c r="B142" s="63">
        <v>87</v>
      </c>
      <c r="C142" s="53">
        <v>3</v>
      </c>
      <c r="D142" s="63">
        <v>12</v>
      </c>
      <c r="E142" s="54"/>
      <c r="F142" s="54"/>
      <c r="G142" s="54"/>
      <c r="H142" s="54">
        <v>1</v>
      </c>
      <c r="I142" s="60">
        <f t="shared" si="5"/>
        <v>6.4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30</v>
      </c>
      <c r="B143" s="63">
        <v>109</v>
      </c>
      <c r="C143" s="53">
        <v>4</v>
      </c>
      <c r="D143" s="63">
        <v>14</v>
      </c>
      <c r="E143" s="54"/>
      <c r="F143" s="54"/>
      <c r="G143" s="54"/>
      <c r="H143" s="54">
        <v>1</v>
      </c>
      <c r="I143" s="60">
        <f t="shared" si="5"/>
        <v>6.8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35</v>
      </c>
      <c r="B144" s="63">
        <v>131</v>
      </c>
      <c r="C144" s="53">
        <v>5</v>
      </c>
      <c r="D144" s="63">
        <v>15</v>
      </c>
      <c r="E144" s="54"/>
      <c r="F144" s="54"/>
      <c r="G144" s="54"/>
      <c r="H144" s="54"/>
      <c r="I144" s="60">
        <f t="shared" si="5"/>
        <v>7.2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40</v>
      </c>
      <c r="B145" s="63">
        <v>150</v>
      </c>
      <c r="C145" s="53">
        <v>6</v>
      </c>
      <c r="D145" s="63">
        <v>16</v>
      </c>
      <c r="E145" s="54"/>
      <c r="F145" s="54"/>
      <c r="G145" s="54"/>
      <c r="H145" s="54"/>
      <c r="I145" s="60">
        <f t="shared" si="5"/>
        <v>6.8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45</v>
      </c>
      <c r="B146" s="63">
        <v>169</v>
      </c>
      <c r="C146" s="53">
        <v>7</v>
      </c>
      <c r="D146" s="63">
        <v>17</v>
      </c>
      <c r="E146" s="54"/>
      <c r="F146" s="54"/>
      <c r="G146" s="54"/>
      <c r="H146" s="54"/>
      <c r="I146" s="60">
        <f t="shared" si="5"/>
        <v>7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50</v>
      </c>
      <c r="B147" s="63">
        <v>186</v>
      </c>
      <c r="C147" s="53">
        <v>8</v>
      </c>
      <c r="D147" s="63">
        <v>17</v>
      </c>
      <c r="E147" s="54"/>
      <c r="F147" s="54"/>
      <c r="G147" s="54"/>
      <c r="H147" s="54"/>
      <c r="I147" s="60">
        <f>IF(A147&lt;&gt;0,(B147-(B146-D146))/(A147-A146),"")</f>
        <v>6.8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55</v>
      </c>
      <c r="B148" s="63">
        <v>202</v>
      </c>
      <c r="C148" s="53">
        <v>9</v>
      </c>
      <c r="D148" s="63">
        <v>17</v>
      </c>
      <c r="E148" s="54"/>
      <c r="F148" s="54"/>
      <c r="G148" s="54"/>
      <c r="H148" s="54"/>
      <c r="I148" s="60">
        <f t="shared" si="5"/>
        <v>6.6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60</v>
      </c>
      <c r="B149" s="63">
        <v>216</v>
      </c>
      <c r="C149" s="53">
        <v>10</v>
      </c>
      <c r="D149" s="63">
        <v>17</v>
      </c>
      <c r="E149" s="54"/>
      <c r="F149" s="54"/>
      <c r="G149" s="54"/>
      <c r="H149" s="54"/>
      <c r="I149" s="60">
        <f t="shared" si="5"/>
        <v>6.2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65</v>
      </c>
      <c r="B150" s="63">
        <v>229</v>
      </c>
      <c r="C150" s="53">
        <v>11</v>
      </c>
      <c r="D150" s="63">
        <v>17</v>
      </c>
      <c r="E150" s="54"/>
      <c r="F150" s="54"/>
      <c r="G150" s="54"/>
      <c r="H150" s="54"/>
      <c r="I150" s="60">
        <f t="shared" si="5"/>
        <v>6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70</v>
      </c>
      <c r="B151" s="63">
        <v>241</v>
      </c>
      <c r="C151" s="53">
        <v>12</v>
      </c>
      <c r="D151" s="63">
        <v>17</v>
      </c>
      <c r="E151" s="54"/>
      <c r="F151" s="54"/>
      <c r="G151" s="54"/>
      <c r="H151" s="54"/>
      <c r="I151" s="60">
        <f t="shared" si="5"/>
        <v>5.8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75</v>
      </c>
      <c r="B152" s="63">
        <v>251</v>
      </c>
      <c r="C152" s="53">
        <v>13</v>
      </c>
      <c r="D152" s="63">
        <v>17</v>
      </c>
      <c r="E152" s="57"/>
      <c r="F152" s="57"/>
      <c r="G152" s="57"/>
      <c r="H152" s="57"/>
      <c r="I152" s="60">
        <f t="shared" si="5"/>
        <v>5.4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80</v>
      </c>
      <c r="B153" s="63">
        <v>260</v>
      </c>
      <c r="C153" s="53">
        <v>14</v>
      </c>
      <c r="D153" s="63">
        <v>16</v>
      </c>
      <c r="E153" s="57"/>
      <c r="F153" s="57"/>
      <c r="G153" s="57"/>
      <c r="H153" s="57"/>
      <c r="I153" s="60">
        <f t="shared" si="5"/>
        <v>5.2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>
        <v>85</v>
      </c>
      <c r="B154" s="59">
        <v>268</v>
      </c>
      <c r="C154" s="53">
        <v>15</v>
      </c>
      <c r="D154" s="53">
        <v>16</v>
      </c>
      <c r="E154" s="57"/>
      <c r="F154" s="57"/>
      <c r="G154" s="57"/>
      <c r="H154" s="57"/>
      <c r="I154" s="60">
        <f t="shared" si="5"/>
        <v>4.8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>
        <v>90</v>
      </c>
      <c r="B155" s="59">
        <v>276</v>
      </c>
      <c r="C155" s="53">
        <v>16</v>
      </c>
      <c r="D155" s="53">
        <v>15</v>
      </c>
      <c r="E155" s="57"/>
      <c r="F155" s="57"/>
      <c r="G155" s="57"/>
      <c r="H155" s="57"/>
      <c r="I155" s="60">
        <f t="shared" si="5"/>
        <v>4.8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C22" sqref="C2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rouge d'Amérique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Châtaignier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Douglas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Chêne pédonculé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Bouleau verruqueux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239.16843440041487</v>
      </c>
      <c r="T3" s="62">
        <f>IF('Données projet'!E9&gt;30,$R$33-$H$33,LOOKUP('Données projet'!$E$9,$A$3:$A$203,R3:R203)-LOOKUP('Données projet'!$E$9,$A$3:$A$203,$H$3:$H$203))</f>
        <v>241.82319822554194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376.5422416541544</v>
      </c>
      <c r="AO3" s="62">
        <f>IF('Données projet'!E10&gt;30,$AM$33-$H$33,LOOKUP('Données projet'!$E$10,$A$3:$A$203,AM3:AM203)-LOOKUP('Données projet'!$E$10,$A$3:$A$203,$H$3:$H$203))</f>
        <v>365.76175372075869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405.13433810198853</v>
      </c>
      <c r="BJ3" s="62">
        <f>IF('Données projet'!E11&gt;30,$BH$33-$H$33,LOOKUP('Données projet'!$E$11,$A$3:$A$203,BH3:BH203)-LOOKUP('Données projet'!$E$11,$A$3:$A$203,$H$3:$H$203))</f>
        <v>534.74398214162079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411.60020200960821</v>
      </c>
      <c r="CE3" s="62">
        <f>IF('Données projet'!E12&gt;30,$CC$33-$H$33,LOOKUP('Données projet'!$E$12,$A$3:$A$203,CC3:CC203)-LOOKUP('Données projet'!$E$12,$A$3:$A$203,$H$3:$H$203))</f>
        <v>261.95434270986397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293.51866463276224</v>
      </c>
      <c r="CZ3" s="62">
        <f>IF('Données projet'!E13&gt;30,$CX$33-$H$33,LOOKUP('Données projet'!$E$13,$A$3:$A$203,CX3:CX203)-LOOKUP('Données projet'!$E$13,$A$3:$A$203,$H$3:$H$203))</f>
        <v>232.78663842203713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2.85</v>
      </c>
      <c r="N4" s="14">
        <f>IF('Données projet'!$A$36&gt;35,N3+M4-V3,IF(A4&lt;'Données projet'!$A$36,$K$205^A4,IF(A4='Données projet'!$A$36,'Données projet'!$B$36,N3+M4-V3)))</f>
        <v>1.2240347367580502</v>
      </c>
      <c r="O4" s="14">
        <f>N4*VLOOKUP('Données projet'!$B$9,Paramètres!$A$1:$I$89,3,0)*VLOOKUP('Données projet'!$B$9,Paramètres!$A$1:$I$89,5,0)</f>
        <v>1.0693167460318327</v>
      </c>
      <c r="P4" s="14">
        <f>EXP(-1.0587+0.8836*LN(O4)+0.284)</f>
        <v>0.48895675660122978</v>
      </c>
      <c r="Q4" s="22">
        <f t="shared" ref="Q4:Q34" si="2">(O4+P4)*0.475*44/12</f>
        <v>2.713993017085917</v>
      </c>
      <c r="R4" s="62">
        <f t="shared" si="0"/>
        <v>260.60288190597475</v>
      </c>
      <c r="S4" s="62">
        <f ca="1">AVERAGE(OFFSET($R$3,0,0,'Données projet'!$E$9+1,1))-AVERAGE(OFFSET($H$3,0,0,'Données projet'!$E$9+1,1))</f>
        <v>239.16843440041487</v>
      </c>
      <c r="T4" s="62">
        <f>$T$3</f>
        <v>241.82319822554194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1.9</v>
      </c>
      <c r="AI4" s="14">
        <f>IF('Données projet'!$A$62&gt;35,AI3+AH4-AQ3,IF(A4&lt;'Données projet'!$A$62,$AF$205^A4,IF(A4='Données projet'!$A$62,'Données projet'!$B$62,AI3+AH4-AQ3)))</f>
        <v>1.3423796509621049</v>
      </c>
      <c r="AJ4" s="14">
        <f>AI4*VLOOKUP('Données projet'!$B$10,Paramètres!$A$1:$I$89,3,0)*VLOOKUP('Données projet'!$B$10,Paramètres!$A$1:$I$89,5,0)</f>
        <v>0.98423276008541516</v>
      </c>
      <c r="AK4" s="14">
        <f>EXP(-1.0587+0.8836*LN(AJ4)+0.284)</f>
        <v>0.45441566615213064</v>
      </c>
      <c r="AL4" s="22">
        <f t="shared" ref="AL4:AL67" si="4">(AJ4+AK4)*0.475*44/12</f>
        <v>2.5056460090303925</v>
      </c>
      <c r="AM4" s="62">
        <f t="shared" ref="AM4:AM67" si="5">AL4+(AD4+AE4)*44/12</f>
        <v>260.39453489791924</v>
      </c>
      <c r="AN4" s="62">
        <f ca="1">AVERAGE(OFFSET($AM$3,0,0,'Données projet'!$E$10+1,1))-AVERAGE(OFFSET($H$3,0,0,'Données projet'!$E$10+1,1))</f>
        <v>376.5422416541544</v>
      </c>
      <c r="AO4" s="62">
        <f>$AO$3</f>
        <v>365.76175372075869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10.176470588235293</v>
      </c>
      <c r="BD4" s="13">
        <f>IF('Données projet'!$A$88&gt;35,BD3+BC4-BL3,IF(A4&lt;'Données projet'!$A$88,$BA$205^A4,IF(A4='Données projet'!$A$88,'Données projet'!$B$88,BD3+BC4-BL3)))</f>
        <v>1.3540969839753978</v>
      </c>
      <c r="BE4" s="14">
        <f>BD4*VLOOKUP('Données projet'!$B$11,Paramètres!$A$1:$I$89,3,0)*VLOOKUP('Données projet'!$B$11,Paramètres!$A$1:$I$89,5,0)</f>
        <v>0.75694021404224743</v>
      </c>
      <c r="BF4" s="14">
        <f>EXP(-1.0587+0.8836*LN(BE4)+0.284)</f>
        <v>0.36032207993018217</v>
      </c>
      <c r="BG4" s="22">
        <f t="shared" ref="BG4:BG67" si="7">(BE4+BF4)*0.475*44/12</f>
        <v>1.9458984953353149</v>
      </c>
      <c r="BH4" s="62">
        <f t="shared" ref="BH4:BH67" si="8">BG4+(AY4+AZ4)*44/12</f>
        <v>259.83478738422417</v>
      </c>
      <c r="BI4" s="62">
        <f ca="1">AVERAGE(OFFSET($BH$3,0,0,'Données projet'!$E$11+1,1))-AVERAGE(OFFSET($H$3,0,0,'Données projet'!$E$11+1,1))</f>
        <v>405.13433810198853</v>
      </c>
      <c r="BJ4" s="62">
        <f>$BJ$3</f>
        <v>534.74398214162079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3.65</v>
      </c>
      <c r="BY4" s="13">
        <f>IF('Données projet'!$A$114&gt;35,BY3+BX4-CG3,IF(A4&lt;'Données projet'!$A$114,$BV$205^A4,IF(A4='Données projet'!$A$114,'Données projet'!$B$114,BY3+BX4-CG3)))</f>
        <v>1.2392705892426346</v>
      </c>
      <c r="BZ4" s="14">
        <f>BY4*VLOOKUP('Données projet'!$B$12,Paramètres!$A$1:$I$89,3,0)*VLOOKUP('Données projet'!$B$12,Paramètres!$A$1:$I$89,5,0)</f>
        <v>1.0439615443779955</v>
      </c>
      <c r="CA4" s="14">
        <f>EXP(-1.0587+0.8836*LN(BZ4)+0.284)</f>
        <v>0.478698084995758</v>
      </c>
      <c r="CB4" s="22">
        <f t="shared" ref="CB4:CB67" si="10">(BZ4+CA4)*0.475*44/12</f>
        <v>2.6519655211592874</v>
      </c>
      <c r="CC4" s="62">
        <f t="shared" ref="CC4:CC67" si="11">CB4+(BT4+BU4)*44/12</f>
        <v>260.54085441004815</v>
      </c>
      <c r="CD4" s="62">
        <f ca="1">AVERAGE(OFFSET($CC$3,0,0,'Données projet'!$E$12+1,1))-AVERAGE(OFFSET($H$3,0,0,'Données projet'!$E$12+1,1))</f>
        <v>411.60020200960821</v>
      </c>
      <c r="CE4" s="62">
        <f>$CE$3</f>
        <v>261.95434270986397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2.9333333333333331</v>
      </c>
      <c r="CT4" s="13">
        <f>IF('Données projet'!$A$140&gt;35,CT3+CS4-DB3,IF(A4&lt;'Données projet'!$A$140,$CQ$205^A4,IF(A4='Données projet'!$A$140,'Données projet'!$B$140,CT3+CS4-DB3)))</f>
        <v>1.2869554452352225</v>
      </c>
      <c r="CU4" s="18">
        <f>CT4*VLOOKUP('Données projet'!$B$13,Paramètres!$A$1:$I$89,3,0)*VLOOKUP('Données projet'!$B$13,Paramètres!$A$1:$I$89,5,0)</f>
        <v>1.0439782571748126</v>
      </c>
      <c r="CV4" s="14">
        <f>EXP(-1.0587+0.8836*LN(CU4)+0.284)</f>
        <v>0.47870485644496019</v>
      </c>
      <c r="CW4" s="22">
        <f t="shared" ref="CW4:CW67" si="13">(CU4+CV4)*0.475*44/12</f>
        <v>2.6520064228877711</v>
      </c>
      <c r="CX4" s="62">
        <f t="shared" ref="CX4:CX67" si="14">CW4+(CO4+CP4)*44/12</f>
        <v>260.54089531177664</v>
      </c>
      <c r="CY4" s="62">
        <f ca="1">AVERAGE(OFFSET($CX$3,0,0,'Données projet'!$E$13+1,1))-AVERAGE(OFFSET($H$3,0,0,'Données projet'!$E$13+1,1))</f>
        <v>293.51866463276224</v>
      </c>
      <c r="CZ4" s="62">
        <f>$CZ$3</f>
        <v>232.78663842203713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2.85</v>
      </c>
      <c r="N5" s="14">
        <f>IF('Données projet'!$A$36&gt;35,N4+M5-V4,IF(A5&lt;'Données projet'!$A$36,$K$205^A5,IF(A5='Données projet'!$A$36,'Données projet'!$B$36,N4+M5-V4)))</f>
        <v>1.4982610367903493</v>
      </c>
      <c r="O5" s="14">
        <f>N5*VLOOKUP('Données projet'!$B$9,Paramètres!$A$1:$I$89,3,0)*VLOOKUP('Données projet'!$B$9,Paramètres!$A$1:$I$89,5,0)</f>
        <v>1.3088808417400493</v>
      </c>
      <c r="P5" s="14">
        <f t="shared" ref="P5:P68" si="33">EXP(-1.0587+0.8836*LN(O5)+0.284)</f>
        <v>0.58458141328454194</v>
      </c>
      <c r="Q5" s="22">
        <f t="shared" si="2"/>
        <v>3.297780094167829</v>
      </c>
      <c r="R5" s="62">
        <f t="shared" si="0"/>
        <v>262.40889120527896</v>
      </c>
      <c r="S5" s="62">
        <f ca="1">AVERAGE(OFFSET($R$3,0,0,'Données projet'!$E$9+1,1))-AVERAGE(OFFSET($H$3,0,0,'Données projet'!$E$9+1,1))</f>
        <v>239.16843440041487</v>
      </c>
      <c r="T5" s="62">
        <f t="shared" ref="T5:T68" si="34">$T$3</f>
        <v>241.82319822554194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1.9</v>
      </c>
      <c r="AI5" s="14">
        <f>IF('Données projet'!$A$62&gt;35,AI4+AH5-AQ4,IF(A5&lt;'Données projet'!$A$62,$AF$205^A5,IF(A5='Données projet'!$A$62,'Données projet'!$B$62,AI4+AH5-AQ4)))</f>
        <v>1.8019831273171425</v>
      </c>
      <c r="AJ5" s="14">
        <f>AI5*VLOOKUP('Données projet'!$B$10,Paramètres!$A$1:$I$89,3,0)*VLOOKUP('Données projet'!$B$10,Paramètres!$A$1:$I$89,5,0)</f>
        <v>1.3212140289489287</v>
      </c>
      <c r="AK5" s="14">
        <f t="shared" ref="AK5:AK68" si="35">EXP(-1.0587+0.8836*LN(AJ5)+0.284)</f>
        <v>0.58944591680017422</v>
      </c>
      <c r="AL5" s="22">
        <f t="shared" si="4"/>
        <v>3.327732738846354</v>
      </c>
      <c r="AM5" s="62">
        <f t="shared" si="5"/>
        <v>262.43884384995749</v>
      </c>
      <c r="AN5" s="62">
        <f ca="1">AVERAGE(OFFSET($AM$3,0,0,'Données projet'!$E$10+1,1))-AVERAGE(OFFSET($H$3,0,0,'Données projet'!$E$10+1,1))</f>
        <v>376.5422416541544</v>
      </c>
      <c r="AO5" s="62">
        <f t="shared" ref="AO5:AO68" si="36">$AO$3</f>
        <v>365.76175372075869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10.176470588235293</v>
      </c>
      <c r="BD5" s="13">
        <f>IF('Données projet'!$A$88&gt;35,BD4+BC5-BL4,IF(A5&lt;'Données projet'!$A$88,$BA$205^A5,IF(A5='Données projet'!$A$88,'Données projet'!$B$88,BD4+BC5-BL4)))</f>
        <v>1.8335786420112687</v>
      </c>
      <c r="BE5" s="14">
        <f>BD5*VLOOKUP('Données projet'!$B$11,Paramètres!$A$1:$I$89,3,0)*VLOOKUP('Données projet'!$B$11,Paramètres!$A$1:$I$89,5,0)</f>
        <v>1.0249704608842993</v>
      </c>
      <c r="BF5" s="14">
        <f t="shared" ref="BF5:BF68" si="37">EXP(-1.0587+0.8836*LN(BE5)+0.284)</f>
        <v>0.47099534321068515</v>
      </c>
      <c r="BG5" s="22">
        <f t="shared" si="7"/>
        <v>2.6054737754654309</v>
      </c>
      <c r="BH5" s="62">
        <f t="shared" si="8"/>
        <v>261.71658488657658</v>
      </c>
      <c r="BI5" s="62">
        <f ca="1">AVERAGE(OFFSET($BH$3,0,0,'Données projet'!$E$11+1,1))-AVERAGE(OFFSET($H$3,0,0,'Données projet'!$E$11+1,1))</f>
        <v>405.13433810198853</v>
      </c>
      <c r="BJ5" s="62">
        <f t="shared" ref="BJ5:BJ68" si="38">$BJ$3</f>
        <v>534.74398214162079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3.65</v>
      </c>
      <c r="BY5" s="13">
        <f>IF('Données projet'!$A$114&gt;35,BY4+BX5-CG4,IF(A5&lt;'Données projet'!$A$114,$BV$205^A5,IF(A5='Données projet'!$A$114,'Données projet'!$B$114,BY4+BX5-CG4)))</f>
        <v>1.5357915933617867</v>
      </c>
      <c r="BZ5" s="14">
        <f>BY5*VLOOKUP('Données projet'!$B$12,Paramètres!$A$1:$I$89,3,0)*VLOOKUP('Données projet'!$B$12,Paramètres!$A$1:$I$89,5,0)</f>
        <v>1.2937508382479692</v>
      </c>
      <c r="CA5" s="14">
        <f t="shared" ref="CA5:CA68" si="39">EXP(-1.0587+0.8836*LN(BZ5)+0.284)</f>
        <v>0.57860648124254321</v>
      </c>
      <c r="CB5" s="22">
        <f t="shared" si="10"/>
        <v>3.2610223314459752</v>
      </c>
      <c r="CC5" s="62">
        <f t="shared" si="11"/>
        <v>262.37213344255713</v>
      </c>
      <c r="CD5" s="62">
        <f ca="1">AVERAGE(OFFSET($CC$3,0,0,'Données projet'!$E$12+1,1))-AVERAGE(OFFSET($H$3,0,0,'Données projet'!$E$12+1,1))</f>
        <v>411.60020200960821</v>
      </c>
      <c r="CE5" s="62">
        <f t="shared" ref="CE5:CE68" si="40">$CE$3</f>
        <v>261.95434270986397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2.9333333333333331</v>
      </c>
      <c r="CT5" s="13">
        <f>IF('Données projet'!$A$140&gt;35,CT4+CS5-DB4,IF(A5&lt;'Données projet'!$A$140,$CQ$205^A5,IF(A5='Données projet'!$A$140,'Données projet'!$B$140,CT4+CS5-DB4)))</f>
        <v>1.65625431802059</v>
      </c>
      <c r="CU5" s="18">
        <f>CT5*VLOOKUP('Données projet'!$B$13,Paramètres!$A$1:$I$89,3,0)*VLOOKUP('Données projet'!$B$13,Paramètres!$A$1:$I$89,5,0)</f>
        <v>1.3435535027783025</v>
      </c>
      <c r="CV5" s="14">
        <f t="shared" ref="CV5:CV68" si="41">EXP(-1.0587+0.8836*LN(CU5)+0.284)</f>
        <v>0.59824372558516592</v>
      </c>
      <c r="CW5" s="22">
        <f t="shared" si="13"/>
        <v>3.381963506066374</v>
      </c>
      <c r="CX5" s="62">
        <f t="shared" si="14"/>
        <v>262.49307461717751</v>
      </c>
      <c r="CY5" s="62">
        <f ca="1">AVERAGE(OFFSET($CX$3,0,0,'Données projet'!$E$13+1,1))-AVERAGE(OFFSET($H$3,0,0,'Données projet'!$E$13+1,1))</f>
        <v>293.51866463276224</v>
      </c>
      <c r="CZ5" s="62">
        <f t="shared" ref="CZ5:CZ68" si="42">$CZ$3</f>
        <v>232.78663842203713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2.85</v>
      </c>
      <c r="N6" s="14">
        <f>IF('Données projet'!$A$36&gt;35,N5+M6-V5,IF(A6&lt;'Données projet'!$A$36,$K$205^A6,IF(A6='Données projet'!$A$36,'Données projet'!$B$36,N5+M6-V5)))</f>
        <v>1.8339235537625185</v>
      </c>
      <c r="O6" s="14">
        <f>N6*VLOOKUP('Données projet'!$B$9,Paramètres!$A$1:$I$89,3,0)*VLOOKUP('Données projet'!$B$9,Paramètres!$A$1:$I$89,5,0)</f>
        <v>1.6021156165669364</v>
      </c>
      <c r="P6" s="14">
        <f t="shared" si="33"/>
        <v>0.69890726356493671</v>
      </c>
      <c r="Q6" s="22">
        <f t="shared" si="2"/>
        <v>4.0076148495630122</v>
      </c>
      <c r="R6" s="62">
        <f t="shared" si="0"/>
        <v>264.34094818289634</v>
      </c>
      <c r="S6" s="62">
        <f ca="1">AVERAGE(OFFSET($R$3,0,0,'Données projet'!$E$9+1,1))-AVERAGE(OFFSET($H$3,0,0,'Données projet'!$E$9+1,1))</f>
        <v>239.16843440041487</v>
      </c>
      <c r="T6" s="62">
        <f t="shared" si="34"/>
        <v>241.82319822554194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1.9</v>
      </c>
      <c r="AI6" s="14">
        <f>IF('Données projet'!$A$62&gt;35,AI5+AH6-AQ5,IF(A6&lt;'Données projet'!$A$62,$AF$205^A6,IF(A6='Données projet'!$A$62,'Données projet'!$B$62,AI5+AH6-AQ5)))</f>
        <v>2.4189454814875879</v>
      </c>
      <c r="AJ6" s="14">
        <f>AI6*VLOOKUP('Données projet'!$B$10,Paramètres!$A$1:$I$89,3,0)*VLOOKUP('Données projet'!$B$10,Paramètres!$A$1:$I$89,5,0)</f>
        <v>1.7735708270266992</v>
      </c>
      <c r="AK6" s="14">
        <f t="shared" si="35"/>
        <v>0.76460059525341872</v>
      </c>
      <c r="AL6" s="22">
        <f t="shared" si="4"/>
        <v>4.4206485604712045</v>
      </c>
      <c r="AM6" s="62">
        <f t="shared" si="5"/>
        <v>264.75398189380451</v>
      </c>
      <c r="AN6" s="62">
        <f ca="1">AVERAGE(OFFSET($AM$3,0,0,'Données projet'!$E$10+1,1))-AVERAGE(OFFSET($H$3,0,0,'Données projet'!$E$10+1,1))</f>
        <v>376.5422416541544</v>
      </c>
      <c r="AO6" s="62">
        <f t="shared" si="36"/>
        <v>365.76175372075869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10.176470588235293</v>
      </c>
      <c r="BD6" s="13">
        <f>IF('Données projet'!$A$88&gt;35,BD5+BC6-BL5,IF(A6&lt;'Données projet'!$A$88,$BA$205^A6,IF(A6='Données projet'!$A$88,'Données projet'!$B$88,BD5+BC6-BL5)))</f>
        <v>2.4828433090291648</v>
      </c>
      <c r="BE6" s="14">
        <f>BD6*VLOOKUP('Données projet'!$B$11,Paramètres!$A$1:$I$89,3,0)*VLOOKUP('Données projet'!$B$11,Paramètres!$A$1:$I$89,5,0)</f>
        <v>1.3879094097473033</v>
      </c>
      <c r="BF6" s="14">
        <f t="shared" si="37"/>
        <v>0.6156620026425671</v>
      </c>
      <c r="BG6" s="22">
        <f t="shared" si="7"/>
        <v>3.4895535432456906</v>
      </c>
      <c r="BH6" s="62">
        <f t="shared" si="8"/>
        <v>263.82288687657899</v>
      </c>
      <c r="BI6" s="62">
        <f ca="1">AVERAGE(OFFSET($BH$3,0,0,'Données projet'!$E$11+1,1))-AVERAGE(OFFSET($H$3,0,0,'Données projet'!$E$11+1,1))</f>
        <v>405.13433810198853</v>
      </c>
      <c r="BJ6" s="62">
        <f t="shared" si="38"/>
        <v>534.74398214162079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3.65</v>
      </c>
      <c r="BY6" s="13">
        <f>IF('Données projet'!$A$114&gt;35,BY5+BX6-CG5,IF(A6&lt;'Données projet'!$A$114,$BV$205^A6,IF(A6='Données projet'!$A$114,'Données projet'!$B$114,BY5+BX6-CG5)))</f>
        <v>1.9032613528593461</v>
      </c>
      <c r="BZ6" s="14">
        <f>BY6*VLOOKUP('Données projet'!$B$12,Paramètres!$A$1:$I$89,3,0)*VLOOKUP('Données projet'!$B$12,Paramètres!$A$1:$I$89,5,0)</f>
        <v>1.6033073636487132</v>
      </c>
      <c r="CA6" s="14">
        <f t="shared" si="39"/>
        <v>0.69936661672428513</v>
      </c>
      <c r="CB6" s="22">
        <f t="shared" si="10"/>
        <v>4.0104905158163051</v>
      </c>
      <c r="CC6" s="62">
        <f t="shared" si="11"/>
        <v>264.3438238491496</v>
      </c>
      <c r="CD6" s="62">
        <f ca="1">AVERAGE(OFFSET($CC$3,0,0,'Données projet'!$E$12+1,1))-AVERAGE(OFFSET($H$3,0,0,'Données projet'!$E$12+1,1))</f>
        <v>411.60020200960821</v>
      </c>
      <c r="CE6" s="62">
        <f t="shared" si="40"/>
        <v>261.95434270986397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2.9333333333333331</v>
      </c>
      <c r="CT6" s="13">
        <f>IF('Données projet'!$A$140&gt;35,CT5+CS6-DB5,IF(A6&lt;'Données projet'!$A$140,$CQ$205^A6,IF(A6='Données projet'!$A$140,'Données projet'!$B$140,CT5+CS6-DB5)))</f>
        <v>2.1315255132709483</v>
      </c>
      <c r="CU6" s="18">
        <f>CT6*VLOOKUP('Données projet'!$B$13,Paramètres!$A$1:$I$89,3,0)*VLOOKUP('Données projet'!$B$13,Paramètres!$A$1:$I$89,5,0)</f>
        <v>1.7290934963653934</v>
      </c>
      <c r="CV6" s="14">
        <f t="shared" si="41"/>
        <v>0.74763301517324143</v>
      </c>
      <c r="CW6" s="22">
        <f t="shared" si="13"/>
        <v>4.3136320075964552</v>
      </c>
      <c r="CX6" s="62">
        <f t="shared" si="14"/>
        <v>264.6469653409298</v>
      </c>
      <c r="CY6" s="62">
        <f ca="1">AVERAGE(OFFSET($CX$3,0,0,'Données projet'!$E$13+1,1))-AVERAGE(OFFSET($H$3,0,0,'Données projet'!$E$13+1,1))</f>
        <v>293.51866463276224</v>
      </c>
      <c r="CZ6" s="62">
        <f t="shared" si="42"/>
        <v>232.78663842203713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2.85</v>
      </c>
      <c r="N7" s="14">
        <f>IF('Données projet'!$A$36&gt;35,N6+M7-V6,IF(A7&lt;'Données projet'!$A$36,$K$205^A7,IF(A7='Données projet'!$A$36,'Données projet'!$B$36,N6+M7-V6)))</f>
        <v>2.2447861343640922</v>
      </c>
      <c r="O7" s="14">
        <f>N7*VLOOKUP('Données projet'!$B$9,Paramètres!$A$1:$I$89,3,0)*VLOOKUP('Données projet'!$B$9,Paramètres!$A$1:$I$89,5,0)</f>
        <v>1.9610451669804712</v>
      </c>
      <c r="P7" s="14">
        <f t="shared" si="33"/>
        <v>0.83559167630611453</v>
      </c>
      <c r="Q7" s="22">
        <f t="shared" si="2"/>
        <v>4.8708091687241364</v>
      </c>
      <c r="R7" s="62">
        <f t="shared" si="0"/>
        <v>266.42636472427967</v>
      </c>
      <c r="S7" s="62">
        <f ca="1">AVERAGE(OFFSET($R$3,0,0,'Données projet'!$E$9+1,1))-AVERAGE(OFFSET($H$3,0,0,'Données projet'!$E$9+1,1))</f>
        <v>239.16843440041487</v>
      </c>
      <c r="T7" s="62">
        <f t="shared" si="34"/>
        <v>241.82319822554194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1.9</v>
      </c>
      <c r="AI7" s="14">
        <f>IF('Données projet'!$A$62&gt;35,AI6+AH7-AQ6,IF(A7&lt;'Données projet'!$A$62,$AF$205^A7,IF(A7='Données projet'!$A$62,'Données projet'!$B$62,AI6+AH7-AQ6)))</f>
        <v>3.247143191135669</v>
      </c>
      <c r="AJ7" s="14">
        <f>AI7*VLOOKUP('Données projet'!$B$10,Paramètres!$A$1:$I$89,3,0)*VLOOKUP('Données projet'!$B$10,Paramètres!$A$1:$I$89,5,0)</f>
        <v>2.3808053877406725</v>
      </c>
      <c r="AK7" s="14">
        <f t="shared" si="35"/>
        <v>0.99180273134383279</v>
      </c>
      <c r="AL7" s="22">
        <f t="shared" si="4"/>
        <v>5.8739591407388465</v>
      </c>
      <c r="AM7" s="62">
        <f t="shared" si="5"/>
        <v>267.4295146962944</v>
      </c>
      <c r="AN7" s="62">
        <f ca="1">AVERAGE(OFFSET($AM$3,0,0,'Données projet'!$E$10+1,1))-AVERAGE(OFFSET($H$3,0,0,'Données projet'!$E$10+1,1))</f>
        <v>376.5422416541544</v>
      </c>
      <c r="AO7" s="62">
        <f t="shared" si="36"/>
        <v>365.76175372075869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10.176470588235293</v>
      </c>
      <c r="BD7" s="13">
        <f>IF('Données projet'!$A$88&gt;35,BD6+BC7-BL6,IF(A7&lt;'Données projet'!$A$88,$BA$205^A7,IF(A7='Données projet'!$A$88,'Données projet'!$B$88,BD6+BC7-BL6)))</f>
        <v>3.3620106364398885</v>
      </c>
      <c r="BE7" s="14">
        <f>BD7*VLOOKUP('Données projet'!$B$11,Paramètres!$A$1:$I$89,3,0)*VLOOKUP('Données projet'!$B$11,Paramètres!$A$1:$I$89,5,0)</f>
        <v>1.8793639457698976</v>
      </c>
      <c r="BF7" s="14">
        <f t="shared" si="37"/>
        <v>0.8047631615930958</v>
      </c>
      <c r="BG7" s="22">
        <f t="shared" si="7"/>
        <v>4.6748547119905464</v>
      </c>
      <c r="BH7" s="62">
        <f t="shared" si="8"/>
        <v>266.23041026754606</v>
      </c>
      <c r="BI7" s="62">
        <f ca="1">AVERAGE(OFFSET($BH$3,0,0,'Données projet'!$E$11+1,1))-AVERAGE(OFFSET($H$3,0,0,'Données projet'!$E$11+1,1))</f>
        <v>405.13433810198853</v>
      </c>
      <c r="BJ7" s="62">
        <f t="shared" si="38"/>
        <v>534.74398214162079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3.65</v>
      </c>
      <c r="BY7" s="13">
        <f>IF('Données projet'!$A$114&gt;35,BY6+BX7-CG6,IF(A7&lt;'Données projet'!$A$114,$BV$205^A7,IF(A7='Données projet'!$A$114,'Données projet'!$B$114,BY6+BX7-CG6)))</f>
        <v>2.3586558182407358</v>
      </c>
      <c r="BZ7" s="14">
        <f>BY7*VLOOKUP('Données projet'!$B$12,Paramètres!$A$1:$I$89,3,0)*VLOOKUP('Données projet'!$B$12,Paramètres!$A$1:$I$89,5,0)</f>
        <v>1.9869316612859962</v>
      </c>
      <c r="CA7" s="14">
        <f t="shared" si="39"/>
        <v>0.84533042826968274</v>
      </c>
      <c r="CB7" s="22">
        <f t="shared" si="10"/>
        <v>4.9328564726428068</v>
      </c>
      <c r="CC7" s="62">
        <f t="shared" si="11"/>
        <v>266.48841202819835</v>
      </c>
      <c r="CD7" s="62">
        <f ca="1">AVERAGE(OFFSET($CC$3,0,0,'Données projet'!$E$12+1,1))-AVERAGE(OFFSET($H$3,0,0,'Données projet'!$E$12+1,1))</f>
        <v>411.60020200960821</v>
      </c>
      <c r="CE7" s="62">
        <f t="shared" si="40"/>
        <v>261.95434270986397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2.9333333333333331</v>
      </c>
      <c r="CT7" s="13">
        <f>IF('Données projet'!$A$140&gt;35,CT6+CS7-DB6,IF(A7&lt;'Données projet'!$A$140,$CQ$205^A7,IF(A7='Données projet'!$A$140,'Données projet'!$B$140,CT6+CS7-DB6)))</f>
        <v>2.7431783659618496</v>
      </c>
      <c r="CU7" s="18">
        <f>CT7*VLOOKUP('Données projet'!$B$13,Paramètres!$A$1:$I$89,3,0)*VLOOKUP('Données projet'!$B$13,Paramètres!$A$1:$I$89,5,0)</f>
        <v>2.2252662904682525</v>
      </c>
      <c r="CV7" s="14">
        <f t="shared" si="41"/>
        <v>0.93432676595194708</v>
      </c>
      <c r="CW7" s="22">
        <f t="shared" si="13"/>
        <v>5.5029579065985139</v>
      </c>
      <c r="CX7" s="62">
        <f t="shared" si="14"/>
        <v>267.05851346215405</v>
      </c>
      <c r="CY7" s="62">
        <f ca="1">AVERAGE(OFFSET($CX$3,0,0,'Données projet'!$E$13+1,1))-AVERAGE(OFFSET($H$3,0,0,'Données projet'!$E$13+1,1))</f>
        <v>293.51866463276224</v>
      </c>
      <c r="CZ7" s="62">
        <f t="shared" si="42"/>
        <v>232.78663842203713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2.85</v>
      </c>
      <c r="N8" s="14">
        <f>IF('Données projet'!$A$36&gt;35,N7+M8-V7,IF(A8&lt;'Données projet'!$A$36,$K$205^A8,IF(A8='Données projet'!$A$36,'Données projet'!$B$36,N7+M8-V7)))</f>
        <v>2.7476962050544729</v>
      </c>
      <c r="O8" s="14">
        <f>N8*VLOOKUP('Données projet'!$B$9,Paramètres!$A$1:$I$89,3,0)*VLOOKUP('Données projet'!$B$9,Paramètres!$A$1:$I$89,5,0)</f>
        <v>2.400387404735588</v>
      </c>
      <c r="P8" s="14">
        <f t="shared" si="33"/>
        <v>0.99900728739126998</v>
      </c>
      <c r="Q8" s="22">
        <f t="shared" si="2"/>
        <v>5.9206124221209437</v>
      </c>
      <c r="R8" s="62">
        <f t="shared" si="0"/>
        <v>268.69839019989871</v>
      </c>
      <c r="S8" s="62">
        <f ca="1">AVERAGE(OFFSET($R$3,0,0,'Données projet'!$E$9+1,1))-AVERAGE(OFFSET($H$3,0,0,'Données projet'!$E$9+1,1))</f>
        <v>239.16843440041487</v>
      </c>
      <c r="T8" s="62">
        <f t="shared" si="34"/>
        <v>241.82319822554194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1.9</v>
      </c>
      <c r="AI8" s="14">
        <f>IF('Données projet'!$A$62&gt;35,AI7+AH8-AQ7,IF(A8&lt;'Données projet'!$A$62,$AF$205^A8,IF(A8='Données projet'!$A$62,'Données projet'!$B$62,AI7+AH8-AQ7)))</f>
        <v>4.3588989435406749</v>
      </c>
      <c r="AJ8" s="14">
        <f>AI8*VLOOKUP('Données projet'!$B$10,Paramètres!$A$1:$I$89,3,0)*VLOOKUP('Données projet'!$B$10,Paramètres!$A$1:$I$89,5,0)</f>
        <v>3.1959447054040226</v>
      </c>
      <c r="AK8" s="14">
        <f t="shared" si="35"/>
        <v>1.2865182998910156</v>
      </c>
      <c r="AL8" s="22">
        <f t="shared" si="4"/>
        <v>7.8069564008888577</v>
      </c>
      <c r="AM8" s="62">
        <f t="shared" si="5"/>
        <v>270.58473417866662</v>
      </c>
      <c r="AN8" s="62">
        <f ca="1">AVERAGE(OFFSET($AM$3,0,0,'Données projet'!$E$10+1,1))-AVERAGE(OFFSET($H$3,0,0,'Données projet'!$E$10+1,1))</f>
        <v>376.5422416541544</v>
      </c>
      <c r="AO8" s="62">
        <f t="shared" si="36"/>
        <v>365.76175372075869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10.176470588235293</v>
      </c>
      <c r="BD8" s="13">
        <f>IF('Données projet'!$A$88&gt;35,BD7+BC8-BL7,IF(A8&lt;'Données projet'!$A$88,$BA$205^A8,IF(A8='Données projet'!$A$88,'Données projet'!$B$88,BD7+BC8-BL7)))</f>
        <v>4.552488462896461</v>
      </c>
      <c r="BE8" s="14">
        <f>BD8*VLOOKUP('Données projet'!$B$11,Paramètres!$A$1:$I$89,3,0)*VLOOKUP('Données projet'!$B$11,Paramètres!$A$1:$I$89,5,0)</f>
        <v>2.5448410507591217</v>
      </c>
      <c r="BF8" s="14">
        <f t="shared" si="37"/>
        <v>1.0519469180775736</v>
      </c>
      <c r="BG8" s="22">
        <f t="shared" si="7"/>
        <v>6.2644057123905768</v>
      </c>
      <c r="BH8" s="62">
        <f t="shared" si="8"/>
        <v>269.04218349016833</v>
      </c>
      <c r="BI8" s="62">
        <f ca="1">AVERAGE(OFFSET($BH$3,0,0,'Données projet'!$E$11+1,1))-AVERAGE(OFFSET($H$3,0,0,'Données projet'!$E$11+1,1))</f>
        <v>405.13433810198853</v>
      </c>
      <c r="BJ8" s="62">
        <f t="shared" si="38"/>
        <v>534.74398214162079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3.65</v>
      </c>
      <c r="BY8" s="13">
        <f>IF('Données projet'!$A$114&gt;35,BY7+BX8-CG7,IF(A8&lt;'Données projet'!$A$114,$BV$205^A8,IF(A8='Données projet'!$A$114,'Données projet'!$B$114,BY7+BX8-CG7)))</f>
        <v>2.9230127856917649</v>
      </c>
      <c r="BZ8" s="14">
        <f>BY8*VLOOKUP('Données projet'!$B$12,Paramètres!$A$1:$I$89,3,0)*VLOOKUP('Données projet'!$B$12,Paramètres!$A$1:$I$89,5,0)</f>
        <v>2.462345970666743</v>
      </c>
      <c r="CA8" s="14">
        <f t="shared" si="39"/>
        <v>1.021758139251189</v>
      </c>
      <c r="CB8" s="22">
        <f t="shared" si="10"/>
        <v>6.068147991440398</v>
      </c>
      <c r="CC8" s="62">
        <f t="shared" si="11"/>
        <v>268.84592576921818</v>
      </c>
      <c r="CD8" s="62">
        <f ca="1">AVERAGE(OFFSET($CC$3,0,0,'Données projet'!$E$12+1,1))-AVERAGE(OFFSET($H$3,0,0,'Données projet'!$E$12+1,1))</f>
        <v>411.60020200960821</v>
      </c>
      <c r="CE8" s="62">
        <f t="shared" si="40"/>
        <v>261.95434270986397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2.9333333333333331</v>
      </c>
      <c r="CT8" s="13">
        <f>IF('Données projet'!$A$140&gt;35,CT7+CS8-DB7,IF(A8&lt;'Données projet'!$A$140,$CQ$205^A8,IF(A8='Données projet'!$A$140,'Données projet'!$B$140,CT7+CS8-DB7)))</f>
        <v>3.5303483353260625</v>
      </c>
      <c r="CU8" s="18">
        <f>CT8*VLOOKUP('Données projet'!$B$13,Paramètres!$A$1:$I$89,3,0)*VLOOKUP('Données projet'!$B$13,Paramètres!$A$1:$I$89,5,0)</f>
        <v>2.8638185696165022</v>
      </c>
      <c r="CV8" s="14">
        <f t="shared" si="41"/>
        <v>1.1676403902146311</v>
      </c>
      <c r="CW8" s="22">
        <f t="shared" si="13"/>
        <v>7.021457688372557</v>
      </c>
      <c r="CX8" s="62">
        <f t="shared" si="14"/>
        <v>269.79923546615032</v>
      </c>
      <c r="CY8" s="62">
        <f ca="1">AVERAGE(OFFSET($CX$3,0,0,'Données projet'!$E$13+1,1))-AVERAGE(OFFSET($H$3,0,0,'Données projet'!$E$13+1,1))</f>
        <v>293.51866463276224</v>
      </c>
      <c r="CZ8" s="62">
        <f t="shared" si="42"/>
        <v>232.78663842203713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2.85</v>
      </c>
      <c r="N9" s="14">
        <f>IF('Données projet'!$A$36&gt;35,N8+M9-V8,IF(A9&lt;'Données projet'!$A$36,$K$205^A9,IF(A9='Données projet'!$A$36,'Données projet'!$B$36,N8+M9-V8)))</f>
        <v>3.3632756010449452</v>
      </c>
      <c r="O9" s="14">
        <f>N9*VLOOKUP('Données projet'!$B$9,Paramètres!$A$1:$I$89,3,0)*VLOOKUP('Données projet'!$B$9,Paramètres!$A$1:$I$89,5,0)</f>
        <v>2.9381575650728644</v>
      </c>
      <c r="P9" s="14">
        <f t="shared" si="33"/>
        <v>1.1943818835926812</v>
      </c>
      <c r="Q9" s="22">
        <f t="shared" si="2"/>
        <v>7.1975062064258246</v>
      </c>
      <c r="R9" s="62">
        <f t="shared" si="0"/>
        <v>271.19750620642583</v>
      </c>
      <c r="S9" s="62">
        <f ca="1">AVERAGE(OFFSET($R$3,0,0,'Données projet'!$E$9+1,1))-AVERAGE(OFFSET($H$3,0,0,'Données projet'!$E$9+1,1))</f>
        <v>239.16843440041487</v>
      </c>
      <c r="T9" s="62">
        <f t="shared" si="34"/>
        <v>241.82319822554194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1.9</v>
      </c>
      <c r="AI9" s="14">
        <f>IF('Données projet'!$A$62&gt;35,AI8+AH9-AQ8,IF(A9&lt;'Données projet'!$A$62,$AF$205^A9,IF(A9='Données projet'!$A$62,'Données projet'!$B$62,AI8+AH9-AQ8)))</f>
        <v>5.8512972424092187</v>
      </c>
      <c r="AJ9" s="14">
        <f>AI9*VLOOKUP('Données projet'!$B$10,Paramètres!$A$1:$I$89,3,0)*VLOOKUP('Données projet'!$B$10,Paramètres!$A$1:$I$89,5,0)</f>
        <v>4.290171138134439</v>
      </c>
      <c r="AK9" s="14">
        <f t="shared" si="35"/>
        <v>1.6688090117596963</v>
      </c>
      <c r="AL9" s="22">
        <f t="shared" si="4"/>
        <v>10.378557094398952</v>
      </c>
      <c r="AM9" s="62">
        <f t="shared" si="5"/>
        <v>274.37855709439896</v>
      </c>
      <c r="AN9" s="62">
        <f ca="1">AVERAGE(OFFSET($AM$3,0,0,'Données projet'!$E$10+1,1))-AVERAGE(OFFSET($H$3,0,0,'Données projet'!$E$10+1,1))</f>
        <v>376.5422416541544</v>
      </c>
      <c r="AO9" s="62">
        <f t="shared" si="36"/>
        <v>365.76175372075869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10.176470588235293</v>
      </c>
      <c r="BD9" s="13">
        <f>IF('Données projet'!$A$88&gt;35,BD8+BC9-BL8,IF(A9&lt;'Données projet'!$A$88,$BA$205^A9,IF(A9='Données projet'!$A$88,'Données projet'!$B$88,BD8+BC9-BL8)))</f>
        <v>6.1645108971908922</v>
      </c>
      <c r="BE9" s="14">
        <f>BD9*VLOOKUP('Données projet'!$B$11,Paramètres!$A$1:$I$89,3,0)*VLOOKUP('Données projet'!$B$11,Paramètres!$A$1:$I$89,5,0)</f>
        <v>3.4459615915297088</v>
      </c>
      <c r="BF9" s="14">
        <f t="shared" si="37"/>
        <v>1.3750533961598259</v>
      </c>
      <c r="BG9" s="22">
        <f t="shared" si="7"/>
        <v>8.3966011035592718</v>
      </c>
      <c r="BH9" s="62">
        <f t="shared" si="8"/>
        <v>272.39660110355925</v>
      </c>
      <c r="BI9" s="62">
        <f ca="1">AVERAGE(OFFSET($BH$3,0,0,'Données projet'!$E$11+1,1))-AVERAGE(OFFSET($H$3,0,0,'Données projet'!$E$11+1,1))</f>
        <v>405.13433810198853</v>
      </c>
      <c r="BJ9" s="62">
        <f t="shared" si="38"/>
        <v>534.74398214162079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3.65</v>
      </c>
      <c r="BY9" s="13">
        <f>IF('Données projet'!$A$114&gt;35,BY8+BX9-CG8,IF(A9&lt;'Données projet'!$A$114,$BV$205^A9,IF(A9='Données projet'!$A$114,'Données projet'!$B$114,BY8+BX9-CG8)))</f>
        <v>3.6224037772879885</v>
      </c>
      <c r="BZ9" s="14">
        <f>BY9*VLOOKUP('Données projet'!$B$12,Paramètres!$A$1:$I$89,3,0)*VLOOKUP('Données projet'!$B$12,Paramètres!$A$1:$I$89,5,0)</f>
        <v>3.0515129419874016</v>
      </c>
      <c r="CA9" s="14">
        <f t="shared" si="39"/>
        <v>1.2350078267772846</v>
      </c>
      <c r="CB9" s="22">
        <f t="shared" si="10"/>
        <v>7.4656903389318279</v>
      </c>
      <c r="CC9" s="62">
        <f t="shared" si="11"/>
        <v>271.46569033893184</v>
      </c>
      <c r="CD9" s="62">
        <f ca="1">AVERAGE(OFFSET($CC$3,0,0,'Données projet'!$E$12+1,1))-AVERAGE(OFFSET($H$3,0,0,'Données projet'!$E$12+1,1))</f>
        <v>411.60020200960821</v>
      </c>
      <c r="CE9" s="62">
        <f t="shared" si="40"/>
        <v>261.95434270986397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2.9333333333333331</v>
      </c>
      <c r="CT9" s="13">
        <f>IF('Données projet'!$A$140&gt;35,CT8+CS9-DB8,IF(A9&lt;'Données projet'!$A$140,$CQ$205^A9,IF(A9='Données projet'!$A$140,'Données projet'!$B$140,CT8+CS9-DB8)))</f>
        <v>4.5434010137249796</v>
      </c>
      <c r="CU9" s="18">
        <f>CT9*VLOOKUP('Données projet'!$B$13,Paramètres!$A$1:$I$89,3,0)*VLOOKUP('Données projet'!$B$13,Paramètres!$A$1:$I$89,5,0)</f>
        <v>3.6856069023337041</v>
      </c>
      <c r="CV9" s="14">
        <f t="shared" si="41"/>
        <v>1.4592154806476936</v>
      </c>
      <c r="CW9" s="22">
        <f t="shared" si="13"/>
        <v>8.9605656503592659</v>
      </c>
      <c r="CX9" s="62">
        <f t="shared" si="14"/>
        <v>272.96056565035929</v>
      </c>
      <c r="CY9" s="62">
        <f ca="1">AVERAGE(OFFSET($CX$3,0,0,'Données projet'!$E$13+1,1))-AVERAGE(OFFSET($H$3,0,0,'Données projet'!$E$13+1,1))</f>
        <v>293.51866463276224</v>
      </c>
      <c r="CZ9" s="62">
        <f t="shared" si="42"/>
        <v>232.78663842203713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2.85</v>
      </c>
      <c r="N10" s="14">
        <f>IF('Données projet'!$A$36&gt;35,N9+M10-V9,IF(A10&lt;'Données projet'!$A$36,$K$205^A10,IF(A10='Données projet'!$A$36,'Données projet'!$B$36,N9+M10-V9)))</f>
        <v>4.116766164969822</v>
      </c>
      <c r="O10" s="14">
        <f>N10*VLOOKUP('Données projet'!$B$9,Paramètres!$A$1:$I$89,3,0)*VLOOKUP('Données projet'!$B$9,Paramètres!$A$1:$I$89,5,0)</f>
        <v>3.5964069217176369</v>
      </c>
      <c r="P10" s="14">
        <f t="shared" si="33"/>
        <v>1.4279656433533914</v>
      </c>
      <c r="Q10" s="22">
        <f t="shared" si="2"/>
        <v>8.7507822174987044</v>
      </c>
      <c r="R10" s="62">
        <f t="shared" si="0"/>
        <v>273.97300443972091</v>
      </c>
      <c r="S10" s="62">
        <f ca="1">AVERAGE(OFFSET($R$3,0,0,'Données projet'!$E$9+1,1))-AVERAGE(OFFSET($H$3,0,0,'Données projet'!$E$9+1,1))</f>
        <v>239.16843440041487</v>
      </c>
      <c r="T10" s="62">
        <f t="shared" si="34"/>
        <v>241.82319822554194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1.9</v>
      </c>
      <c r="AI10" s="14">
        <f>IF('Données projet'!$A$62&gt;35,AI9+AH10-AQ9,IF(A10&lt;'Données projet'!$A$62,$AF$205^A10,IF(A10='Données projet'!$A$62,'Données projet'!$B$62,AI9+AH10-AQ9)))</f>
        <v>7.8546623499408135</v>
      </c>
      <c r="AJ10" s="14">
        <f>AI10*VLOOKUP('Données projet'!$B$10,Paramètres!$A$1:$I$89,3,0)*VLOOKUP('Données projet'!$B$10,Paramètres!$A$1:$I$89,5,0)</f>
        <v>5.7590384349766044</v>
      </c>
      <c r="AK10" s="14">
        <f t="shared" si="35"/>
        <v>2.1646979432521807</v>
      </c>
      <c r="AL10" s="22">
        <f t="shared" si="4"/>
        <v>13.800507525415135</v>
      </c>
      <c r="AM10" s="62">
        <f t="shared" si="5"/>
        <v>279.02272974763736</v>
      </c>
      <c r="AN10" s="62">
        <f ca="1">AVERAGE(OFFSET($AM$3,0,0,'Données projet'!$E$10+1,1))-AVERAGE(OFFSET($H$3,0,0,'Données projet'!$E$10+1,1))</f>
        <v>376.5422416541544</v>
      </c>
      <c r="AO10" s="62">
        <f t="shared" si="36"/>
        <v>365.76175372075869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10.176470588235293</v>
      </c>
      <c r="BD10" s="13">
        <f>IF('Données projet'!$A$88&gt;35,BD9+BC10-BL9,IF(A10&lt;'Données projet'!$A$88,$BA$205^A10,IF(A10='Données projet'!$A$88,'Données projet'!$B$88,BD9+BC10-BL9)))</f>
        <v>8.3473456135696615</v>
      </c>
      <c r="BE10" s="14">
        <f>BD10*VLOOKUP('Données projet'!$B$11,Paramètres!$A$1:$I$89,3,0)*VLOOKUP('Données projet'!$B$11,Paramètres!$A$1:$I$89,5,0)</f>
        <v>4.666166197985441</v>
      </c>
      <c r="BF10" s="14">
        <f t="shared" si="37"/>
        <v>1.7974023306670692</v>
      </c>
      <c r="BG10" s="22">
        <f t="shared" si="7"/>
        <v>11.25738185406979</v>
      </c>
      <c r="BH10" s="62">
        <f t="shared" si="8"/>
        <v>276.47960407629199</v>
      </c>
      <c r="BI10" s="62">
        <f ca="1">AVERAGE(OFFSET($BH$3,0,0,'Données projet'!$E$11+1,1))-AVERAGE(OFFSET($H$3,0,0,'Données projet'!$E$11+1,1))</f>
        <v>405.13433810198853</v>
      </c>
      <c r="BJ10" s="62">
        <f t="shared" si="38"/>
        <v>534.74398214162079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3.65</v>
      </c>
      <c r="BY10" s="13">
        <f>IF('Données projet'!$A$114&gt;35,BY9+BX10-CG9,IF(A10&lt;'Données projet'!$A$114,$BV$205^A10,IF(A10='Données projet'!$A$114,'Données projet'!$B$114,BY9+BX10-CG9)))</f>
        <v>4.4891384635544309</v>
      </c>
      <c r="BZ10" s="14">
        <f>BY10*VLOOKUP('Données projet'!$B$12,Paramètres!$A$1:$I$89,3,0)*VLOOKUP('Données projet'!$B$12,Paramètres!$A$1:$I$89,5,0)</f>
        <v>3.7816502416982529</v>
      </c>
      <c r="CA10" s="14">
        <f t="shared" si="39"/>
        <v>1.492764553183741</v>
      </c>
      <c r="CB10" s="22">
        <f t="shared" si="10"/>
        <v>9.1862724344194735</v>
      </c>
      <c r="CC10" s="62">
        <f t="shared" si="11"/>
        <v>274.40849465664172</v>
      </c>
      <c r="CD10" s="62">
        <f ca="1">AVERAGE(OFFSET($CC$3,0,0,'Données projet'!$E$12+1,1))-AVERAGE(OFFSET($H$3,0,0,'Données projet'!$E$12+1,1))</f>
        <v>411.60020200960821</v>
      </c>
      <c r="CE10" s="62">
        <f t="shared" si="40"/>
        <v>261.95434270986397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2.9333333333333331</v>
      </c>
      <c r="CT10" s="13">
        <f>IF('Données projet'!$A$140&gt;35,CT9+CS10-DB9,IF(A10&lt;'Données projet'!$A$140,$CQ$205^A10,IF(A10='Données projet'!$A$140,'Données projet'!$B$140,CT9+CS10-DB9)))</f>
        <v>5.8471546745005929</v>
      </c>
      <c r="CU10" s="18">
        <f>CT10*VLOOKUP('Données projet'!$B$13,Paramètres!$A$1:$I$89,3,0)*VLOOKUP('Données projet'!$B$13,Paramètres!$A$1:$I$89,5,0)</f>
        <v>4.7432118719548813</v>
      </c>
      <c r="CV10" s="14">
        <f t="shared" si="41"/>
        <v>1.8236006880255984</v>
      </c>
      <c r="CW10" s="22">
        <f t="shared" si="13"/>
        <v>11.437198541966</v>
      </c>
      <c r="CX10" s="62">
        <f t="shared" si="14"/>
        <v>276.65942076418821</v>
      </c>
      <c r="CY10" s="62">
        <f ca="1">AVERAGE(OFFSET($CX$3,0,0,'Données projet'!$E$13+1,1))-AVERAGE(OFFSET($H$3,0,0,'Données projet'!$E$13+1,1))</f>
        <v>293.51866463276224</v>
      </c>
      <c r="CZ10" s="62">
        <f t="shared" si="42"/>
        <v>232.78663842203713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2.85</v>
      </c>
      <c r="N11" s="14">
        <f>IF('Données projet'!$A$36&gt;35,N10+M11-V10,IF(A11&lt;'Données projet'!$A$36,$K$205^A11,IF(A11='Données projet'!$A$36,'Données projet'!$B$36,N10+M11-V10)))</f>
        <v>5.0390647890332847</v>
      </c>
      <c r="O11" s="14">
        <f>N11*VLOOKUP('Données projet'!$B$9,Paramètres!$A$1:$I$89,3,0)*VLOOKUP('Données projet'!$B$9,Paramètres!$A$1:$I$89,5,0)</f>
        <v>4.4021269996994778</v>
      </c>
      <c r="P11" s="14">
        <f t="shared" si="33"/>
        <v>1.7072310846377947</v>
      </c>
      <c r="Q11" s="22">
        <f t="shared" si="2"/>
        <v>10.640465330220749</v>
      </c>
      <c r="R11" s="62">
        <f t="shared" si="0"/>
        <v>277.08490977466522</v>
      </c>
      <c r="S11" s="62">
        <f ca="1">AVERAGE(OFFSET($R$3,0,0,'Données projet'!$E$9+1,1))-AVERAGE(OFFSET($H$3,0,0,'Données projet'!$E$9+1,1))</f>
        <v>239.16843440041487</v>
      </c>
      <c r="T11" s="62">
        <f t="shared" si="34"/>
        <v>241.82319822554194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1.9</v>
      </c>
      <c r="AI11" s="14">
        <f>IF('Données projet'!$A$62&gt;35,AI10+AH11-AQ10,IF(A11&lt;'Données projet'!$A$62,$AF$205^A11,IF(A11='Données projet'!$A$62,'Données projet'!$B$62,AI10+AH11-AQ10)))</f>
        <v>10.543938903738736</v>
      </c>
      <c r="AJ11" s="14">
        <f>AI11*VLOOKUP('Données projet'!$B$10,Paramètres!$A$1:$I$89,3,0)*VLOOKUP('Données projet'!$B$10,Paramètres!$A$1:$I$89,5,0)</f>
        <v>7.730816004221241</v>
      </c>
      <c r="AK11" s="14">
        <f t="shared" si="35"/>
        <v>2.8079409641844508</v>
      </c>
      <c r="AL11" s="22">
        <f t="shared" si="4"/>
        <v>18.355001719973249</v>
      </c>
      <c r="AM11" s="62">
        <f t="shared" si="5"/>
        <v>284.7994461644177</v>
      </c>
      <c r="AN11" s="62">
        <f ca="1">AVERAGE(OFFSET($AM$3,0,0,'Données projet'!$E$10+1,1))-AVERAGE(OFFSET($H$3,0,0,'Données projet'!$E$10+1,1))</f>
        <v>376.5422416541544</v>
      </c>
      <c r="AO11" s="62">
        <f t="shared" si="36"/>
        <v>365.76175372075869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10.176470588235293</v>
      </c>
      <c r="BD11" s="13">
        <f>IF('Données projet'!$A$88&gt;35,BD10+BC11-BL10,IF(A11&lt;'Données projet'!$A$88,$BA$205^A11,IF(A11='Données projet'!$A$88,'Données projet'!$B$88,BD10+BC11-BL10)))</f>
        <v>11.303115519534945</v>
      </c>
      <c r="BE11" s="14">
        <f>BD11*VLOOKUP('Données projet'!$B$11,Paramètres!$A$1:$I$89,3,0)*VLOOKUP('Données projet'!$B$11,Paramètres!$A$1:$I$89,5,0)</f>
        <v>6.3184415754200343</v>
      </c>
      <c r="BF11" s="14">
        <f t="shared" si="37"/>
        <v>2.3494761347521558</v>
      </c>
      <c r="BG11" s="22">
        <f t="shared" si="7"/>
        <v>15.096623345216566</v>
      </c>
      <c r="BH11" s="62">
        <f t="shared" si="8"/>
        <v>281.54106778966104</v>
      </c>
      <c r="BI11" s="62">
        <f ca="1">AVERAGE(OFFSET($BH$3,0,0,'Données projet'!$E$11+1,1))-AVERAGE(OFFSET($H$3,0,0,'Données projet'!$E$11+1,1))</f>
        <v>405.13433810198853</v>
      </c>
      <c r="BJ11" s="62">
        <f t="shared" si="38"/>
        <v>534.74398214162079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3.65</v>
      </c>
      <c r="BY11" s="13">
        <f>IF('Données projet'!$A$114&gt;35,BY10+BX11-CG10,IF(A11&lt;'Données projet'!$A$114,$BV$205^A11,IF(A11='Données projet'!$A$114,'Données projet'!$B$114,BY10+BX11-CG10)))</f>
        <v>5.563257268920875</v>
      </c>
      <c r="BZ11" s="14">
        <f>BY11*VLOOKUP('Données projet'!$B$12,Paramètres!$A$1:$I$89,3,0)*VLOOKUP('Données projet'!$B$12,Paramètres!$A$1:$I$89,5,0)</f>
        <v>4.6864879233389463</v>
      </c>
      <c r="CA11" s="14">
        <f t="shared" si="39"/>
        <v>1.8043173192324258</v>
      </c>
      <c r="CB11" s="22">
        <f t="shared" si="10"/>
        <v>11.304819130811806</v>
      </c>
      <c r="CC11" s="62">
        <f t="shared" si="11"/>
        <v>277.74926357525624</v>
      </c>
      <c r="CD11" s="62">
        <f ca="1">AVERAGE(OFFSET($CC$3,0,0,'Données projet'!$E$12+1,1))-AVERAGE(OFFSET($H$3,0,0,'Données projet'!$E$12+1,1))</f>
        <v>411.60020200960821</v>
      </c>
      <c r="CE11" s="62">
        <f t="shared" si="40"/>
        <v>261.95434270986397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2.9333333333333331</v>
      </c>
      <c r="CT11" s="13">
        <f>IF('Données projet'!$A$140&gt;35,CT10+CS11-DB10,IF(A11&lt;'Données projet'!$A$140,$CQ$205^A11,IF(A11='Données projet'!$A$140,'Données projet'!$B$140,CT10+CS11-DB10)))</f>
        <v>7.5250275474811232</v>
      </c>
      <c r="CU11" s="18">
        <f>CT11*VLOOKUP('Données projet'!$B$13,Paramètres!$A$1:$I$89,3,0)*VLOOKUP('Données projet'!$B$13,Paramètres!$A$1:$I$89,5,0)</f>
        <v>6.104302346516687</v>
      </c>
      <c r="CV11" s="14">
        <f t="shared" si="41"/>
        <v>2.2789776516703051</v>
      </c>
      <c r="CW11" s="22">
        <f t="shared" si="13"/>
        <v>14.600879330175678</v>
      </c>
      <c r="CX11" s="62">
        <f t="shared" si="14"/>
        <v>281.04532377462016</v>
      </c>
      <c r="CY11" s="62">
        <f ca="1">AVERAGE(OFFSET($CX$3,0,0,'Données projet'!$E$13+1,1))-AVERAGE(OFFSET($H$3,0,0,'Données projet'!$E$13+1,1))</f>
        <v>293.51866463276224</v>
      </c>
      <c r="CZ11" s="62">
        <f t="shared" si="42"/>
        <v>232.78663842203713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2.85</v>
      </c>
      <c r="N12" s="14">
        <f>IF('Données projet'!$A$36&gt;35,N11+M12-V11,IF(A12&lt;'Données projet'!$A$36,$K$205^A12,IF(A12='Données projet'!$A$36,'Données projet'!$B$36,N11+M12-V11)))</f>
        <v>6.167990342551116</v>
      </c>
      <c r="O12" s="14">
        <f>N12*VLOOKUP('Données projet'!$B$9,Paramètres!$A$1:$I$89,3,0)*VLOOKUP('Données projet'!$B$9,Paramètres!$A$1:$I$89,5,0)</f>
        <v>5.3883563632526554</v>
      </c>
      <c r="P12" s="14">
        <f t="shared" si="33"/>
        <v>2.0411121163313792</v>
      </c>
      <c r="Q12" s="22">
        <f t="shared" si="2"/>
        <v>12.939657601942194</v>
      </c>
      <c r="R12" s="62">
        <f t="shared" si="0"/>
        <v>280.60632426860889</v>
      </c>
      <c r="S12" s="62">
        <f ca="1">AVERAGE(OFFSET($R$3,0,0,'Données projet'!$E$9+1,1))-AVERAGE(OFFSET($H$3,0,0,'Données projet'!$E$9+1,1))</f>
        <v>239.16843440041487</v>
      </c>
      <c r="T12" s="62">
        <f t="shared" si="34"/>
        <v>241.82319822554194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1.9</v>
      </c>
      <c r="AI12" s="14">
        <f>IF('Données projet'!$A$62&gt;35,AI11+AH12-AQ11,IF(A12&lt;'Données projet'!$A$62,$AF$205^A12,IF(A12='Données projet'!$A$62,'Données projet'!$B$62,AI11+AH12-AQ11)))</f>
        <v>14.153969025366564</v>
      </c>
      <c r="AJ12" s="14">
        <f>AI12*VLOOKUP('Données projet'!$B$10,Paramètres!$A$1:$I$89,3,0)*VLOOKUP('Données projet'!$B$10,Paramètres!$A$1:$I$89,5,0)</f>
        <v>10.377690089398765</v>
      </c>
      <c r="AK12" s="14">
        <f t="shared" si="35"/>
        <v>3.6423245482922235</v>
      </c>
      <c r="AL12" s="22">
        <f t="shared" si="4"/>
        <v>24.418192160645134</v>
      </c>
      <c r="AM12" s="62">
        <f t="shared" si="5"/>
        <v>292.08485882731179</v>
      </c>
      <c r="AN12" s="62">
        <f ca="1">AVERAGE(OFFSET($AM$3,0,0,'Données projet'!$E$10+1,1))-AVERAGE(OFFSET($H$3,0,0,'Données projet'!$E$10+1,1))</f>
        <v>376.5422416541544</v>
      </c>
      <c r="AO12" s="62">
        <f t="shared" si="36"/>
        <v>365.76175372075869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10.176470588235293</v>
      </c>
      <c r="BD12" s="13">
        <f>IF('Données projet'!$A$88&gt;35,BD11+BC12-BL11,IF(A12&lt;'Données projet'!$A$88,$BA$205^A12,IF(A12='Données projet'!$A$88,'Données projet'!$B$88,BD11+BC12-BL11)))</f>
        <v>15.30551463452778</v>
      </c>
      <c r="BE12" s="14">
        <f>BD12*VLOOKUP('Données projet'!$B$11,Paramètres!$A$1:$I$89,3,0)*VLOOKUP('Données projet'!$B$11,Paramètres!$A$1:$I$89,5,0)</f>
        <v>8.5557826807010304</v>
      </c>
      <c r="BF12" s="14">
        <f t="shared" si="37"/>
        <v>3.07111992322903</v>
      </c>
      <c r="BG12" s="22">
        <f t="shared" si="7"/>
        <v>20.250188701844856</v>
      </c>
      <c r="BH12" s="62">
        <f t="shared" si="8"/>
        <v>287.91685536851156</v>
      </c>
      <c r="BI12" s="62">
        <f ca="1">AVERAGE(OFFSET($BH$3,0,0,'Données projet'!$E$11+1,1))-AVERAGE(OFFSET($H$3,0,0,'Données projet'!$E$11+1,1))</f>
        <v>405.13433810198853</v>
      </c>
      <c r="BJ12" s="62">
        <f t="shared" si="38"/>
        <v>534.74398214162079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3.65</v>
      </c>
      <c r="BY12" s="13">
        <f>IF('Données projet'!$A$114&gt;35,BY11+BX12-CG11,IF(A12&lt;'Données projet'!$A$114,$BV$205^A12,IF(A12='Données projet'!$A$114,'Données projet'!$B$114,BY11+BX12-CG11)))</f>
        <v>6.8943811137639424</v>
      </c>
      <c r="BZ12" s="14">
        <f>BY12*VLOOKUP('Données projet'!$B$12,Paramètres!$A$1:$I$89,3,0)*VLOOKUP('Données projet'!$B$12,Paramètres!$A$1:$I$89,5,0)</f>
        <v>5.8078266502347455</v>
      </c>
      <c r="CA12" s="14">
        <f t="shared" si="39"/>
        <v>2.1808938198181922</v>
      </c>
      <c r="CB12" s="22">
        <f t="shared" si="10"/>
        <v>13.913688152008866</v>
      </c>
      <c r="CC12" s="62">
        <f t="shared" si="11"/>
        <v>281.58035481867557</v>
      </c>
      <c r="CD12" s="62">
        <f ca="1">AVERAGE(OFFSET($CC$3,0,0,'Données projet'!$E$12+1,1))-AVERAGE(OFFSET($H$3,0,0,'Données projet'!$E$12+1,1))</f>
        <v>411.60020200960821</v>
      </c>
      <c r="CE12" s="62">
        <f t="shared" si="40"/>
        <v>261.95434270986397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2.9333333333333331</v>
      </c>
      <c r="CT12" s="13">
        <f>IF('Données projet'!$A$140&gt;35,CT11+CS12-DB11,IF(A12&lt;'Données projet'!$A$140,$CQ$205^A12,IF(A12='Données projet'!$A$140,'Données projet'!$B$140,CT11+CS12-DB11)))</f>
        <v>9.684375177775884</v>
      </c>
      <c r="CU12" s="18">
        <f>CT12*VLOOKUP('Données projet'!$B$13,Paramètres!$A$1:$I$89,3,0)*VLOOKUP('Données projet'!$B$13,Paramètres!$A$1:$I$89,5,0)</f>
        <v>7.8559651442117975</v>
      </c>
      <c r="CV12" s="14">
        <f t="shared" si="41"/>
        <v>2.8480682042492131</v>
      </c>
      <c r="CW12" s="22">
        <f t="shared" si="13"/>
        <v>18.642858081902926</v>
      </c>
      <c r="CX12" s="62">
        <f t="shared" si="14"/>
        <v>286.30952474856963</v>
      </c>
      <c r="CY12" s="62">
        <f ca="1">AVERAGE(OFFSET($CX$3,0,0,'Données projet'!$E$13+1,1))-AVERAGE(OFFSET($H$3,0,0,'Données projet'!$E$13+1,1))</f>
        <v>293.51866463276224</v>
      </c>
      <c r="CZ12" s="62">
        <f t="shared" si="42"/>
        <v>232.78663842203713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2.85</v>
      </c>
      <c r="N13" s="14">
        <f>IF('Données projet'!$A$36&gt;35,N12+M13-V12,IF(A13&lt;'Données projet'!$A$36,$K$205^A13,IF(A13='Données projet'!$A$36,'Données projet'!$B$36,N12+M13-V12)))</f>
        <v>7.5498344352707516</v>
      </c>
      <c r="O13" s="14">
        <f>N13*VLOOKUP('Données projet'!$B$9,Paramètres!$A$1:$I$89,3,0)*VLOOKUP('Données projet'!$B$9,Paramètres!$A$1:$I$89,5,0)</f>
        <v>6.5955353626525293</v>
      </c>
      <c r="P13" s="14">
        <f t="shared" si="33"/>
        <v>2.4402898406214573</v>
      </c>
      <c r="Q13" s="22">
        <f t="shared" si="2"/>
        <v>15.737395562368858</v>
      </c>
      <c r="R13" s="62">
        <f t="shared" si="0"/>
        <v>284.62628445125773</v>
      </c>
      <c r="S13" s="62">
        <f ca="1">AVERAGE(OFFSET($R$3,0,0,'Données projet'!$E$9+1,1))-AVERAGE(OFFSET($H$3,0,0,'Données projet'!$E$9+1,1))</f>
        <v>239.16843440041487</v>
      </c>
      <c r="T13" s="62">
        <f t="shared" si="34"/>
        <v>241.82319822554194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19</v>
      </c>
      <c r="AG13" s="13">
        <f>VLOOKUP(A13,'Données projet'!$A$61:$I$81,9,0)</f>
        <v>1.9</v>
      </c>
      <c r="AH13" s="13">
        <f t="array" ref="AH13">INDEX(AG:AG,MIN(IF(ISNUMBER(AG13:AG209),ROW(AG13:AG209),"")))</f>
        <v>1.9</v>
      </c>
      <c r="AI13" s="14">
        <f>IF('Données projet'!$A$62&gt;35,AI12+AH13-AQ12,IF(A13&lt;'Données projet'!$A$62,$AF$205^A13,IF(A13='Données projet'!$A$62,'Données projet'!$B$62,AI12+AH13-AQ12)))</f>
        <v>19</v>
      </c>
      <c r="AJ13" s="14">
        <f>AI13*VLOOKUP('Données projet'!$B$10,Paramètres!$A$1:$I$89,3,0)*VLOOKUP('Données projet'!$B$10,Paramètres!$A$1:$I$89,5,0)</f>
        <v>13.9308</v>
      </c>
      <c r="AK13" s="14">
        <f t="shared" si="35"/>
        <v>4.7246463812124082</v>
      </c>
      <c r="AL13" s="22">
        <f t="shared" si="4"/>
        <v>32.491569113944941</v>
      </c>
      <c r="AM13" s="62">
        <f t="shared" si="5"/>
        <v>301.38045800283379</v>
      </c>
      <c r="AN13" s="62">
        <f ca="1">AVERAGE(OFFSET($AM$3,0,0,'Données projet'!$E$10+1,1))-AVERAGE(OFFSET($H$3,0,0,'Données projet'!$E$10+1,1))</f>
        <v>376.5422416541544</v>
      </c>
      <c r="AO13" s="62">
        <f t="shared" si="36"/>
        <v>365.76175372075869</v>
      </c>
      <c r="AP13" s="16">
        <f>IF(ISNA(VLOOKUP(A13,'Données projet'!$A$61:$I$81,3,0)),0,VLOOKUP(A13,'Données projet'!$A$61:$I$81,3,0))</f>
        <v>1</v>
      </c>
      <c r="AQ13" s="16">
        <f>IF(ISNA(VLOOKUP(A13,'Données projet'!$A$61:$I$81,4,0)),0,VLOOKUP(A13,'Données projet'!$A$61:$I$81,4,0))</f>
        <v>7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10.176470588235293</v>
      </c>
      <c r="BD13" s="13">
        <f>IF('Données projet'!$A$88&gt;35,BD12+BC13-BL12,IF(A13&lt;'Données projet'!$A$88,$BA$205^A13,IF(A13='Données projet'!$A$88,'Données projet'!$B$88,BD12+BC13-BL12)))</f>
        <v>20.725151204805382</v>
      </c>
      <c r="BE13" s="14">
        <f>BD13*VLOOKUP('Données projet'!$B$11,Paramètres!$A$1:$I$89,3,0)*VLOOKUP('Données projet'!$B$11,Paramètres!$A$1:$I$89,5,0)</f>
        <v>11.585359523486208</v>
      </c>
      <c r="BF13" s="14">
        <f t="shared" si="37"/>
        <v>4.0144172751298166</v>
      </c>
      <c r="BG13" s="22">
        <f t="shared" si="7"/>
        <v>27.169611257589576</v>
      </c>
      <c r="BH13" s="62">
        <f t="shared" si="8"/>
        <v>296.05850014647842</v>
      </c>
      <c r="BI13" s="62">
        <f ca="1">AVERAGE(OFFSET($BH$3,0,0,'Données projet'!$E$11+1,1))-AVERAGE(OFFSET($H$3,0,0,'Données projet'!$E$11+1,1))</f>
        <v>405.13433810198853</v>
      </c>
      <c r="BJ13" s="62">
        <f t="shared" si="38"/>
        <v>534.74398214162079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3.65</v>
      </c>
      <c r="BY13" s="13">
        <f>IF('Données projet'!$A$114&gt;35,BY12+BX13-CG12,IF(A13&lt;'Données projet'!$A$114,$BV$205^A13,IF(A13='Données projet'!$A$114,'Données projet'!$B$114,BY12+BX13-CG12)))</f>
        <v>8.5440037453175322</v>
      </c>
      <c r="BZ13" s="14">
        <f>BY13*VLOOKUP('Données projet'!$B$12,Paramètres!$A$1:$I$89,3,0)*VLOOKUP('Données projet'!$B$12,Paramètres!$A$1:$I$89,5,0)</f>
        <v>7.1974687550554899</v>
      </c>
      <c r="CA13" s="14">
        <f t="shared" si="39"/>
        <v>2.6360650660630816</v>
      </c>
      <c r="CB13" s="22">
        <f t="shared" si="10"/>
        <v>17.126738071781514</v>
      </c>
      <c r="CC13" s="62">
        <f t="shared" si="11"/>
        <v>286.01562696067037</v>
      </c>
      <c r="CD13" s="62">
        <f ca="1">AVERAGE(OFFSET($CC$3,0,0,'Données projet'!$E$12+1,1))-AVERAGE(OFFSET($H$3,0,0,'Données projet'!$E$12+1,1))</f>
        <v>411.60020200960821</v>
      </c>
      <c r="CE13" s="62">
        <f t="shared" si="40"/>
        <v>261.95434270986397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2.9333333333333331</v>
      </c>
      <c r="CT13" s="13">
        <f>IF('Données projet'!$A$140&gt;35,CT12+CS13-DB12,IF(A13&lt;'Données projet'!$A$140,$CQ$205^A13,IF(A13='Données projet'!$A$140,'Données projet'!$B$140,CT12+CS13-DB12)))</f>
        <v>12.4633593687395</v>
      </c>
      <c r="CU13" s="18">
        <f>CT13*VLOOKUP('Données projet'!$B$13,Paramètres!$A$1:$I$89,3,0)*VLOOKUP('Données projet'!$B$13,Paramètres!$A$1:$I$89,5,0)</f>
        <v>10.110277119921482</v>
      </c>
      <c r="CV13" s="14">
        <f t="shared" si="41"/>
        <v>3.5592681174869267</v>
      </c>
      <c r="CW13" s="22">
        <f t="shared" si="13"/>
        <v>23.807791288486314</v>
      </c>
      <c r="CX13" s="62">
        <f t="shared" si="14"/>
        <v>292.69668017737519</v>
      </c>
      <c r="CY13" s="62">
        <f ca="1">AVERAGE(OFFSET($CX$3,0,0,'Données projet'!$E$13+1,1))-AVERAGE(OFFSET($H$3,0,0,'Données projet'!$E$13+1,1))</f>
        <v>293.51866463276224</v>
      </c>
      <c r="CZ13" s="62">
        <f t="shared" si="42"/>
        <v>232.78663842203713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2.85</v>
      </c>
      <c r="N14" s="14">
        <f>IF('Données projet'!$A$36&gt;35,N13+M14-V13,IF(A14&lt;'Données projet'!$A$36,$K$205^A14,IF(A14='Données projet'!$A$36,'Données projet'!$B$36,N13+M14-V13)))</f>
        <v>9.2412596055434975</v>
      </c>
      <c r="O14" s="14">
        <f>N14*VLOOKUP('Données projet'!$B$9,Paramètres!$A$1:$I$89,3,0)*VLOOKUP('Données projet'!$B$9,Paramètres!$A$1:$I$89,5,0)</f>
        <v>8.0731643914028002</v>
      </c>
      <c r="P14" s="14">
        <f t="shared" si="33"/>
        <v>2.9175342493893108</v>
      </c>
      <c r="Q14" s="22">
        <f t="shared" si="2"/>
        <v>19.142133466046261</v>
      </c>
      <c r="R14" s="62">
        <f t="shared" si="0"/>
        <v>289.25324457715737</v>
      </c>
      <c r="S14" s="62">
        <f ca="1">AVERAGE(OFFSET($R$3,0,0,'Données projet'!$E$9+1,1))-AVERAGE(OFFSET($H$3,0,0,'Données projet'!$E$9+1,1))</f>
        <v>239.16843440041487</v>
      </c>
      <c r="T14" s="62">
        <f t="shared" si="34"/>
        <v>241.82319822554194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14.4</v>
      </c>
      <c r="AI14" s="14">
        <f>IF('Données projet'!$A$62&gt;35,AI13+AH14-AQ13,IF(A14&lt;'Données projet'!$A$62,$AF$205^A14,IF(A14='Données projet'!$A$62,'Données projet'!$B$62,AI13+AH14-AQ13)))</f>
        <v>26.4</v>
      </c>
      <c r="AJ14" s="14">
        <f>AI14*VLOOKUP('Données projet'!$B$10,Paramètres!$A$1:$I$89,3,0)*VLOOKUP('Données projet'!$B$10,Paramètres!$A$1:$I$89,5,0)</f>
        <v>19.356480000000001</v>
      </c>
      <c r="AK14" s="14">
        <f t="shared" si="35"/>
        <v>6.3181780007167561</v>
      </c>
      <c r="AL14" s="22">
        <f t="shared" si="4"/>
        <v>44.716696017915012</v>
      </c>
      <c r="AM14" s="62">
        <f t="shared" si="5"/>
        <v>314.82780712902616</v>
      </c>
      <c r="AN14" s="62">
        <f ca="1">AVERAGE(OFFSET($AM$3,0,0,'Données projet'!$E$10+1,1))-AVERAGE(OFFSET($H$3,0,0,'Données projet'!$E$10+1,1))</f>
        <v>376.5422416541544</v>
      </c>
      <c r="AO14" s="62">
        <f t="shared" si="36"/>
        <v>365.76175372075869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10.176470588235293</v>
      </c>
      <c r="BD14" s="13">
        <f>IF('Données projet'!$A$88&gt;35,BD13+BC14-BL13,IF(A14&lt;'Données projet'!$A$88,$BA$205^A14,IF(A14='Données projet'!$A$88,'Données projet'!$B$88,BD13+BC14-BL13)))</f>
        <v>28.063864738861049</v>
      </c>
      <c r="BE14" s="14">
        <f>BD14*VLOOKUP('Données projet'!$B$11,Paramètres!$A$1:$I$89,3,0)*VLOOKUP('Données projet'!$B$11,Paramètres!$A$1:$I$89,5,0)</f>
        <v>15.687700389023327</v>
      </c>
      <c r="BF14" s="14">
        <f t="shared" si="37"/>
        <v>5.2474492894163944</v>
      </c>
      <c r="BG14" s="22">
        <f t="shared" si="7"/>
        <v>36.46205235661585</v>
      </c>
      <c r="BH14" s="62">
        <f t="shared" si="8"/>
        <v>306.573163467727</v>
      </c>
      <c r="BI14" s="62">
        <f ca="1">AVERAGE(OFFSET($BH$3,0,0,'Données projet'!$E$11+1,1))-AVERAGE(OFFSET($H$3,0,0,'Données projet'!$E$11+1,1))</f>
        <v>405.13433810198853</v>
      </c>
      <c r="BJ14" s="62">
        <f t="shared" si="38"/>
        <v>534.74398214162079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3.65</v>
      </c>
      <c r="BY14" s="13">
        <f>IF('Données projet'!$A$114&gt;35,BY13+BX14-CG13,IF(A14&lt;'Données projet'!$A$114,$BV$205^A14,IF(A14='Données projet'!$A$114,'Données projet'!$B$114,BY13+BX14-CG13)))</f>
        <v>10.588332555950936</v>
      </c>
      <c r="BZ14" s="14">
        <f>BY14*VLOOKUP('Données projet'!$B$12,Paramètres!$A$1:$I$89,3,0)*VLOOKUP('Données projet'!$B$12,Paramètres!$A$1:$I$89,5,0)</f>
        <v>8.9196113451330703</v>
      </c>
      <c r="CA14" s="14">
        <f t="shared" si="39"/>
        <v>3.186234455512118</v>
      </c>
      <c r="CB14" s="22">
        <f t="shared" si="10"/>
        <v>21.084348102790369</v>
      </c>
      <c r="CC14" s="62">
        <f t="shared" si="11"/>
        <v>291.19545921390153</v>
      </c>
      <c r="CD14" s="62">
        <f ca="1">AVERAGE(OFFSET($CC$3,0,0,'Données projet'!$E$12+1,1))-AVERAGE(OFFSET($H$3,0,0,'Données projet'!$E$12+1,1))</f>
        <v>411.60020200960821</v>
      </c>
      <c r="CE14" s="62">
        <f t="shared" si="40"/>
        <v>261.95434270986397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2.9333333333333331</v>
      </c>
      <c r="CT14" s="13">
        <f>IF('Données projet'!$A$140&gt;35,CT13+CS14-DB13,IF(A14&lt;'Données projet'!$A$140,$CQ$205^A14,IF(A14='Données projet'!$A$140,'Données projet'!$B$140,CT13+CS14-DB13)))</f>
        <v>16.039788205522726</v>
      </c>
      <c r="CU14" s="18">
        <f>CT14*VLOOKUP('Données projet'!$B$13,Paramètres!$A$1:$I$89,3,0)*VLOOKUP('Données projet'!$B$13,Paramètres!$A$1:$I$89,5,0)</f>
        <v>13.011476192320037</v>
      </c>
      <c r="CV14" s="14">
        <f t="shared" si="41"/>
        <v>4.4480639590225231</v>
      </c>
      <c r="CW14" s="22">
        <f t="shared" si="13"/>
        <v>30.40869909692162</v>
      </c>
      <c r="CX14" s="62">
        <f t="shared" si="14"/>
        <v>300.51981020803277</v>
      </c>
      <c r="CY14" s="62">
        <f ca="1">AVERAGE(OFFSET($CX$3,0,0,'Données projet'!$E$13+1,1))-AVERAGE(OFFSET($H$3,0,0,'Données projet'!$E$13+1,1))</f>
        <v>293.51866463276224</v>
      </c>
      <c r="CZ14" s="62">
        <f t="shared" si="42"/>
        <v>232.78663842203713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2.85</v>
      </c>
      <c r="N15" s="14">
        <f>IF('Données projet'!$A$36&gt;35,N14+M15-V14,IF(A15&lt;'Données projet'!$A$36,$K$205^A15,IF(A15='Données projet'!$A$36,'Données projet'!$B$36,N14+M15-V14)))</f>
        <v>11.311622768584238</v>
      </c>
      <c r="O15" s="14">
        <f>N15*VLOOKUP('Données projet'!$B$9,Paramètres!$A$1:$I$89,3,0)*VLOOKUP('Données projet'!$B$9,Paramètres!$A$1:$I$89,5,0)</f>
        <v>9.8818336506351923</v>
      </c>
      <c r="P15" s="14">
        <f t="shared" si="33"/>
        <v>3.4881127457351293</v>
      </c>
      <c r="Q15" s="22">
        <f t="shared" si="2"/>
        <v>23.285989973678308</v>
      </c>
      <c r="R15" s="62">
        <f t="shared" si="0"/>
        <v>294.6193233070116</v>
      </c>
      <c r="S15" s="62">
        <f ca="1">AVERAGE(OFFSET($R$3,0,0,'Données projet'!$E$9+1,1))-AVERAGE(OFFSET($H$3,0,0,'Données projet'!$E$9+1,1))</f>
        <v>239.16843440041487</v>
      </c>
      <c r="T15" s="62">
        <f t="shared" si="34"/>
        <v>241.82319822554194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14.4</v>
      </c>
      <c r="AI15" s="14">
        <f>IF('Données projet'!$A$62&gt;35,AI14+AH15-AQ14,IF(A15&lt;'Données projet'!$A$62,$AF$205^A15,IF(A15='Données projet'!$A$62,'Données projet'!$B$62,AI14+AH15-AQ14)))</f>
        <v>40.799999999999997</v>
      </c>
      <c r="AJ15" s="14">
        <f>AI15*VLOOKUP('Données projet'!$B$10,Paramètres!$A$1:$I$89,3,0)*VLOOKUP('Données projet'!$B$10,Paramètres!$A$1:$I$89,5,0)</f>
        <v>29.914559999999998</v>
      </c>
      <c r="AK15" s="14">
        <f t="shared" si="35"/>
        <v>9.2820081914942723</v>
      </c>
      <c r="AL15" s="22">
        <f t="shared" si="4"/>
        <v>68.267356266852531</v>
      </c>
      <c r="AM15" s="62">
        <f t="shared" si="5"/>
        <v>339.60068960018583</v>
      </c>
      <c r="AN15" s="62">
        <f ca="1">AVERAGE(OFFSET($AM$3,0,0,'Données projet'!$E$10+1,1))-AVERAGE(OFFSET($H$3,0,0,'Données projet'!$E$10+1,1))</f>
        <v>376.5422416541544</v>
      </c>
      <c r="AO15" s="62">
        <f t="shared" si="36"/>
        <v>365.76175372075869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10.176470588235293</v>
      </c>
      <c r="BD15" s="13">
        <f>IF('Données projet'!$A$88&gt;35,BD14+BC15-BL14,IF(A15&lt;'Données projet'!$A$88,$BA$205^A15,IF(A15='Données projet'!$A$88,'Données projet'!$B$88,BD14+BC15-BL14)))</f>
        <v>38.001194601585262</v>
      </c>
      <c r="BE15" s="14">
        <f>BD15*VLOOKUP('Données projet'!$B$11,Paramètres!$A$1:$I$89,3,0)*VLOOKUP('Données projet'!$B$11,Paramètres!$A$1:$I$89,5,0)</f>
        <v>21.242667782286162</v>
      </c>
      <c r="BF15" s="14">
        <f t="shared" si="37"/>
        <v>6.8592082381635766</v>
      </c>
      <c r="BG15" s="22">
        <f t="shared" si="7"/>
        <v>48.944100735616622</v>
      </c>
      <c r="BH15" s="62">
        <f t="shared" si="8"/>
        <v>320.27743406894996</v>
      </c>
      <c r="BI15" s="62">
        <f ca="1">AVERAGE(OFFSET($BH$3,0,0,'Données projet'!$E$11+1,1))-AVERAGE(OFFSET($H$3,0,0,'Données projet'!$E$11+1,1))</f>
        <v>405.13433810198853</v>
      </c>
      <c r="BJ15" s="62">
        <f t="shared" si="38"/>
        <v>534.74398214162079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3.65</v>
      </c>
      <c r="BY15" s="13">
        <f>IF('Données projet'!$A$114&gt;35,BY14+BX15-CG14,IF(A15&lt;'Données projet'!$A$114,$BV$205^A15,IF(A15='Données projet'!$A$114,'Données projet'!$B$114,BY14+BX15-CG14)))</f>
        <v>13.121809125710287</v>
      </c>
      <c r="BZ15" s="14">
        <f>BY15*VLOOKUP('Données projet'!$B$12,Paramètres!$A$1:$I$89,3,0)*VLOOKUP('Données projet'!$B$12,Paramètres!$A$1:$I$89,5,0)</f>
        <v>11.053812007498347</v>
      </c>
      <c r="CA15" s="14">
        <f t="shared" si="39"/>
        <v>3.8512289154738402</v>
      </c>
      <c r="CB15" s="22">
        <f t="shared" si="10"/>
        <v>25.959612940843225</v>
      </c>
      <c r="CC15" s="62">
        <f t="shared" si="11"/>
        <v>297.29294627417653</v>
      </c>
      <c r="CD15" s="62">
        <f ca="1">AVERAGE(OFFSET($CC$3,0,0,'Données projet'!$E$12+1,1))-AVERAGE(OFFSET($H$3,0,0,'Données projet'!$E$12+1,1))</f>
        <v>411.60020200960821</v>
      </c>
      <c r="CE15" s="62">
        <f t="shared" si="40"/>
        <v>261.95434270986397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2.9333333333333331</v>
      </c>
      <c r="CT15" s="13">
        <f>IF('Données projet'!$A$140&gt;35,CT14+CS15-DB14,IF(A15&lt;'Données projet'!$A$140,$CQ$205^A15,IF(A15='Données projet'!$A$140,'Données projet'!$B$140,CT14+CS15-DB14)))</f>
        <v>20.642492771517173</v>
      </c>
      <c r="CU15" s="18">
        <f>CT15*VLOOKUP('Données projet'!$B$13,Paramètres!$A$1:$I$89,3,0)*VLOOKUP('Données projet'!$B$13,Paramètres!$A$1:$I$89,5,0)</f>
        <v>16.745190136254731</v>
      </c>
      <c r="CV15" s="14">
        <f t="shared" si="41"/>
        <v>5.5588037569714812</v>
      </c>
      <c r="CW15" s="22">
        <f t="shared" si="13"/>
        <v>38.84612269736899</v>
      </c>
      <c r="CX15" s="62">
        <f t="shared" si="14"/>
        <v>310.17945603070228</v>
      </c>
      <c r="CY15" s="62">
        <f ca="1">AVERAGE(OFFSET($CX$3,0,0,'Données projet'!$E$13+1,1))-AVERAGE(OFFSET($H$3,0,0,'Données projet'!$E$13+1,1))</f>
        <v>293.51866463276224</v>
      </c>
      <c r="CZ15" s="62">
        <f t="shared" si="42"/>
        <v>232.78663842203713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2.85</v>
      </c>
      <c r="N16" s="14">
        <f>IF('Données projet'!$A$36&gt;35,N15+M16-V15,IF(A16&lt;'Données projet'!$A$36,$K$205^A16,IF(A16='Données projet'!$A$36,'Données projet'!$B$36,N15+M16-V15)))</f>
        <v>13.845819197850375</v>
      </c>
      <c r="O16" s="14">
        <f>N16*VLOOKUP('Données projet'!$B$9,Paramètres!$A$1:$I$89,3,0)*VLOOKUP('Données projet'!$B$9,Paramètres!$A$1:$I$89,5,0)</f>
        <v>12.095707651242089</v>
      </c>
      <c r="P16" s="14">
        <f t="shared" si="33"/>
        <v>4.1702785595427372</v>
      </c>
      <c r="Q16" s="22">
        <f t="shared" si="2"/>
        <v>28.329925983783568</v>
      </c>
      <c r="R16" s="62">
        <f t="shared" si="0"/>
        <v>300.88548153933914</v>
      </c>
      <c r="S16" s="62">
        <f ca="1">AVERAGE(OFFSET($R$3,0,0,'Données projet'!$E$9+1,1))-AVERAGE(OFFSET($H$3,0,0,'Données projet'!$E$9+1,1))</f>
        <v>239.16843440041487</v>
      </c>
      <c r="T16" s="62">
        <f t="shared" si="34"/>
        <v>241.82319822554194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14.4</v>
      </c>
      <c r="AI16" s="14">
        <f>IF('Données projet'!$A$62&gt;35,AI15+AH16-AQ15,IF(A16&lt;'Données projet'!$A$62,$AF$205^A16,IF(A16='Données projet'!$A$62,'Données projet'!$B$62,AI15+AH16-AQ15)))</f>
        <v>55.199999999999996</v>
      </c>
      <c r="AJ16" s="14">
        <f>AI16*VLOOKUP('Données projet'!$B$10,Paramètres!$A$1:$I$89,3,0)*VLOOKUP('Données projet'!$B$10,Paramètres!$A$1:$I$89,5,0)</f>
        <v>40.472639999999991</v>
      </c>
      <c r="AK16" s="14">
        <f t="shared" si="35"/>
        <v>12.123834417890356</v>
      </c>
      <c r="AL16" s="22">
        <f t="shared" si="4"/>
        <v>91.605526277825675</v>
      </c>
      <c r="AM16" s="62">
        <f t="shared" si="5"/>
        <v>364.16108183338122</v>
      </c>
      <c r="AN16" s="62">
        <f ca="1">AVERAGE(OFFSET($AM$3,0,0,'Données projet'!$E$10+1,1))-AVERAGE(OFFSET($H$3,0,0,'Données projet'!$E$10+1,1))</f>
        <v>376.5422416541544</v>
      </c>
      <c r="AO16" s="62">
        <f t="shared" si="36"/>
        <v>365.76175372075869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10.176470588235293</v>
      </c>
      <c r="BD16" s="13">
        <f>IF('Données projet'!$A$88&gt;35,BD15+BC16-BL15,IF(A16&lt;'Données projet'!$A$88,$BA$205^A16,IF(A16='Données projet'!$A$88,'Données projet'!$B$88,BD15+BC16-BL15)))</f>
        <v>51.457302997468773</v>
      </c>
      <c r="BE16" s="14">
        <f>BD16*VLOOKUP('Données projet'!$B$11,Paramètres!$A$1:$I$89,3,0)*VLOOKUP('Données projet'!$B$11,Paramètres!$A$1:$I$89,5,0)</f>
        <v>28.764632375585041</v>
      </c>
      <c r="BF16" s="14">
        <f t="shared" si="37"/>
        <v>8.9660204529053544</v>
      </c>
      <c r="BG16" s="22">
        <f t="shared" si="7"/>
        <v>65.714220342954093</v>
      </c>
      <c r="BH16" s="62">
        <f t="shared" si="8"/>
        <v>338.26977589850964</v>
      </c>
      <c r="BI16" s="62">
        <f ca="1">AVERAGE(OFFSET($BH$3,0,0,'Données projet'!$E$11+1,1))-AVERAGE(OFFSET($H$3,0,0,'Données projet'!$E$11+1,1))</f>
        <v>405.13433810198853</v>
      </c>
      <c r="BJ16" s="62">
        <f t="shared" si="38"/>
        <v>534.74398214162079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3.65</v>
      </c>
      <c r="BY16" s="13">
        <f>IF('Données projet'!$A$114&gt;35,BY15+BX16-CG15,IF(A16&lt;'Données projet'!$A$114,$BV$205^A16,IF(A16='Données projet'!$A$114,'Données projet'!$B$114,BY15+BX16-CG15)))</f>
        <v>16.261472127148366</v>
      </c>
      <c r="BZ16" s="14">
        <f>BY16*VLOOKUP('Données projet'!$B$12,Paramètres!$A$1:$I$89,3,0)*VLOOKUP('Données projet'!$B$12,Paramètres!$A$1:$I$89,5,0)</f>
        <v>13.698664119909786</v>
      </c>
      <c r="CA16" s="14">
        <f t="shared" si="39"/>
        <v>4.6550134230463893</v>
      </c>
      <c r="CB16" s="22">
        <f t="shared" si="10"/>
        <v>31.965988387315338</v>
      </c>
      <c r="CC16" s="62">
        <f t="shared" si="11"/>
        <v>304.52154394287089</v>
      </c>
      <c r="CD16" s="62">
        <f ca="1">AVERAGE(OFFSET($CC$3,0,0,'Données projet'!$E$12+1,1))-AVERAGE(OFFSET($H$3,0,0,'Données projet'!$E$12+1,1))</f>
        <v>411.60020200960821</v>
      </c>
      <c r="CE16" s="62">
        <f t="shared" si="40"/>
        <v>261.95434270986397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2.9333333333333331</v>
      </c>
      <c r="CT16" s="13">
        <f>IF('Données projet'!$A$140&gt;35,CT15+CS16-DB15,IF(A16&lt;'Données projet'!$A$140,$CQ$205^A16,IF(A16='Données projet'!$A$140,'Données projet'!$B$140,CT15+CS16-DB15)))</f>
        <v>26.565968475532745</v>
      </c>
      <c r="CU16" s="18">
        <f>CT16*VLOOKUP('Données projet'!$B$13,Paramètres!$A$1:$I$89,3,0)*VLOOKUP('Données projet'!$B$13,Paramètres!$A$1:$I$89,5,0)</f>
        <v>21.550313627352164</v>
      </c>
      <c r="CV16" s="14">
        <f t="shared" si="41"/>
        <v>6.9469098226075578</v>
      </c>
      <c r="CW16" s="22">
        <f t="shared" si="13"/>
        <v>49.63266417534652</v>
      </c>
      <c r="CX16" s="62">
        <f t="shared" si="14"/>
        <v>322.18821973090206</v>
      </c>
      <c r="CY16" s="62">
        <f ca="1">AVERAGE(OFFSET($CX$3,0,0,'Données projet'!$E$13+1,1))-AVERAGE(OFFSET($H$3,0,0,'Données projet'!$E$13+1,1))</f>
        <v>293.51866463276224</v>
      </c>
      <c r="CZ16" s="62">
        <f t="shared" si="42"/>
        <v>232.78663842203713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2.85</v>
      </c>
      <c r="N17" s="14">
        <f>IF('Données projet'!$A$36&gt;35,N16+M17-V16,IF(A17&lt;'Données projet'!$A$36,$K$205^A17,IF(A17='Données projet'!$A$36,'Données projet'!$B$36,N16+M17-V16)))</f>
        <v>16.94776365704034</v>
      </c>
      <c r="O17" s="14">
        <f>N17*VLOOKUP('Données projet'!$B$9,Paramètres!$A$1:$I$89,3,0)*VLOOKUP('Données projet'!$B$9,Paramètres!$A$1:$I$89,5,0)</f>
        <v>14.805566330790443</v>
      </c>
      <c r="P17" s="14">
        <f t="shared" si="33"/>
        <v>4.9858546818608076</v>
      </c>
      <c r="Q17" s="22">
        <f t="shared" si="2"/>
        <v>34.470058263700928</v>
      </c>
      <c r="R17" s="62">
        <f t="shared" si="0"/>
        <v>308.24783604147871</v>
      </c>
      <c r="S17" s="62">
        <f ca="1">AVERAGE(OFFSET($R$3,0,0,'Données projet'!$E$9+1,1))-AVERAGE(OFFSET($H$3,0,0,'Données projet'!$E$9+1,1))</f>
        <v>239.16843440041487</v>
      </c>
      <c r="T17" s="62">
        <f t="shared" si="34"/>
        <v>241.82319822554194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14.4</v>
      </c>
      <c r="AI17" s="14">
        <f>IF('Données projet'!$A$62&gt;35,AI16+AH17-AQ16,IF(A17&lt;'Données projet'!$A$62,$AF$205^A17,IF(A17='Données projet'!$A$62,'Données projet'!$B$62,AI16+AH17-AQ16)))</f>
        <v>69.599999999999994</v>
      </c>
      <c r="AJ17" s="14">
        <f>AI17*VLOOKUP('Données projet'!$B$10,Paramètres!$A$1:$I$89,3,0)*VLOOKUP('Données projet'!$B$10,Paramètres!$A$1:$I$89,5,0)</f>
        <v>51.030719999999995</v>
      </c>
      <c r="AK17" s="14">
        <f t="shared" si="35"/>
        <v>14.879630660597618</v>
      </c>
      <c r="AL17" s="22">
        <f t="shared" si="4"/>
        <v>114.79386073387417</v>
      </c>
      <c r="AM17" s="62">
        <f t="shared" si="5"/>
        <v>388.57163851165194</v>
      </c>
      <c r="AN17" s="62">
        <f ca="1">AVERAGE(OFFSET($AM$3,0,0,'Données projet'!$E$10+1,1))-AVERAGE(OFFSET($H$3,0,0,'Données projet'!$E$10+1,1))</f>
        <v>376.5422416541544</v>
      </c>
      <c r="AO17" s="62">
        <f t="shared" si="36"/>
        <v>365.76175372075869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10.176470588235293</v>
      </c>
      <c r="BD17" s="13">
        <f>IF('Données projet'!$A$88&gt;35,BD16+BC17-BL16,IF(A17&lt;'Données projet'!$A$88,$BA$205^A17,IF(A17='Données projet'!$A$88,'Données projet'!$B$88,BD16+BC17-BL16)))</f>
        <v>69.678178792380663</v>
      </c>
      <c r="BE17" s="14">
        <f>BD17*VLOOKUP('Données projet'!$B$11,Paramètres!$A$1:$I$89,3,0)*VLOOKUP('Données projet'!$B$11,Paramètres!$A$1:$I$89,5,0)</f>
        <v>38.950101944940791</v>
      </c>
      <c r="BF17" s="14">
        <f t="shared" si="37"/>
        <v>11.719942006519396</v>
      </c>
      <c r="BG17" s="22">
        <f t="shared" si="7"/>
        <v>88.250326548793154</v>
      </c>
      <c r="BH17" s="62">
        <f t="shared" si="8"/>
        <v>362.02810432657094</v>
      </c>
      <c r="BI17" s="62">
        <f ca="1">AVERAGE(OFFSET($BH$3,0,0,'Données projet'!$E$11+1,1))-AVERAGE(OFFSET($H$3,0,0,'Données projet'!$E$11+1,1))</f>
        <v>405.13433810198853</v>
      </c>
      <c r="BJ17" s="62">
        <f t="shared" si="38"/>
        <v>534.74398214162079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3.65</v>
      </c>
      <c r="BY17" s="13">
        <f>IF('Données projet'!$A$114&gt;35,BY16+BX17-CG16,IF(A17&lt;'Données projet'!$A$114,$BV$205^A17,IF(A17='Données projet'!$A$114,'Données projet'!$B$114,BY16+BX17-CG16)))</f>
        <v>20.152364144963837</v>
      </c>
      <c r="BZ17" s="14">
        <f>BY17*VLOOKUP('Données projet'!$B$12,Paramètres!$A$1:$I$89,3,0)*VLOOKUP('Données projet'!$B$12,Paramètres!$A$1:$I$89,5,0)</f>
        <v>16.976351555717539</v>
      </c>
      <c r="CA17" s="14">
        <f t="shared" si="39"/>
        <v>5.6265546516016363</v>
      </c>
      <c r="CB17" s="22">
        <f t="shared" si="10"/>
        <v>39.366728311080898</v>
      </c>
      <c r="CC17" s="62">
        <f t="shared" si="11"/>
        <v>313.14450608885869</v>
      </c>
      <c r="CD17" s="62">
        <f ca="1">AVERAGE(OFFSET($CC$3,0,0,'Données projet'!$E$12+1,1))-AVERAGE(OFFSET($H$3,0,0,'Données projet'!$E$12+1,1))</f>
        <v>411.60020200960821</v>
      </c>
      <c r="CE17" s="62">
        <f t="shared" si="40"/>
        <v>261.95434270986397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2.9333333333333331</v>
      </c>
      <c r="CT17" s="13">
        <f>IF('Données projet'!$A$140&gt;35,CT16+CS17-DB16,IF(A17&lt;'Données projet'!$A$140,$CQ$205^A17,IF(A17='Données projet'!$A$140,'Données projet'!$B$140,CT16+CS17-DB16)))</f>
        <v>34.189217787534133</v>
      </c>
      <c r="CU17" s="18">
        <f>CT17*VLOOKUP('Données projet'!$B$13,Paramètres!$A$1:$I$89,3,0)*VLOOKUP('Données projet'!$B$13,Paramètres!$A$1:$I$89,5,0)</f>
        <v>27.734293469247689</v>
      </c>
      <c r="CV17" s="14">
        <f t="shared" si="41"/>
        <v>8.6816441438353458</v>
      </c>
      <c r="CW17" s="22">
        <f t="shared" si="13"/>
        <v>63.424424676119621</v>
      </c>
      <c r="CX17" s="62">
        <f t="shared" si="14"/>
        <v>337.20220245389737</v>
      </c>
      <c r="CY17" s="62">
        <f ca="1">AVERAGE(OFFSET($CX$3,0,0,'Données projet'!$E$13+1,1))-AVERAGE(OFFSET($H$3,0,0,'Données projet'!$E$13+1,1))</f>
        <v>293.51866463276224</v>
      </c>
      <c r="CZ17" s="62">
        <f t="shared" si="42"/>
        <v>232.78663842203713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2.85</v>
      </c>
      <c r="N18" s="14">
        <f>IF('Données projet'!$A$36&gt;35,N17+M18-V17,IF(A18&lt;'Données projet'!$A$36,$K$205^A18,IF(A18='Données projet'!$A$36,'Données projet'!$B$36,N17+M18-V17)))</f>
        <v>20.744651426583019</v>
      </c>
      <c r="O18" s="14">
        <f>N18*VLOOKUP('Données projet'!$B$9,Paramètres!$A$1:$I$89,3,0)*VLOOKUP('Données projet'!$B$9,Paramètres!$A$1:$I$89,5,0)</f>
        <v>18.122527486262925</v>
      </c>
      <c r="P18" s="14">
        <f t="shared" si="33"/>
        <v>5.960931998595087</v>
      </c>
      <c r="Q18" s="22">
        <f t="shared" si="2"/>
        <v>41.945358602794364</v>
      </c>
      <c r="R18" s="62">
        <f t="shared" si="0"/>
        <v>316.94535860279439</v>
      </c>
      <c r="S18" s="62">
        <f ca="1">AVERAGE(OFFSET($R$3,0,0,'Données projet'!$E$9+1,1))-AVERAGE(OFFSET($H$3,0,0,'Données projet'!$E$9+1,1))</f>
        <v>239.16843440041487</v>
      </c>
      <c r="T18" s="62">
        <f t="shared" si="34"/>
        <v>241.82319822554194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84</v>
      </c>
      <c r="AG18" s="13">
        <f>VLOOKUP(A18,'Données projet'!$A$61:$I$81,9,0)</f>
        <v>14.4</v>
      </c>
      <c r="AH18" s="13">
        <f t="array" ref="AH18">INDEX(AG:AG,MIN(IF(ISNUMBER(AG18:AG214),ROW(AG18:AG214),"")))</f>
        <v>14.4</v>
      </c>
      <c r="AI18" s="14">
        <f>IF('Données projet'!$A$62&gt;35,AI17+AH18-AQ17,IF(A18&lt;'Données projet'!$A$62,$AF$205^A18,IF(A18='Données projet'!$A$62,'Données projet'!$B$62,AI17+AH18-AQ17)))</f>
        <v>84</v>
      </c>
      <c r="AJ18" s="14">
        <f>AI18*VLOOKUP('Données projet'!$B$10,Paramètres!$A$1:$I$89,3,0)*VLOOKUP('Données projet'!$B$10,Paramètres!$A$1:$I$89,5,0)</f>
        <v>61.588799999999999</v>
      </c>
      <c r="AK18" s="14">
        <f t="shared" si="35"/>
        <v>17.56935444538782</v>
      </c>
      <c r="AL18" s="22">
        <f t="shared" si="4"/>
        <v>137.86711899238378</v>
      </c>
      <c r="AM18" s="62">
        <f t="shared" si="5"/>
        <v>412.86711899238378</v>
      </c>
      <c r="AN18" s="62">
        <f ca="1">AVERAGE(OFFSET($AM$3,0,0,'Données projet'!$E$10+1,1))-AVERAGE(OFFSET($H$3,0,0,'Données projet'!$E$10+1,1))</f>
        <v>376.5422416541544</v>
      </c>
      <c r="AO18" s="62">
        <f t="shared" si="36"/>
        <v>365.76175372075869</v>
      </c>
      <c r="AP18" s="16">
        <f>IF(ISNA(VLOOKUP(A18,'Données projet'!$A$61:$I$81,3,0)),0,VLOOKUP(A18,'Données projet'!$A$61:$I$81,3,0))</f>
        <v>2</v>
      </c>
      <c r="AQ18" s="16">
        <f>IF(ISNA(VLOOKUP(A18,'Données projet'!$A$61:$I$81,4,0)),0,VLOOKUP(A18,'Données projet'!$A$61:$I$81,4,0))</f>
        <v>42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10.176470588235293</v>
      </c>
      <c r="BD18" s="13">
        <f>IF('Données projet'!$A$88&gt;35,BD17+BC18-BL17,IF(A18&lt;'Données projet'!$A$88,$BA$205^A18,IF(A18='Données projet'!$A$88,'Données projet'!$B$88,BD17+BC18-BL17)))</f>
        <v>94.35101175166119</v>
      </c>
      <c r="BE18" s="14">
        <f>BD18*VLOOKUP('Données projet'!$B$11,Paramètres!$A$1:$I$89,3,0)*VLOOKUP('Données projet'!$B$11,Paramètres!$A$1:$I$89,5,0)</f>
        <v>52.742215569178612</v>
      </c>
      <c r="BF18" s="14">
        <f t="shared" si="37"/>
        <v>15.319733136641309</v>
      </c>
      <c r="BG18" s="22">
        <f t="shared" si="7"/>
        <v>118.54122732930301</v>
      </c>
      <c r="BH18" s="62">
        <f t="shared" si="8"/>
        <v>393.54122732930301</v>
      </c>
      <c r="BI18" s="62">
        <f ca="1">AVERAGE(OFFSET($BH$3,0,0,'Données projet'!$E$11+1,1))-AVERAGE(OFFSET($H$3,0,0,'Données projet'!$E$11+1,1))</f>
        <v>405.13433810198853</v>
      </c>
      <c r="BJ18" s="62">
        <f t="shared" si="38"/>
        <v>534.74398214162079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3.65</v>
      </c>
      <c r="BY18" s="13">
        <f>IF('Données projet'!$A$114&gt;35,BY17+BX18-CG17,IF(A18&lt;'Données projet'!$A$114,$BV$205^A18,IF(A18='Données projet'!$A$114,'Données projet'!$B$114,BY17+BX18-CG17)))</f>
        <v>24.974232188561476</v>
      </c>
      <c r="BZ18" s="14">
        <f>BY18*VLOOKUP('Données projet'!$B$12,Paramètres!$A$1:$I$89,3,0)*VLOOKUP('Données projet'!$B$12,Paramètres!$A$1:$I$89,5,0)</f>
        <v>21.03829319564419</v>
      </c>
      <c r="CA18" s="14">
        <f t="shared" si="39"/>
        <v>6.8008648676982615</v>
      </c>
      <c r="CB18" s="22">
        <f t="shared" si="10"/>
        <v>48.486533626988098</v>
      </c>
      <c r="CC18" s="62">
        <f t="shared" si="11"/>
        <v>323.48653362698809</v>
      </c>
      <c r="CD18" s="62">
        <f ca="1">AVERAGE(OFFSET($CC$3,0,0,'Données projet'!$E$12+1,1))-AVERAGE(OFFSET($H$3,0,0,'Données projet'!$E$12+1,1))</f>
        <v>411.60020200960821</v>
      </c>
      <c r="CE18" s="62">
        <f t="shared" si="40"/>
        <v>261.95434270986397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44</v>
      </c>
      <c r="CR18" s="13">
        <f>VLOOKUP(A18,'Données projet'!$A$139:$I$159,9,0)</f>
        <v>2.9333333333333331</v>
      </c>
      <c r="CS18" s="13">
        <f t="array" ref="CS18">INDEX(CR:CR,MIN(IF(ISNUMBER(CR18:CR214),ROW(CR18:CR214),"")))</f>
        <v>2.9333333333333331</v>
      </c>
      <c r="CT18" s="13">
        <f>IF('Données projet'!$A$140&gt;35,CT17+CS18-DB17,IF(A18&lt;'Données projet'!$A$140,$CQ$205^A18,IF(A18='Données projet'!$A$140,'Données projet'!$B$140,CT17+CS18-DB17)))</f>
        <v>44</v>
      </c>
      <c r="CU18" s="18">
        <f>CT18*VLOOKUP('Données projet'!$B$13,Paramètres!$A$1:$I$89,3,0)*VLOOKUP('Données projet'!$B$13,Paramètres!$A$1:$I$89,5,0)</f>
        <v>35.692800000000005</v>
      </c>
      <c r="CV18" s="14">
        <f t="shared" si="41"/>
        <v>10.849564333613264</v>
      </c>
      <c r="CW18" s="22">
        <f t="shared" si="13"/>
        <v>81.061284547709775</v>
      </c>
      <c r="CX18" s="62">
        <f t="shared" si="14"/>
        <v>356.06128454770976</v>
      </c>
      <c r="CY18" s="62">
        <f ca="1">AVERAGE(OFFSET($CX$3,0,0,'Données projet'!$E$13+1,1))-AVERAGE(OFFSET($H$3,0,0,'Données projet'!$E$13+1,1))</f>
        <v>293.51866463276224</v>
      </c>
      <c r="CZ18" s="62">
        <f t="shared" si="42"/>
        <v>232.78663842203713</v>
      </c>
      <c r="DA18" s="16">
        <f>IF(ISNA(VLOOKUP(A18,'Données projet'!$A$139:$I$159,3,0)),0,VLOOKUP(A18,'Données projet'!$A$139:$I$159,3,0))</f>
        <v>1</v>
      </c>
      <c r="DB18" s="16">
        <f>IF(ISNA(VLOOKUP(A18,'Données projet'!$A$139:$I$159,4,0)),0,VLOOKUP(A18,'Données projet'!$A$139:$I$159,4,0))</f>
        <v>8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2.85</v>
      </c>
      <c r="N19" s="14">
        <f>IF('Données projet'!$A$36&gt;35,N18+M19-V18,IF(A19&lt;'Données projet'!$A$36,$K$205^A19,IF(A19='Données projet'!$A$36,'Données projet'!$B$36,N18+M19-V18)))</f>
        <v>25.392173948075062</v>
      </c>
      <c r="O19" s="14">
        <f>N19*VLOOKUP('Données projet'!$B$9,Paramètres!$A$1:$I$89,3,0)*VLOOKUP('Données projet'!$B$9,Paramètres!$A$1:$I$89,5,0)</f>
        <v>22.182603161038376</v>
      </c>
      <c r="P19" s="14">
        <f t="shared" si="33"/>
        <v>7.1267039573270132</v>
      </c>
      <c r="Q19" s="22">
        <f t="shared" si="2"/>
        <v>51.047043231153054</v>
      </c>
      <c r="R19" s="62">
        <f t="shared" si="0"/>
        <v>327.26926545337528</v>
      </c>
      <c r="S19" s="62">
        <f ca="1">AVERAGE(OFFSET($R$3,0,0,'Données projet'!$E$9+1,1))-AVERAGE(OFFSET($H$3,0,0,'Données projet'!$E$9+1,1))</f>
        <v>239.16843440041487</v>
      </c>
      <c r="T19" s="62">
        <f t="shared" si="34"/>
        <v>241.82319822554194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16.2</v>
      </c>
      <c r="AI19" s="14">
        <f>IF('Données projet'!$A$62&gt;35,AI18+AH19-AQ18,IF(A19&lt;'Données projet'!$A$62,$AF$205^A19,IF(A19='Données projet'!$A$62,'Données projet'!$B$62,AI18+AH19-AQ18)))</f>
        <v>58.2</v>
      </c>
      <c r="AJ19" s="14">
        <f>AI19*VLOOKUP('Données projet'!$B$10,Paramètres!$A$1:$I$89,3,0)*VLOOKUP('Données projet'!$B$10,Paramètres!$A$1:$I$89,5,0)</f>
        <v>42.672240000000002</v>
      </c>
      <c r="AK19" s="14">
        <f t="shared" si="35"/>
        <v>12.704236692203963</v>
      </c>
      <c r="AL19" s="22">
        <f t="shared" si="4"/>
        <v>96.447363572255242</v>
      </c>
      <c r="AM19" s="62">
        <f t="shared" si="5"/>
        <v>372.66958579447748</v>
      </c>
      <c r="AN19" s="62">
        <f ca="1">AVERAGE(OFFSET($AM$3,0,0,'Données projet'!$E$10+1,1))-AVERAGE(OFFSET($H$3,0,0,'Données projet'!$E$10+1,1))</f>
        <v>376.5422416541544</v>
      </c>
      <c r="AO19" s="62">
        <f t="shared" si="36"/>
        <v>365.76175372075869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10.176470588235293</v>
      </c>
      <c r="BD19" s="13">
        <f>IF('Données projet'!$A$88&gt;35,BD18+BC19-BL18,IF(A19&lt;'Données projet'!$A$88,$BA$205^A19,IF(A19='Données projet'!$A$88,'Données projet'!$B$88,BD18+BC19-BL18)))</f>
        <v>127.76042044795173</v>
      </c>
      <c r="BE19" s="14">
        <f>BD19*VLOOKUP('Données projet'!$B$11,Paramètres!$A$1:$I$89,3,0)*VLOOKUP('Données projet'!$B$11,Paramètres!$A$1:$I$89,5,0)</f>
        <v>71.418075030405021</v>
      </c>
      <c r="BF19" s="14">
        <f t="shared" si="37"/>
        <v>20.025203473477379</v>
      </c>
      <c r="BG19" s="22">
        <f t="shared" si="7"/>
        <v>159.2637100609285</v>
      </c>
      <c r="BH19" s="62">
        <f t="shared" si="8"/>
        <v>435.48593228315076</v>
      </c>
      <c r="BI19" s="62">
        <f ca="1">AVERAGE(OFFSET($BH$3,0,0,'Données projet'!$E$11+1,1))-AVERAGE(OFFSET($H$3,0,0,'Données projet'!$E$11+1,1))</f>
        <v>405.13433810198853</v>
      </c>
      <c r="BJ19" s="62">
        <f t="shared" si="38"/>
        <v>534.74398214162079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3.65</v>
      </c>
      <c r="BY19" s="13">
        <f>IF('Données projet'!$A$114&gt;35,BY18+BX19-CG18,IF(A19&lt;'Données projet'!$A$114,$BV$205^A19,IF(A19='Données projet'!$A$114,'Données projet'!$B$114,BY18+BX19-CG18)))</f>
        <v>30.949831440200953</v>
      </c>
      <c r="BZ19" s="14">
        <f>BY19*VLOOKUP('Données projet'!$B$12,Paramètres!$A$1:$I$89,3,0)*VLOOKUP('Données projet'!$B$12,Paramètres!$A$1:$I$89,5,0)</f>
        <v>26.072138005225284</v>
      </c>
      <c r="CA19" s="14">
        <f t="shared" si="39"/>
        <v>8.2202636982343371</v>
      </c>
      <c r="CB19" s="22">
        <f t="shared" si="10"/>
        <v>59.725932966858835</v>
      </c>
      <c r="CC19" s="62">
        <f t="shared" si="11"/>
        <v>335.94815518908104</v>
      </c>
      <c r="CD19" s="62">
        <f ca="1">AVERAGE(OFFSET($CC$3,0,0,'Données projet'!$E$12+1,1))-AVERAGE(OFFSET($H$3,0,0,'Données projet'!$E$12+1,1))</f>
        <v>411.60020200960821</v>
      </c>
      <c r="CE19" s="62">
        <f t="shared" si="40"/>
        <v>261.95434270986397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5.8</v>
      </c>
      <c r="CT19" s="13">
        <f>IF('Données projet'!$A$140&gt;35,CT18+CS19-DB18,IF(A19&lt;'Données projet'!$A$140,$CQ$205^A19,IF(A19='Données projet'!$A$140,'Données projet'!$B$140,CT18+CS19-DB18)))</f>
        <v>41.8</v>
      </c>
      <c r="CU19" s="18">
        <f>CT19*VLOOKUP('Données projet'!$B$13,Paramètres!$A$1:$I$89,3,0)*VLOOKUP('Données projet'!$B$13,Paramètres!$A$1:$I$89,5,0)</f>
        <v>33.908160000000002</v>
      </c>
      <c r="CV19" s="14">
        <f t="shared" si="41"/>
        <v>10.368809057652532</v>
      </c>
      <c r="CW19" s="22">
        <f t="shared" si="13"/>
        <v>77.115721108744836</v>
      </c>
      <c r="CX19" s="62">
        <f t="shared" si="14"/>
        <v>353.33794333096705</v>
      </c>
      <c r="CY19" s="62">
        <f ca="1">AVERAGE(OFFSET($CX$3,0,0,'Données projet'!$E$13+1,1))-AVERAGE(OFFSET($H$3,0,0,'Données projet'!$E$13+1,1))</f>
        <v>293.51866463276224</v>
      </c>
      <c r="CZ19" s="62">
        <f t="shared" si="42"/>
        <v>232.78663842203713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2.85</v>
      </c>
      <c r="N20" s="14">
        <f>IF('Données projet'!$A$36&gt;35,N19+M20-V19,IF(A20&lt;'Données projet'!$A$36,$K$205^A20,IF(A20='Données projet'!$A$36,'Données projet'!$B$36,N19+M20-V19)))</f>
        <v>31.080902954246678</v>
      </c>
      <c r="O20" s="14">
        <f>N20*VLOOKUP('Données projet'!$B$9,Paramètres!$A$1:$I$89,3,0)*VLOOKUP('Données projet'!$B$9,Paramètres!$A$1:$I$89,5,0)</f>
        <v>27.152276820829904</v>
      </c>
      <c r="P20" s="14">
        <f t="shared" si="33"/>
        <v>8.5204644688701361</v>
      </c>
      <c r="Q20" s="22">
        <f t="shared" si="2"/>
        <v>62.130024412894237</v>
      </c>
      <c r="R20" s="62">
        <f t="shared" si="0"/>
        <v>339.57446885733867</v>
      </c>
      <c r="S20" s="62">
        <f ca="1">AVERAGE(OFFSET($R$3,0,0,'Données projet'!$E$9+1,1))-AVERAGE(OFFSET($H$3,0,0,'Données projet'!$E$9+1,1))</f>
        <v>239.16843440041487</v>
      </c>
      <c r="T20" s="62">
        <f t="shared" si="34"/>
        <v>241.82319822554194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16.2</v>
      </c>
      <c r="AI20" s="14">
        <f>IF('Données projet'!$A$62&gt;35,AI19+AH20-AQ19,IF(A20&lt;'Données projet'!$A$62,$AF$205^A20,IF(A20='Données projet'!$A$62,'Données projet'!$B$62,AI19+AH20-AQ19)))</f>
        <v>74.400000000000006</v>
      </c>
      <c r="AJ20" s="14">
        <f>AI20*VLOOKUP('Données projet'!$B$10,Paramètres!$A$1:$I$89,3,0)*VLOOKUP('Données projet'!$B$10,Paramètres!$A$1:$I$89,5,0)</f>
        <v>54.550080000000008</v>
      </c>
      <c r="AK20" s="14">
        <f t="shared" si="35"/>
        <v>15.782815260920124</v>
      </c>
      <c r="AL20" s="22">
        <f t="shared" si="4"/>
        <v>122.49645924610256</v>
      </c>
      <c r="AM20" s="62">
        <f t="shared" si="5"/>
        <v>399.94090369054703</v>
      </c>
      <c r="AN20" s="62">
        <f ca="1">AVERAGE(OFFSET($AM$3,0,0,'Données projet'!$E$10+1,1))-AVERAGE(OFFSET($H$3,0,0,'Données projet'!$E$10+1,1))</f>
        <v>376.5422416541544</v>
      </c>
      <c r="AO20" s="62">
        <f t="shared" si="36"/>
        <v>365.76175372075869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>
        <f>VLOOKUP(A20,'Données projet'!$A$87:$I$107,2,0)</f>
        <v>173</v>
      </c>
      <c r="BB20" s="13">
        <f>VLOOKUP(A20,'Données projet'!$A$87:$I$107,9,0)</f>
        <v>10.176470588235293</v>
      </c>
      <c r="BC20" s="13">
        <f t="array" ref="BC20">INDEX(BB:BB,MIN(IF(ISNUMBER(BB20:BB216),ROW(BB20:BB216),"")))</f>
        <v>10.176470588235293</v>
      </c>
      <c r="BD20" s="13">
        <f>IF('Données projet'!$A$88&gt;35,BD19+BC20-BL19,IF(A20&lt;'Données projet'!$A$88,$BA$205^A20,IF(A20='Données projet'!$A$88,'Données projet'!$B$88,BD19+BC20-BL19)))</f>
        <v>173</v>
      </c>
      <c r="BE20" s="14">
        <f>BD20*VLOOKUP('Données projet'!$B$11,Paramètres!$A$1:$I$89,3,0)*VLOOKUP('Données projet'!$B$11,Paramètres!$A$1:$I$89,5,0)</f>
        <v>96.707000000000008</v>
      </c>
      <c r="BF20" s="14">
        <f t="shared" si="37"/>
        <v>26.175963417733982</v>
      </c>
      <c r="BG20" s="22">
        <f t="shared" si="7"/>
        <v>214.02116128588668</v>
      </c>
      <c r="BH20" s="62">
        <f t="shared" si="8"/>
        <v>491.46560573033116</v>
      </c>
      <c r="BI20" s="62">
        <f ca="1">AVERAGE(OFFSET($BH$3,0,0,'Données projet'!$E$11+1,1))-AVERAGE(OFFSET($H$3,0,0,'Données projet'!$E$11+1,1))</f>
        <v>405.13433810198853</v>
      </c>
      <c r="BJ20" s="62">
        <f t="shared" si="38"/>
        <v>534.74398214162079</v>
      </c>
      <c r="BK20" s="16">
        <f>IF(ISNA(VLOOKUP(A20,'Données projet'!$A$87:$I$107,3,0)),0,VLOOKUP(A20,'Données projet'!$A$87:$I$107,3,0))</f>
        <v>1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3.65</v>
      </c>
      <c r="BY20" s="13">
        <f>IF('Données projet'!$A$114&gt;35,BY19+BX20-CG19,IF(A20&lt;'Données projet'!$A$114,$BV$205^A20,IF(A20='Données projet'!$A$114,'Données projet'!$B$114,BY19+BX20-CG19)))</f>
        <v>38.355215845858055</v>
      </c>
      <c r="BZ20" s="14">
        <f>BY20*VLOOKUP('Données projet'!$B$12,Paramètres!$A$1:$I$89,3,0)*VLOOKUP('Données projet'!$B$12,Paramètres!$A$1:$I$89,5,0)</f>
        <v>32.310433828550828</v>
      </c>
      <c r="CA20" s="14">
        <f t="shared" si="39"/>
        <v>9.9359032392271498</v>
      </c>
      <c r="CB20" s="22">
        <f t="shared" si="10"/>
        <v>73.579037059713301</v>
      </c>
      <c r="CC20" s="62">
        <f t="shared" si="11"/>
        <v>351.02348150415776</v>
      </c>
      <c r="CD20" s="62">
        <f ca="1">AVERAGE(OFFSET($CC$3,0,0,'Données projet'!$E$12+1,1))-AVERAGE(OFFSET($H$3,0,0,'Données projet'!$E$12+1,1))</f>
        <v>411.60020200960821</v>
      </c>
      <c r="CE20" s="62">
        <f t="shared" si="40"/>
        <v>261.95434270986397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5.8</v>
      </c>
      <c r="CT20" s="13">
        <f>IF('Données projet'!$A$140&gt;35,CT19+CS20-DB19,IF(A20&lt;'Données projet'!$A$140,$CQ$205^A20,IF(A20='Données projet'!$A$140,'Données projet'!$B$140,CT19+CS20-DB19)))</f>
        <v>47.599999999999994</v>
      </c>
      <c r="CU20" s="18">
        <f>CT20*VLOOKUP('Données projet'!$B$13,Paramètres!$A$1:$I$89,3,0)*VLOOKUP('Données projet'!$B$13,Paramètres!$A$1:$I$89,5,0)</f>
        <v>38.613120000000002</v>
      </c>
      <c r="CV20" s="14">
        <f t="shared" si="41"/>
        <v>11.630302690562228</v>
      </c>
      <c r="CW20" s="22">
        <f t="shared" si="13"/>
        <v>87.50729451939587</v>
      </c>
      <c r="CX20" s="62">
        <f t="shared" si="14"/>
        <v>364.95173896384034</v>
      </c>
      <c r="CY20" s="62">
        <f ca="1">AVERAGE(OFFSET($CX$3,0,0,'Données projet'!$E$13+1,1))-AVERAGE(OFFSET($H$3,0,0,'Données projet'!$E$13+1,1))</f>
        <v>293.51866463276224</v>
      </c>
      <c r="CZ20" s="62">
        <f t="shared" si="42"/>
        <v>232.78663842203713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2.85</v>
      </c>
      <c r="N21" s="14">
        <f>IF('Données projet'!$A$36&gt;35,N20+M21-V20,IF(A21&lt;'Données projet'!$A$36,$K$205^A21,IF(A21='Données projet'!$A$36,'Données projet'!$B$36,N20+M21-V20)))</f>
        <v>38.044104865803838</v>
      </c>
      <c r="O21" s="14">
        <f>N21*VLOOKUP('Données projet'!$B$9,Paramètres!$A$1:$I$89,3,0)*VLOOKUP('Données projet'!$B$9,Paramètres!$A$1:$I$89,5,0)</f>
        <v>33.235330010766241</v>
      </c>
      <c r="P21" s="14">
        <f t="shared" si="33"/>
        <v>10.186800967176366</v>
      </c>
      <c r="Q21" s="22">
        <f t="shared" si="2"/>
        <v>75.626878119916697</v>
      </c>
      <c r="R21" s="62">
        <f t="shared" si="0"/>
        <v>354.29354478658337</v>
      </c>
      <c r="S21" s="62">
        <f ca="1">AVERAGE(OFFSET($R$3,0,0,'Données projet'!$E$9+1,1))-AVERAGE(OFFSET($H$3,0,0,'Données projet'!$E$9+1,1))</f>
        <v>239.16843440041487</v>
      </c>
      <c r="T21" s="62">
        <f t="shared" si="34"/>
        <v>241.82319822554194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16.2</v>
      </c>
      <c r="AI21" s="14">
        <f>IF('Données projet'!$A$62&gt;35,AI20+AH21-AQ20,IF(A21&lt;'Données projet'!$A$62,$AF$205^A21,IF(A21='Données projet'!$A$62,'Données projet'!$B$62,AI20+AH21-AQ20)))</f>
        <v>90.600000000000009</v>
      </c>
      <c r="AJ21" s="14">
        <f>AI21*VLOOKUP('Données projet'!$B$10,Paramètres!$A$1:$I$89,3,0)*VLOOKUP('Données projet'!$B$10,Paramètres!$A$1:$I$89,5,0)</f>
        <v>66.42792</v>
      </c>
      <c r="AK21" s="14">
        <f t="shared" si="35"/>
        <v>18.783698241275044</v>
      </c>
      <c r="AL21" s="22">
        <f t="shared" si="4"/>
        <v>148.41023510355402</v>
      </c>
      <c r="AM21" s="62">
        <f t="shared" si="5"/>
        <v>427.07690177022073</v>
      </c>
      <c r="AN21" s="62">
        <f ca="1">AVERAGE(OFFSET($AM$3,0,0,'Données projet'!$E$10+1,1))-AVERAGE(OFFSET($H$3,0,0,'Données projet'!$E$10+1,1))</f>
        <v>376.5422416541544</v>
      </c>
      <c r="AO21" s="62">
        <f t="shared" si="36"/>
        <v>365.76175372075869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>
        <f>VLOOKUP(A21,'Données projet'!$A$87:$I$107,2,0)</f>
        <v>202</v>
      </c>
      <c r="BB21" s="13">
        <f>VLOOKUP(A21,'Données projet'!$A$87:$I$107,9,0)</f>
        <v>29</v>
      </c>
      <c r="BC21" s="13">
        <f t="array" ref="BC21">INDEX(BB:BB,MIN(IF(ISNUMBER(BB21:BB217),ROW(BB21:BB217),"")))</f>
        <v>29</v>
      </c>
      <c r="BD21" s="13">
        <f>IF('Données projet'!$A$88&gt;35,BD20+BC21-BL20,IF(A21&lt;'Données projet'!$A$88,$BA$205^A21,IF(A21='Données projet'!$A$88,'Données projet'!$B$88,BD20+BC21-BL20)))</f>
        <v>202</v>
      </c>
      <c r="BE21" s="14">
        <f>BD21*VLOOKUP('Données projet'!$B$11,Paramètres!$A$1:$I$89,3,0)*VLOOKUP('Données projet'!$B$11,Paramètres!$A$1:$I$89,5,0)</f>
        <v>112.91800000000001</v>
      </c>
      <c r="BF21" s="14">
        <f t="shared" si="37"/>
        <v>30.017437037525227</v>
      </c>
      <c r="BG21" s="22">
        <f t="shared" si="7"/>
        <v>248.94588617368973</v>
      </c>
      <c r="BH21" s="62">
        <f t="shared" si="8"/>
        <v>527.61255284035644</v>
      </c>
      <c r="BI21" s="62">
        <f ca="1">AVERAGE(OFFSET($BH$3,0,0,'Données projet'!$E$11+1,1))-AVERAGE(OFFSET($H$3,0,0,'Données projet'!$E$11+1,1))</f>
        <v>405.13433810198853</v>
      </c>
      <c r="BJ21" s="62">
        <f t="shared" si="38"/>
        <v>534.74398214162079</v>
      </c>
      <c r="BK21" s="16">
        <f>IF(ISNA(VLOOKUP(A21,'Données projet'!$A$87:$I$107,3,0)),0,VLOOKUP(A21,'Données projet'!$A$87:$I$107,3,0))</f>
        <v>2</v>
      </c>
      <c r="BL21" s="16">
        <f>IF(ISNA(VLOOKUP(A21,'Données projet'!$A$87:$I$107,4,0)),0,VLOOKUP(A21,'Données projet'!$A$87:$I$107,4,0))</f>
        <v>75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3.65</v>
      </c>
      <c r="BY21" s="13">
        <f>IF('Données projet'!$A$114&gt;35,BY20+BX21-CG20,IF(A21&lt;'Données projet'!$A$114,$BV$205^A21,IF(A21='Données projet'!$A$114,'Données projet'!$B$114,BY20+BX21-CG20)))</f>
        <v>47.532490941824946</v>
      </c>
      <c r="BZ21" s="14">
        <f>BY21*VLOOKUP('Données projet'!$B$12,Paramètres!$A$1:$I$89,3,0)*VLOOKUP('Données projet'!$B$12,Paramètres!$A$1:$I$89,5,0)</f>
        <v>40.041370369393334</v>
      </c>
      <c r="CA21" s="14">
        <f t="shared" si="39"/>
        <v>12.009611467876571</v>
      </c>
      <c r="CB21" s="22">
        <f t="shared" si="10"/>
        <v>90.655460033245092</v>
      </c>
      <c r="CC21" s="62">
        <f t="shared" si="11"/>
        <v>369.32212669991179</v>
      </c>
      <c r="CD21" s="62">
        <f ca="1">AVERAGE(OFFSET($CC$3,0,0,'Données projet'!$E$12+1,1))-AVERAGE(OFFSET($H$3,0,0,'Données projet'!$E$12+1,1))</f>
        <v>411.60020200960821</v>
      </c>
      <c r="CE21" s="62">
        <f t="shared" si="40"/>
        <v>261.95434270986397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5.8</v>
      </c>
      <c r="CT21" s="13">
        <f>IF('Données projet'!$A$140&gt;35,CT20+CS21-DB20,IF(A21&lt;'Données projet'!$A$140,$CQ$205^A21,IF(A21='Données projet'!$A$140,'Données projet'!$B$140,CT20+CS21-DB20)))</f>
        <v>53.399999999999991</v>
      </c>
      <c r="CU21" s="18">
        <f>CT21*VLOOKUP('Données projet'!$B$13,Paramètres!$A$1:$I$89,3,0)*VLOOKUP('Données projet'!$B$13,Paramètres!$A$1:$I$89,5,0)</f>
        <v>43.318079999999995</v>
      </c>
      <c r="CV21" s="14">
        <f t="shared" si="41"/>
        <v>12.873984120849356</v>
      </c>
      <c r="CW21" s="22">
        <f t="shared" si="13"/>
        <v>97.867845010479286</v>
      </c>
      <c r="CX21" s="62">
        <f t="shared" si="14"/>
        <v>376.53451167714599</v>
      </c>
      <c r="CY21" s="62">
        <f ca="1">AVERAGE(OFFSET($CX$3,0,0,'Données projet'!$E$13+1,1))-AVERAGE(OFFSET($H$3,0,0,'Données projet'!$E$13+1,1))</f>
        <v>293.51866463276224</v>
      </c>
      <c r="CZ21" s="62">
        <f t="shared" si="42"/>
        <v>232.78663842203713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2.85</v>
      </c>
      <c r="N22" s="14">
        <f>IF('Données projet'!$A$36&gt;35,N21+M22-V21,IF(A22&lt;'Données projet'!$A$36,$K$205^A22,IF(A22='Données projet'!$A$36,'Données projet'!$B$36,N21+M22-V21)))</f>
        <v>46.567305884609858</v>
      </c>
      <c r="O22" s="14">
        <f>N22*VLOOKUP('Données projet'!$B$9,Paramètres!$A$1:$I$89,3,0)*VLOOKUP('Données projet'!$B$9,Paramètres!$A$1:$I$89,5,0)</f>
        <v>40.681198420795177</v>
      </c>
      <c r="P22" s="14">
        <f t="shared" si="33"/>
        <v>12.179020794464504</v>
      </c>
      <c r="Q22" s="22">
        <f t="shared" si="2"/>
        <v>92.064881799910609</v>
      </c>
      <c r="R22" s="62">
        <f t="shared" si="0"/>
        <v>371.95377068879947</v>
      </c>
      <c r="S22" s="62">
        <f ca="1">AVERAGE(OFFSET($R$3,0,0,'Données projet'!$E$9+1,1))-AVERAGE(OFFSET($H$3,0,0,'Données projet'!$E$9+1,1))</f>
        <v>239.16843440041487</v>
      </c>
      <c r="T22" s="62">
        <f t="shared" si="34"/>
        <v>241.82319822554194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16.2</v>
      </c>
      <c r="AI22" s="14">
        <f>IF('Données projet'!$A$62&gt;35,AI21+AH22-AQ21,IF(A22&lt;'Données projet'!$A$62,$AF$205^A22,IF(A22='Données projet'!$A$62,'Données projet'!$B$62,AI21+AH22-AQ21)))</f>
        <v>106.80000000000001</v>
      </c>
      <c r="AJ22" s="14">
        <f>AI22*VLOOKUP('Données projet'!$B$10,Paramètres!$A$1:$I$89,3,0)*VLOOKUP('Données projet'!$B$10,Paramètres!$A$1:$I$89,5,0)</f>
        <v>78.305760000000006</v>
      </c>
      <c r="AK22" s="14">
        <f t="shared" si="35"/>
        <v>21.722418982737217</v>
      </c>
      <c r="AL22" s="22">
        <f t="shared" si="4"/>
        <v>174.21574506160064</v>
      </c>
      <c r="AM22" s="62">
        <f t="shared" si="5"/>
        <v>454.10463395048953</v>
      </c>
      <c r="AN22" s="62">
        <f ca="1">AVERAGE(OFFSET($AM$3,0,0,'Données projet'!$E$10+1,1))-AVERAGE(OFFSET($H$3,0,0,'Données projet'!$E$10+1,1))</f>
        <v>376.5422416541544</v>
      </c>
      <c r="AO22" s="62">
        <f t="shared" si="36"/>
        <v>365.76175372075869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>
        <f>VLOOKUP(A22,'Données projet'!$A$87:$I$107,2,0)</f>
        <v>150</v>
      </c>
      <c r="BB22" s="13">
        <f>VLOOKUP(A22,'Données projet'!$A$87:$I$107,9,0)</f>
        <v>23</v>
      </c>
      <c r="BC22" s="13">
        <f t="array" ref="BC22">INDEX(BB:BB,MIN(IF(ISNUMBER(BB22:BB218),ROW(BB22:BB218),"")))</f>
        <v>23</v>
      </c>
      <c r="BD22" s="13">
        <f>IF('Données projet'!$A$88&gt;35,BD21+BC22-BL21,IF(A22&lt;'Données projet'!$A$88,$BA$205^A22,IF(A22='Données projet'!$A$88,'Données projet'!$B$88,BD21+BC22-BL21)))</f>
        <v>150</v>
      </c>
      <c r="BE22" s="14">
        <f>BD22*VLOOKUP('Données projet'!$B$11,Paramètres!$A$1:$I$89,3,0)*VLOOKUP('Données projet'!$B$11,Paramètres!$A$1:$I$89,5,0)</f>
        <v>83.850000000000009</v>
      </c>
      <c r="BF22" s="14">
        <f t="shared" si="37"/>
        <v>23.075938604999987</v>
      </c>
      <c r="BG22" s="22">
        <f t="shared" si="7"/>
        <v>186.22934307037499</v>
      </c>
      <c r="BH22" s="62">
        <f t="shared" si="8"/>
        <v>466.11823195926388</v>
      </c>
      <c r="BI22" s="62">
        <f ca="1">AVERAGE(OFFSET($BH$3,0,0,'Données projet'!$E$11+1,1))-AVERAGE(OFFSET($H$3,0,0,'Données projet'!$E$11+1,1))</f>
        <v>405.13433810198853</v>
      </c>
      <c r="BJ22" s="62">
        <f t="shared" si="38"/>
        <v>534.74398214162079</v>
      </c>
      <c r="BK22" s="16">
        <f>IF(ISNA(VLOOKUP(A22,'Données projet'!$A$87:$I$107,3,0)),0,VLOOKUP(A22,'Données projet'!$A$87:$I$107,3,0))</f>
        <v>3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3.65</v>
      </c>
      <c r="BY22" s="13">
        <f>IF('Données projet'!$A$114&gt;35,BY21+BX22-CG21,IF(A22&lt;'Données projet'!$A$114,$BV$205^A22,IF(A22='Données projet'!$A$114,'Données projet'!$B$114,BY21+BX22-CG21)))</f>
        <v>58.90561805764559</v>
      </c>
      <c r="BZ22" s="14">
        <f>BY22*VLOOKUP('Données projet'!$B$12,Paramètres!$A$1:$I$89,3,0)*VLOOKUP('Données projet'!$B$12,Paramètres!$A$1:$I$89,5,0)</f>
        <v>49.622092651760646</v>
      </c>
      <c r="CA22" s="14">
        <f t="shared" si="39"/>
        <v>14.516120390537463</v>
      </c>
      <c r="CB22" s="22">
        <f t="shared" si="10"/>
        <v>111.70738771533587</v>
      </c>
      <c r="CC22" s="62">
        <f t="shared" si="11"/>
        <v>391.59627660422473</v>
      </c>
      <c r="CD22" s="62">
        <f ca="1">AVERAGE(OFFSET($CC$3,0,0,'Données projet'!$E$12+1,1))-AVERAGE(OFFSET($H$3,0,0,'Données projet'!$E$12+1,1))</f>
        <v>411.60020200960821</v>
      </c>
      <c r="CE22" s="62">
        <f t="shared" si="40"/>
        <v>261.95434270986397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5.8</v>
      </c>
      <c r="CT22" s="13">
        <f>IF('Données projet'!$A$140&gt;35,CT21+CS22-DB21,IF(A22&lt;'Données projet'!$A$140,$CQ$205^A22,IF(A22='Données projet'!$A$140,'Données projet'!$B$140,CT21+CS22-DB21)))</f>
        <v>59.199999999999989</v>
      </c>
      <c r="CU22" s="18">
        <f>CT22*VLOOKUP('Données projet'!$B$13,Paramètres!$A$1:$I$89,3,0)*VLOOKUP('Données projet'!$B$13,Paramètres!$A$1:$I$89,5,0)</f>
        <v>48.023039999999995</v>
      </c>
      <c r="CV22" s="14">
        <f t="shared" si="41"/>
        <v>14.102008576602165</v>
      </c>
      <c r="CW22" s="22">
        <f t="shared" si="13"/>
        <v>108.20112627091542</v>
      </c>
      <c r="CX22" s="62">
        <f t="shared" si="14"/>
        <v>388.0900151598043</v>
      </c>
      <c r="CY22" s="62">
        <f ca="1">AVERAGE(OFFSET($CX$3,0,0,'Données projet'!$E$13+1,1))-AVERAGE(OFFSET($H$3,0,0,'Données projet'!$E$13+1,1))</f>
        <v>293.51866463276224</v>
      </c>
      <c r="CZ22" s="62">
        <f t="shared" si="42"/>
        <v>232.78663842203713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57</v>
      </c>
      <c r="L23" s="13">
        <f>VLOOKUP(A23,'Données projet'!$A$35:$I$55,9,0)</f>
        <v>2.85</v>
      </c>
      <c r="M23" s="13">
        <f t="array" ref="M23">INDEX(L:L,MIN(IF(ISNUMBER(L23:L219),ROW(L23:L219),"")))</f>
        <v>2.85</v>
      </c>
      <c r="N23" s="14">
        <f>IF('Données projet'!$A$36&gt;35,N22+M23-V22,IF(A23&lt;'Données projet'!$A$36,$K$205^A23,IF(A23='Données projet'!$A$36,'Données projet'!$B$36,N22+M23-V22)))</f>
        <v>57</v>
      </c>
      <c r="O23" s="14">
        <f>N23*VLOOKUP('Données projet'!$B$9,Paramètres!$A$1:$I$89,3,0)*VLOOKUP('Données projet'!$B$9,Paramètres!$A$1:$I$89,5,0)</f>
        <v>49.795200000000001</v>
      </c>
      <c r="P23" s="14">
        <f t="shared" si="33"/>
        <v>14.560856542690781</v>
      </c>
      <c r="Q23" s="22">
        <f t="shared" si="2"/>
        <v>112.08679847851977</v>
      </c>
      <c r="R23" s="62">
        <f t="shared" si="0"/>
        <v>393.19790958963091</v>
      </c>
      <c r="S23" s="62">
        <f ca="1">AVERAGE(OFFSET($R$3,0,0,'Données projet'!$E$9+1,1))-AVERAGE(OFFSET($H$3,0,0,'Données projet'!$E$9+1,1))</f>
        <v>239.16843440041487</v>
      </c>
      <c r="T23" s="62">
        <f t="shared" si="34"/>
        <v>241.82319822554194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4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123</v>
      </c>
      <c r="AG23" s="13">
        <f>VLOOKUP(A23,'Données projet'!$A$61:$I$81,9,0)</f>
        <v>16.2</v>
      </c>
      <c r="AH23" s="13">
        <f t="array" ref="AH23">INDEX(AG:AG,MIN(IF(ISNUMBER(AG23:AG219),ROW(AG23:AG219),"")))</f>
        <v>16.2</v>
      </c>
      <c r="AI23" s="14">
        <f>IF('Données projet'!$A$62&gt;35,AI22+AH23-AQ22,IF(A23&lt;'Données projet'!$A$62,$AF$205^A23,IF(A23='Données projet'!$A$62,'Données projet'!$B$62,AI22+AH23-AQ22)))</f>
        <v>123.00000000000001</v>
      </c>
      <c r="AJ23" s="14">
        <f>AI23*VLOOKUP('Données projet'!$B$10,Paramètres!$A$1:$I$89,3,0)*VLOOKUP('Données projet'!$B$10,Paramètres!$A$1:$I$89,5,0)</f>
        <v>90.183600000000013</v>
      </c>
      <c r="AK23" s="14">
        <f t="shared" si="35"/>
        <v>24.609499639553789</v>
      </c>
      <c r="AL23" s="22">
        <f t="shared" si="4"/>
        <v>199.93131520555619</v>
      </c>
      <c r="AM23" s="62">
        <f t="shared" si="5"/>
        <v>481.04242631666733</v>
      </c>
      <c r="AN23" s="62">
        <f ca="1">AVERAGE(OFFSET($AM$3,0,0,'Données projet'!$E$10+1,1))-AVERAGE(OFFSET($H$3,0,0,'Données projet'!$E$10+1,1))</f>
        <v>376.5422416541544</v>
      </c>
      <c r="AO23" s="62">
        <f t="shared" si="36"/>
        <v>365.76175372075869</v>
      </c>
      <c r="AP23" s="16">
        <f>IF(ISNA(VLOOKUP(A23,'Données projet'!$A$61:$I$81,3,0)),0,VLOOKUP(A23,'Données projet'!$A$61:$I$81,3,0))</f>
        <v>3</v>
      </c>
      <c r="AQ23" s="16">
        <f>IF(ISNA(VLOOKUP(A23,'Données projet'!$A$61:$I$81,4,0)),0,VLOOKUP(A23,'Données projet'!$A$61:$I$81,4,0))</f>
        <v>42</v>
      </c>
      <c r="AR23" s="17">
        <f>IF(ISNA(VLOOKUP(A23,'Données projet'!$A$61:$I$81,5,0)),0%,VLOOKUP(A23,'Données projet'!$A$61:$I$81,5,0)*VLOOKUP('Données projet'!$B$10,Paramètres!$A$1:$I$89,7,0))</f>
        <v>8.6000000000000007E-2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2.927637546772095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2.927637546772095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27.25</v>
      </c>
      <c r="BD23" s="13">
        <f>IF('Données projet'!$A$88&gt;35,BD22+BC23-BL22,IF(A23&lt;'Données projet'!$A$88,$BA$205^A23,IF(A23='Données projet'!$A$88,'Données projet'!$B$88,BD22+BC23-BL22)))</f>
        <v>177.25</v>
      </c>
      <c r="BE23" s="14">
        <f>BD23*VLOOKUP('Données projet'!$B$11,Paramètres!$A$1:$I$89,3,0)*VLOOKUP('Données projet'!$B$11,Paramètres!$A$1:$I$89,5,0)</f>
        <v>99.082750000000004</v>
      </c>
      <c r="BF23" s="14">
        <f t="shared" si="37"/>
        <v>26.743358328520863</v>
      </c>
      <c r="BG23" s="22">
        <f t="shared" si="7"/>
        <v>219.14713867217384</v>
      </c>
      <c r="BH23" s="62">
        <f t="shared" si="8"/>
        <v>500.25824978328501</v>
      </c>
      <c r="BI23" s="62">
        <f ca="1">AVERAGE(OFFSET($BH$3,0,0,'Données projet'!$E$11+1,1))-AVERAGE(OFFSET($H$3,0,0,'Données projet'!$E$11+1,1))</f>
        <v>405.13433810198853</v>
      </c>
      <c r="BJ23" s="62">
        <f t="shared" si="38"/>
        <v>534.74398214162079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73</v>
      </c>
      <c r="BW23" s="13">
        <f>VLOOKUP(A23,'Données projet'!$A$113:$I$133,9,0)</f>
        <v>3.65</v>
      </c>
      <c r="BX23" s="13">
        <f t="array" ref="BX23">INDEX(BW:BW,MIN(IF(ISNUMBER(BW23:BW219),ROW(BW23:BW219),"")))</f>
        <v>3.65</v>
      </c>
      <c r="BY23" s="13">
        <f>IF('Données projet'!$A$114&gt;35,BY22+BX23-CG22,IF(A23&lt;'Données projet'!$A$114,$BV$205^A23,IF(A23='Données projet'!$A$114,'Données projet'!$B$114,BY22+BX23-CG22)))</f>
        <v>73</v>
      </c>
      <c r="BZ23" s="14">
        <f>BY23*VLOOKUP('Données projet'!$B$12,Paramètres!$A$1:$I$89,3,0)*VLOOKUP('Données projet'!$B$12,Paramètres!$A$1:$I$89,5,0)</f>
        <v>61.495200000000004</v>
      </c>
      <c r="CA23" s="14">
        <f t="shared" si="39"/>
        <v>17.545759224285259</v>
      </c>
      <c r="CB23" s="22">
        <f t="shared" si="10"/>
        <v>137.66300398229683</v>
      </c>
      <c r="CC23" s="62">
        <f t="shared" si="11"/>
        <v>418.774115093408</v>
      </c>
      <c r="CD23" s="62">
        <f ca="1">AVERAGE(OFFSET($CC$3,0,0,'Données projet'!$E$12+1,1))-AVERAGE(OFFSET($H$3,0,0,'Données projet'!$E$12+1,1))</f>
        <v>411.60020200960821</v>
      </c>
      <c r="CE23" s="62">
        <f t="shared" si="40"/>
        <v>261.95434270986397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6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65</v>
      </c>
      <c r="CR23" s="13">
        <f>VLOOKUP(A23,'Données projet'!$A$139:$I$159,9,0)</f>
        <v>5.8</v>
      </c>
      <c r="CS23" s="13">
        <f t="array" ref="CS23">INDEX(CR:CR,MIN(IF(ISNUMBER(CR23:CR219),ROW(CR23:CR219),"")))</f>
        <v>5.8</v>
      </c>
      <c r="CT23" s="13">
        <f>IF('Données projet'!$A$140&gt;35,CT22+CS23-DB22,IF(A23&lt;'Données projet'!$A$140,$CQ$205^A23,IF(A23='Données projet'!$A$140,'Données projet'!$B$140,CT22+CS23-DB22)))</f>
        <v>64.999999999999986</v>
      </c>
      <c r="CU23" s="18">
        <f>CT23*VLOOKUP('Données projet'!$B$13,Paramètres!$A$1:$I$89,3,0)*VLOOKUP('Données projet'!$B$13,Paramètres!$A$1:$I$89,5,0)</f>
        <v>52.727999999999994</v>
      </c>
      <c r="CV23" s="14">
        <f t="shared" si="41"/>
        <v>15.316084592505279</v>
      </c>
      <c r="CW23" s="22">
        <f t="shared" si="13"/>
        <v>118.51011399861333</v>
      </c>
      <c r="CX23" s="62">
        <f t="shared" si="14"/>
        <v>399.62122510972449</v>
      </c>
      <c r="CY23" s="62">
        <f ca="1">AVERAGE(OFFSET($CX$3,0,0,'Données projet'!$E$13+1,1))-AVERAGE(OFFSET($H$3,0,0,'Données projet'!$E$13+1,1))</f>
        <v>293.51866463276224</v>
      </c>
      <c r="CZ23" s="62">
        <f t="shared" si="42"/>
        <v>232.78663842203713</v>
      </c>
      <c r="DA23" s="16">
        <f>IF(ISNA(VLOOKUP(A23,'Données projet'!$A$139:$I$159,3,0)),0,VLOOKUP(A23,'Données projet'!$A$139:$I$159,3,0))</f>
        <v>2</v>
      </c>
      <c r="DB23" s="16">
        <f>IF(ISNA(VLOOKUP(A23,'Données projet'!$A$139:$I$159,4,0)),0,VLOOKUP(A23,'Données projet'!$A$139:$I$159,4,0))</f>
        <v>10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7.4</v>
      </c>
      <c r="N24" s="14">
        <f>IF('Données projet'!$A$36&gt;35,N23+M24-V23,IF(A24&lt;'Données projet'!$A$36,$K$205^A24,IF(A24='Données projet'!$A$36,'Données projet'!$B$36,N23+M24-V23)))</f>
        <v>60.400000000000006</v>
      </c>
      <c r="O24" s="14">
        <f>N24*VLOOKUP('Données projet'!$B$9,Paramètres!$A$1:$I$89,3,0)*VLOOKUP('Données projet'!$B$9,Paramètres!$A$1:$I$89,5,0)</f>
        <v>52.765440000000012</v>
      </c>
      <c r="P24" s="14">
        <f t="shared" si="33"/>
        <v>15.325693633848015</v>
      </c>
      <c r="Q24" s="22">
        <f t="shared" si="2"/>
        <v>118.59205774561866</v>
      </c>
      <c r="R24" s="62">
        <f t="shared" si="0"/>
        <v>400.92539107895198</v>
      </c>
      <c r="S24" s="62">
        <f ca="1">AVERAGE(OFFSET($R$3,0,0,'Données projet'!$E$9+1,1))-AVERAGE(OFFSET($H$3,0,0,'Données projet'!$E$9+1,1))</f>
        <v>239.16843440041487</v>
      </c>
      <c r="T24" s="62">
        <f t="shared" si="34"/>
        <v>241.82319822554194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16.8</v>
      </c>
      <c r="AI24" s="14">
        <f>IF('Données projet'!$A$62&gt;35,AI23+AH24-AQ23,IF(A24&lt;'Données projet'!$A$62,$AF$205^A24,IF(A24='Données projet'!$A$62,'Données projet'!$B$62,AI23+AH24-AQ23)))</f>
        <v>97.800000000000011</v>
      </c>
      <c r="AJ24" s="14">
        <f>AI24*VLOOKUP('Données projet'!$B$10,Paramètres!$A$1:$I$89,3,0)*VLOOKUP('Données projet'!$B$10,Paramètres!$A$1:$I$89,5,0)</f>
        <v>71.706960000000009</v>
      </c>
      <c r="AK24" s="14">
        <f t="shared" si="35"/>
        <v>20.096759687088312</v>
      </c>
      <c r="AL24" s="22">
        <f t="shared" si="4"/>
        <v>159.89147845501216</v>
      </c>
      <c r="AM24" s="62">
        <f t="shared" si="5"/>
        <v>442.22481178834551</v>
      </c>
      <c r="AN24" s="62">
        <f ca="1">AVERAGE(OFFSET($AM$3,0,0,'Données projet'!$E$10+1,1))-AVERAGE(OFFSET($H$3,0,0,'Données projet'!$E$10+1,1))</f>
        <v>376.5422416541544</v>
      </c>
      <c r="AO24" s="62">
        <f t="shared" si="36"/>
        <v>365.76175372075869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2.8702283601624763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2.8702283601624763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27.25</v>
      </c>
      <c r="BD24" s="13">
        <f>IF('Données projet'!$A$88&gt;35,BD23+BC24-BL23,IF(A24&lt;'Données projet'!$A$88,$BA$205^A24,IF(A24='Données projet'!$A$88,'Données projet'!$B$88,BD23+BC24-BL23)))</f>
        <v>204.5</v>
      </c>
      <c r="BE24" s="14">
        <f>BD24*VLOOKUP('Données projet'!$B$11,Paramètres!$A$1:$I$89,3,0)*VLOOKUP('Données projet'!$B$11,Paramètres!$A$1:$I$89,5,0)</f>
        <v>114.3155</v>
      </c>
      <c r="BF24" s="14">
        <f t="shared" si="37"/>
        <v>30.345461666881647</v>
      </c>
      <c r="BG24" s="22">
        <f t="shared" si="7"/>
        <v>251.95117490315215</v>
      </c>
      <c r="BH24" s="62">
        <f t="shared" si="8"/>
        <v>534.28450823648541</v>
      </c>
      <c r="BI24" s="62">
        <f ca="1">AVERAGE(OFFSET($BH$3,0,0,'Données projet'!$E$11+1,1))-AVERAGE(OFFSET($H$3,0,0,'Données projet'!$E$11+1,1))</f>
        <v>405.13433810198853</v>
      </c>
      <c r="BJ24" s="62">
        <f t="shared" si="38"/>
        <v>534.74398214162079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7.2</v>
      </c>
      <c r="BY24" s="13">
        <f>IF('Données projet'!$A$114&gt;35,BY23+BX24-CG23,IF(A24&lt;'Données projet'!$A$114,$BV$205^A24,IF(A24='Données projet'!$A$114,'Données projet'!$B$114,BY23+BX24-CG23)))</f>
        <v>74.2</v>
      </c>
      <c r="BZ24" s="14">
        <f>BY24*VLOOKUP('Données projet'!$B$12,Paramètres!$A$1:$I$89,3,0)*VLOOKUP('Données projet'!$B$12,Paramètres!$A$1:$I$89,5,0)</f>
        <v>62.506080000000011</v>
      </c>
      <c r="CA24" s="14">
        <f t="shared" si="39"/>
        <v>17.800367834870475</v>
      </c>
      <c r="CB24" s="22">
        <f t="shared" si="10"/>
        <v>139.86706331239944</v>
      </c>
      <c r="CC24" s="62">
        <f t="shared" si="11"/>
        <v>422.20039664573278</v>
      </c>
      <c r="CD24" s="62">
        <f ca="1">AVERAGE(OFFSET($CC$3,0,0,'Données projet'!$E$12+1,1))-AVERAGE(OFFSET($H$3,0,0,'Données projet'!$E$12+1,1))</f>
        <v>411.60020200960821</v>
      </c>
      <c r="CE24" s="62">
        <f t="shared" si="40"/>
        <v>261.95434270986397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6.4</v>
      </c>
      <c r="CT24" s="13">
        <f>IF('Données projet'!$A$140&gt;35,CT23+CS24-DB23,IF(A24&lt;'Données projet'!$A$140,$CQ$205^A24,IF(A24='Données projet'!$A$140,'Données projet'!$B$140,CT23+CS24-DB23)))</f>
        <v>61.399999999999991</v>
      </c>
      <c r="CU24" s="18">
        <f>CT24*VLOOKUP('Données projet'!$B$13,Paramètres!$A$1:$I$89,3,0)*VLOOKUP('Données projet'!$B$13,Paramètres!$A$1:$I$89,5,0)</f>
        <v>49.807679999999998</v>
      </c>
      <c r="CV24" s="14">
        <f t="shared" si="41"/>
        <v>14.564081050257082</v>
      </c>
      <c r="CW24" s="22">
        <f t="shared" si="13"/>
        <v>112.11415049586441</v>
      </c>
      <c r="CX24" s="62">
        <f t="shared" si="14"/>
        <v>394.44748382919772</v>
      </c>
      <c r="CY24" s="62">
        <f ca="1">AVERAGE(OFFSET($CX$3,0,0,'Données projet'!$E$13+1,1))-AVERAGE(OFFSET($H$3,0,0,'Données projet'!$E$13+1,1))</f>
        <v>293.51866463276224</v>
      </c>
      <c r="CZ24" s="62">
        <f t="shared" si="42"/>
        <v>232.78663842203713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7.4</v>
      </c>
      <c r="N25" s="14">
        <f>IF('Données projet'!$A$36&gt;35,N24+M25-V24,IF(A25&lt;'Données projet'!$A$36,$K$205^A25,IF(A25='Données projet'!$A$36,'Données projet'!$B$36,N24+M25-V24)))</f>
        <v>67.800000000000011</v>
      </c>
      <c r="O25" s="14">
        <f>N25*VLOOKUP('Données projet'!$B$9,Paramètres!$A$1:$I$89,3,0)*VLOOKUP('Données projet'!$B$9,Paramètres!$A$1:$I$89,5,0)</f>
        <v>59.230080000000015</v>
      </c>
      <c r="P25" s="14">
        <f t="shared" si="33"/>
        <v>16.973463004911878</v>
      </c>
      <c r="Q25" s="22">
        <f t="shared" si="2"/>
        <v>132.72117073355489</v>
      </c>
      <c r="R25" s="62">
        <f t="shared" si="0"/>
        <v>416.27672628911046</v>
      </c>
      <c r="S25" s="62">
        <f ca="1">AVERAGE(OFFSET($R$3,0,0,'Données projet'!$E$9+1,1))-AVERAGE(OFFSET($H$3,0,0,'Données projet'!$E$9+1,1))</f>
        <v>239.16843440041487</v>
      </c>
      <c r="T25" s="62">
        <f t="shared" si="34"/>
        <v>241.82319822554194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16.8</v>
      </c>
      <c r="AI25" s="14">
        <f>IF('Données projet'!$A$62&gt;35,AI24+AH25-AQ24,IF(A25&lt;'Données projet'!$A$62,$AF$205^A25,IF(A25='Données projet'!$A$62,'Données projet'!$B$62,AI24+AH25-AQ24)))</f>
        <v>114.60000000000001</v>
      </c>
      <c r="AJ25" s="14">
        <f>AI25*VLOOKUP('Données projet'!$B$10,Paramètres!$A$1:$I$89,3,0)*VLOOKUP('Données projet'!$B$10,Paramètres!$A$1:$I$89,5,0)</f>
        <v>84.024720000000002</v>
      </c>
      <c r="AK25" s="14">
        <f t="shared" si="35"/>
        <v>23.11842031654454</v>
      </c>
      <c r="AL25" s="22">
        <f t="shared" si="4"/>
        <v>186.6076360513151</v>
      </c>
      <c r="AM25" s="62">
        <f t="shared" si="5"/>
        <v>470.16319160687067</v>
      </c>
      <c r="AN25" s="62">
        <f ca="1">AVERAGE(OFFSET($AM$3,0,0,'Données projet'!$E$10+1,1))-AVERAGE(OFFSET($H$3,0,0,'Données projet'!$E$10+1,1))</f>
        <v>376.5422416541544</v>
      </c>
      <c r="AO25" s="62">
        <f t="shared" si="36"/>
        <v>365.76175372075869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2.8139449326861259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2.8139449326861259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27.25</v>
      </c>
      <c r="BD25" s="13">
        <f>IF('Données projet'!$A$88&gt;35,BD24+BC25-BL24,IF(A25&lt;'Données projet'!$A$88,$BA$205^A25,IF(A25='Données projet'!$A$88,'Données projet'!$B$88,BD24+BC25-BL24)))</f>
        <v>231.75</v>
      </c>
      <c r="BE25" s="14">
        <f>BD25*VLOOKUP('Données projet'!$B$11,Paramètres!$A$1:$I$89,3,0)*VLOOKUP('Données projet'!$B$11,Paramètres!$A$1:$I$89,5,0)</f>
        <v>129.54825</v>
      </c>
      <c r="BF25" s="14">
        <f t="shared" si="37"/>
        <v>33.891952032125971</v>
      </c>
      <c r="BG25" s="22">
        <f t="shared" si="7"/>
        <v>284.65835187261939</v>
      </c>
      <c r="BH25" s="62">
        <f t="shared" si="8"/>
        <v>568.21390742817493</v>
      </c>
      <c r="BI25" s="62">
        <f ca="1">AVERAGE(OFFSET($BH$3,0,0,'Données projet'!$E$11+1,1))-AVERAGE(OFFSET($H$3,0,0,'Données projet'!$E$11+1,1))</f>
        <v>405.13433810198853</v>
      </c>
      <c r="BJ25" s="62">
        <f t="shared" si="38"/>
        <v>534.74398214162079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7.2</v>
      </c>
      <c r="BY25" s="13">
        <f>IF('Données projet'!$A$114&gt;35,BY24+BX25-CG24,IF(A25&lt;'Données projet'!$A$114,$BV$205^A25,IF(A25='Données projet'!$A$114,'Données projet'!$B$114,BY24+BX25-CG24)))</f>
        <v>81.400000000000006</v>
      </c>
      <c r="BZ25" s="14">
        <f>BY25*VLOOKUP('Données projet'!$B$12,Paramètres!$A$1:$I$89,3,0)*VLOOKUP('Données projet'!$B$12,Paramètres!$A$1:$I$89,5,0)</f>
        <v>68.571360000000013</v>
      </c>
      <c r="CA25" s="14">
        <f t="shared" si="39"/>
        <v>19.318251258205343</v>
      </c>
      <c r="CB25" s="22">
        <f t="shared" si="10"/>
        <v>153.07440627470763</v>
      </c>
      <c r="CC25" s="62">
        <f t="shared" si="11"/>
        <v>436.62996183026314</v>
      </c>
      <c r="CD25" s="62">
        <f ca="1">AVERAGE(OFFSET($CC$3,0,0,'Données projet'!$E$12+1,1))-AVERAGE(OFFSET($H$3,0,0,'Données projet'!$E$12+1,1))</f>
        <v>411.60020200960821</v>
      </c>
      <c r="CE25" s="62">
        <f t="shared" si="40"/>
        <v>261.95434270986397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6.4</v>
      </c>
      <c r="CT25" s="13">
        <f>IF('Données projet'!$A$140&gt;35,CT24+CS25-DB24,IF(A25&lt;'Données projet'!$A$140,$CQ$205^A25,IF(A25='Données projet'!$A$140,'Données projet'!$B$140,CT24+CS25-DB24)))</f>
        <v>67.8</v>
      </c>
      <c r="CU25" s="18">
        <f>CT25*VLOOKUP('Données projet'!$B$13,Paramètres!$A$1:$I$89,3,0)*VLOOKUP('Données projet'!$B$13,Paramètres!$A$1:$I$89,5,0)</f>
        <v>54.999360000000003</v>
      </c>
      <c r="CV25" s="14">
        <f t="shared" si="41"/>
        <v>15.897618537944966</v>
      </c>
      <c r="CW25" s="22">
        <f t="shared" si="13"/>
        <v>123.47890428692084</v>
      </c>
      <c r="CX25" s="62">
        <f t="shared" si="14"/>
        <v>407.03445984247639</v>
      </c>
      <c r="CY25" s="62">
        <f ca="1">AVERAGE(OFFSET($CX$3,0,0,'Données projet'!$E$13+1,1))-AVERAGE(OFFSET($H$3,0,0,'Données projet'!$E$13+1,1))</f>
        <v>293.51866463276224</v>
      </c>
      <c r="CZ25" s="62">
        <f t="shared" si="42"/>
        <v>232.78663842203713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7.4</v>
      </c>
      <c r="N26" s="14">
        <f>IF('Données projet'!$A$36&gt;35,N25+M26-V25,IF(A26&lt;'Données projet'!$A$36,$K$205^A26,IF(A26='Données projet'!$A$36,'Données projet'!$B$36,N25+M26-V25)))</f>
        <v>75.200000000000017</v>
      </c>
      <c r="O26" s="14">
        <f>N26*VLOOKUP('Données projet'!$B$9,Paramètres!$A$1:$I$89,3,0)*VLOOKUP('Données projet'!$B$9,Paramètres!$A$1:$I$89,5,0)</f>
        <v>65.694720000000032</v>
      </c>
      <c r="P26" s="14">
        <f t="shared" si="33"/>
        <v>18.600387185619521</v>
      </c>
      <c r="Q26" s="22">
        <f t="shared" si="2"/>
        <v>146.81397834828738</v>
      </c>
      <c r="R26" s="62">
        <f t="shared" si="0"/>
        <v>431.59175612606515</v>
      </c>
      <c r="S26" s="62">
        <f ca="1">AVERAGE(OFFSET($R$3,0,0,'Données projet'!$E$9+1,1))-AVERAGE(OFFSET($H$3,0,0,'Données projet'!$E$9+1,1))</f>
        <v>239.16843440041487</v>
      </c>
      <c r="T26" s="62">
        <f t="shared" si="34"/>
        <v>241.82319822554194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16.8</v>
      </c>
      <c r="AI26" s="14">
        <f>IF('Données projet'!$A$62&gt;35,AI25+AH26-AQ25,IF(A26&lt;'Données projet'!$A$62,$AF$205^A26,IF(A26='Données projet'!$A$62,'Données projet'!$B$62,AI25+AH26-AQ25)))</f>
        <v>131.4</v>
      </c>
      <c r="AJ26" s="14">
        <f>AI26*VLOOKUP('Données projet'!$B$10,Paramètres!$A$1:$I$89,3,0)*VLOOKUP('Données projet'!$B$10,Paramètres!$A$1:$I$89,5,0)</f>
        <v>96.342480000000009</v>
      </c>
      <c r="AK26" s="14">
        <f t="shared" si="35"/>
        <v>26.088763268244669</v>
      </c>
      <c r="AL26" s="22">
        <f t="shared" si="4"/>
        <v>213.23441535885948</v>
      </c>
      <c r="AM26" s="62">
        <f t="shared" si="5"/>
        <v>498.01219313663728</v>
      </c>
      <c r="AN26" s="62">
        <f ca="1">AVERAGE(OFFSET($AM$3,0,0,'Données projet'!$E$10+1,1))-AVERAGE(OFFSET($H$3,0,0,'Données projet'!$E$10+1,1))</f>
        <v>376.5422416541544</v>
      </c>
      <c r="AO26" s="62">
        <f t="shared" si="36"/>
        <v>365.76175372075869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2.7587651888930855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2.7587651888930855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>
        <f>VLOOKUP(A26,'Données projet'!$A$87:$I$107,2,0)</f>
        <v>259</v>
      </c>
      <c r="BB26" s="13">
        <f>VLOOKUP(A26,'Données projet'!$A$87:$I$107,9,0)</f>
        <v>27.25</v>
      </c>
      <c r="BC26" s="13">
        <f t="array" ref="BC26">INDEX(BB:BB,MIN(IF(ISNUMBER(BB26:BB222),ROW(BB26:BB222),"")))</f>
        <v>27.25</v>
      </c>
      <c r="BD26" s="13">
        <f>IF('Données projet'!$A$88&gt;35,BD25+BC26-BL25,IF(A26&lt;'Données projet'!$A$88,$BA$205^A26,IF(A26='Données projet'!$A$88,'Données projet'!$B$88,BD25+BC26-BL25)))</f>
        <v>259</v>
      </c>
      <c r="BE26" s="14">
        <f>BD26*VLOOKUP('Données projet'!$B$11,Paramètres!$A$1:$I$89,3,0)*VLOOKUP('Données projet'!$B$11,Paramètres!$A$1:$I$89,5,0)</f>
        <v>144.78100000000001</v>
      </c>
      <c r="BF26" s="14">
        <f t="shared" si="37"/>
        <v>37.390115770833177</v>
      </c>
      <c r="BG26" s="22">
        <f t="shared" si="7"/>
        <v>317.28135996753446</v>
      </c>
      <c r="BH26" s="62">
        <f t="shared" si="8"/>
        <v>602.05913774531223</v>
      </c>
      <c r="BI26" s="62">
        <f ca="1">AVERAGE(OFFSET($BH$3,0,0,'Données projet'!$E$11+1,1))-AVERAGE(OFFSET($H$3,0,0,'Données projet'!$E$11+1,1))</f>
        <v>405.13433810198853</v>
      </c>
      <c r="BJ26" s="62">
        <f t="shared" si="38"/>
        <v>534.74398214162079</v>
      </c>
      <c r="BK26" s="16">
        <f>IF(ISNA(VLOOKUP(A26,'Données projet'!$A$87:$I$107,3,0)),0,VLOOKUP(A26,'Données projet'!$A$87:$I$107,3,0))</f>
        <v>4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7.2</v>
      </c>
      <c r="BY26" s="13">
        <f>IF('Données projet'!$A$114&gt;35,BY25+BX26-CG25,IF(A26&lt;'Données projet'!$A$114,$BV$205^A26,IF(A26='Données projet'!$A$114,'Données projet'!$B$114,BY25+BX26-CG25)))</f>
        <v>88.600000000000009</v>
      </c>
      <c r="BZ26" s="14">
        <f>BY26*VLOOKUP('Données projet'!$B$12,Paramètres!$A$1:$I$89,3,0)*VLOOKUP('Données projet'!$B$12,Paramètres!$A$1:$I$89,5,0)</f>
        <v>74.636640000000014</v>
      </c>
      <c r="CA26" s="14">
        <f t="shared" si="39"/>
        <v>20.82056558443978</v>
      </c>
      <c r="CB26" s="22">
        <f t="shared" si="10"/>
        <v>166.25463305956598</v>
      </c>
      <c r="CC26" s="62">
        <f t="shared" si="11"/>
        <v>451.03241083734372</v>
      </c>
      <c r="CD26" s="62">
        <f ca="1">AVERAGE(OFFSET($CC$3,0,0,'Données projet'!$E$12+1,1))-AVERAGE(OFFSET($H$3,0,0,'Données projet'!$E$12+1,1))</f>
        <v>411.60020200960821</v>
      </c>
      <c r="CE26" s="62">
        <f t="shared" si="40"/>
        <v>261.95434270986397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6.4</v>
      </c>
      <c r="CT26" s="13">
        <f>IF('Données projet'!$A$140&gt;35,CT25+CS26-DB25,IF(A26&lt;'Données projet'!$A$140,$CQ$205^A26,IF(A26='Données projet'!$A$140,'Données projet'!$B$140,CT25+CS26-DB25)))</f>
        <v>74.2</v>
      </c>
      <c r="CU26" s="18">
        <f>CT26*VLOOKUP('Données projet'!$B$13,Paramètres!$A$1:$I$89,3,0)*VLOOKUP('Données projet'!$B$13,Paramètres!$A$1:$I$89,5,0)</f>
        <v>60.191040000000008</v>
      </c>
      <c r="CV26" s="14">
        <f t="shared" si="41"/>
        <v>17.216560978380105</v>
      </c>
      <c r="CW26" s="22">
        <f t="shared" si="13"/>
        <v>134.8182383706787</v>
      </c>
      <c r="CX26" s="62">
        <f t="shared" si="14"/>
        <v>419.59601614845644</v>
      </c>
      <c r="CY26" s="62">
        <f ca="1">AVERAGE(OFFSET($CX$3,0,0,'Données projet'!$E$13+1,1))-AVERAGE(OFFSET($H$3,0,0,'Données projet'!$E$13+1,1))</f>
        <v>293.51866463276224</v>
      </c>
      <c r="CZ26" s="62">
        <f t="shared" si="42"/>
        <v>232.78663842203713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7.4</v>
      </c>
      <c r="N27" s="14">
        <f>IF('Données projet'!$A$36&gt;35,N26+M27-V26,IF(A27&lt;'Données projet'!$A$36,$K$205^A27,IF(A27='Données projet'!$A$36,'Données projet'!$B$36,N26+M27-V26)))</f>
        <v>82.600000000000023</v>
      </c>
      <c r="O27" s="14">
        <f>N27*VLOOKUP('Données projet'!$B$9,Paramètres!$A$1:$I$89,3,0)*VLOOKUP('Données projet'!$B$9,Paramètres!$A$1:$I$89,5,0)</f>
        <v>72.159360000000021</v>
      </c>
      <c r="P27" s="14">
        <f t="shared" si="33"/>
        <v>20.208750890014226</v>
      </c>
      <c r="Q27" s="22">
        <f t="shared" si="2"/>
        <v>160.87445980010816</v>
      </c>
      <c r="R27" s="62">
        <f t="shared" si="0"/>
        <v>446.87445980010818</v>
      </c>
      <c r="S27" s="62">
        <f ca="1">AVERAGE(OFFSET($R$3,0,0,'Données projet'!$E$9+1,1))-AVERAGE(OFFSET($H$3,0,0,'Données projet'!$E$9+1,1))</f>
        <v>239.16843440041487</v>
      </c>
      <c r="T27" s="62">
        <f t="shared" si="34"/>
        <v>241.82319822554194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16.8</v>
      </c>
      <c r="AI27" s="14">
        <f>IF('Données projet'!$A$62&gt;35,AI26+AH27-AQ26,IF(A27&lt;'Données projet'!$A$62,$AF$205^A27,IF(A27='Données projet'!$A$62,'Données projet'!$B$62,AI26+AH27-AQ26)))</f>
        <v>148.20000000000002</v>
      </c>
      <c r="AJ27" s="14">
        <f>AI27*VLOOKUP('Données projet'!$B$10,Paramètres!$A$1:$I$89,3,0)*VLOOKUP('Données projet'!$B$10,Paramètres!$A$1:$I$89,5,0)</f>
        <v>108.66024000000002</v>
      </c>
      <c r="AK27" s="14">
        <f t="shared" si="35"/>
        <v>29.015101890437414</v>
      </c>
      <c r="AL27" s="22">
        <f t="shared" si="4"/>
        <v>239.78455379251184</v>
      </c>
      <c r="AM27" s="62">
        <f t="shared" si="5"/>
        <v>525.78455379251182</v>
      </c>
      <c r="AN27" s="62">
        <f ca="1">AVERAGE(OFFSET($AM$3,0,0,'Données projet'!$E$10+1,1))-AVERAGE(OFFSET($H$3,0,0,'Données projet'!$E$10+1,1))</f>
        <v>376.5422416541544</v>
      </c>
      <c r="AO27" s="62">
        <f t="shared" si="36"/>
        <v>365.76175372075869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2.7046674862195066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2.7046674862195066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>
        <f>VLOOKUP(A27,'Données projet'!$A$87:$I$107,2,0)</f>
        <v>289</v>
      </c>
      <c r="BB27" s="13">
        <f>VLOOKUP(A27,'Données projet'!$A$87:$I$107,9,0)</f>
        <v>30</v>
      </c>
      <c r="BC27" s="13">
        <f t="array" ref="BC27">INDEX(BB:BB,MIN(IF(ISNUMBER(BB27:BB223),ROW(BB27:BB223),"")))</f>
        <v>30</v>
      </c>
      <c r="BD27" s="13">
        <f>IF('Données projet'!$A$88&gt;35,BD26+BC27-BL26,IF(A27&lt;'Données projet'!$A$88,$BA$205^A27,IF(A27='Données projet'!$A$88,'Données projet'!$B$88,BD26+BC27-BL26)))</f>
        <v>289</v>
      </c>
      <c r="BE27" s="14">
        <f>BD27*VLOOKUP('Données projet'!$B$11,Paramètres!$A$1:$I$89,3,0)*VLOOKUP('Données projet'!$B$11,Paramètres!$A$1:$I$89,5,0)</f>
        <v>161.55099999999999</v>
      </c>
      <c r="BF27" s="14">
        <f t="shared" si="37"/>
        <v>41.192151127280063</v>
      </c>
      <c r="BG27" s="22">
        <f t="shared" si="7"/>
        <v>353.11098821334605</v>
      </c>
      <c r="BH27" s="62">
        <f t="shared" si="8"/>
        <v>639.11098821334599</v>
      </c>
      <c r="BI27" s="62">
        <f ca="1">AVERAGE(OFFSET($BH$3,0,0,'Données projet'!$E$11+1,1))-AVERAGE(OFFSET($H$3,0,0,'Données projet'!$E$11+1,1))</f>
        <v>405.13433810198853</v>
      </c>
      <c r="BJ27" s="62">
        <f t="shared" si="38"/>
        <v>534.74398214162079</v>
      </c>
      <c r="BK27" s="16">
        <f>IF(ISNA(VLOOKUP(A27,'Données projet'!$A$87:$I$107,3,0)),0,VLOOKUP(A27,'Données projet'!$A$87:$I$107,3,0))</f>
        <v>5</v>
      </c>
      <c r="BL27" s="16">
        <f>IF(ISNA(VLOOKUP(A27,'Données projet'!$A$87:$I$107,4,0)),0,VLOOKUP(A27,'Données projet'!$A$87:$I$107,4,0))</f>
        <v>51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7.2</v>
      </c>
      <c r="BY27" s="13">
        <f>IF('Données projet'!$A$114&gt;35,BY26+BX27-CG26,IF(A27&lt;'Données projet'!$A$114,$BV$205^A27,IF(A27='Données projet'!$A$114,'Données projet'!$B$114,BY26+BX27-CG26)))</f>
        <v>95.800000000000011</v>
      </c>
      <c r="BZ27" s="14">
        <f>BY27*VLOOKUP('Données projet'!$B$12,Paramètres!$A$1:$I$89,3,0)*VLOOKUP('Données projet'!$B$12,Paramètres!$A$1:$I$89,5,0)</f>
        <v>80.701920000000015</v>
      </c>
      <c r="CA27" s="14">
        <f t="shared" si="39"/>
        <v>22.308719863780368</v>
      </c>
      <c r="CB27" s="22">
        <f t="shared" si="10"/>
        <v>179.41019776275084</v>
      </c>
      <c r="CC27" s="62">
        <f t="shared" si="11"/>
        <v>465.41019776275084</v>
      </c>
      <c r="CD27" s="62">
        <f ca="1">AVERAGE(OFFSET($CC$3,0,0,'Données projet'!$E$12+1,1))-AVERAGE(OFFSET($H$3,0,0,'Données projet'!$E$12+1,1))</f>
        <v>411.60020200960821</v>
      </c>
      <c r="CE27" s="62">
        <f t="shared" si="40"/>
        <v>261.95434270986397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6.4</v>
      </c>
      <c r="CT27" s="13">
        <f>IF('Données projet'!$A$140&gt;35,CT26+CS27-DB26,IF(A27&lt;'Données projet'!$A$140,$CQ$205^A27,IF(A27='Données projet'!$A$140,'Données projet'!$B$140,CT26+CS27-DB26)))</f>
        <v>80.600000000000009</v>
      </c>
      <c r="CU27" s="18">
        <f>CT27*VLOOKUP('Données projet'!$B$13,Paramètres!$A$1:$I$89,3,0)*VLOOKUP('Données projet'!$B$13,Paramètres!$A$1:$I$89,5,0)</f>
        <v>65.382720000000006</v>
      </c>
      <c r="CV27" s="14">
        <f t="shared" si="41"/>
        <v>18.52231037626062</v>
      </c>
      <c r="CW27" s="22">
        <f t="shared" si="13"/>
        <v>146.13459457198724</v>
      </c>
      <c r="CX27" s="62">
        <f t="shared" si="14"/>
        <v>432.13459457198724</v>
      </c>
      <c r="CY27" s="62">
        <f ca="1">AVERAGE(OFFSET($CX$3,0,0,'Données projet'!$E$13+1,1))-AVERAGE(OFFSET($H$3,0,0,'Données projet'!$E$13+1,1))</f>
        <v>293.51866463276224</v>
      </c>
      <c r="CZ27" s="62">
        <f t="shared" si="42"/>
        <v>232.78663842203713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90</v>
      </c>
      <c r="L28" s="13">
        <f>VLOOKUP(A28,'Données projet'!$A$35:$I$55,9,0)</f>
        <v>7.4</v>
      </c>
      <c r="M28" s="13">
        <f t="array" ref="M28">INDEX(L:L,MIN(IF(ISNUMBER(L28:L224),ROW(L28:L224),"")))</f>
        <v>7.4</v>
      </c>
      <c r="N28" s="14">
        <f>IF('Données projet'!$A$36&gt;35,N27+M28-V27,IF(A28&lt;'Données projet'!$A$36,$K$205^A28,IF(A28='Données projet'!$A$36,'Données projet'!$B$36,N27+M28-V27)))</f>
        <v>90.000000000000028</v>
      </c>
      <c r="O28" s="14">
        <f>N28*VLOOKUP('Données projet'!$B$9,Paramètres!$A$1:$I$89,3,0)*VLOOKUP('Données projet'!$B$9,Paramètres!$A$1:$I$89,5,0)</f>
        <v>78.624000000000038</v>
      </c>
      <c r="P28" s="14">
        <f t="shared" si="33"/>
        <v>21.800406010684462</v>
      </c>
      <c r="Q28" s="22">
        <f t="shared" si="2"/>
        <v>174.90584046860883</v>
      </c>
      <c r="R28" s="62">
        <f t="shared" si="0"/>
        <v>462.12806269083103</v>
      </c>
      <c r="S28" s="62">
        <f ca="1">AVERAGE(OFFSET($R$3,0,0,'Données projet'!$E$9+1,1))-AVERAGE(OFFSET($H$3,0,0,'Données projet'!$E$9+1,1))</f>
        <v>239.16843440041487</v>
      </c>
      <c r="T28" s="62">
        <f t="shared" si="34"/>
        <v>241.82319822554194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20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8.6000000000000007E-2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1.6545306792811878</v>
      </c>
      <c r="AB28" s="23">
        <f>EXP(-LN(2)/2)*AB27+(1-EXP(-LN(2)/2))/(LN(2)/2)*V28*Y28*VLOOKUP('Données projet'!$B$9,Paramètres!$A$1:$I$89,3,0)*0.475*44/12</f>
        <v>0</v>
      </c>
      <c r="AC28" s="24">
        <f t="shared" si="3"/>
        <v>1.6545306792811878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165</v>
      </c>
      <c r="AG28" s="13">
        <f>VLOOKUP(A28,'Données projet'!$A$61:$I$81,9,0)</f>
        <v>16.8</v>
      </c>
      <c r="AH28" s="13">
        <f t="array" ref="AH28">INDEX(AG:AG,MIN(IF(ISNUMBER(AG28:AG224),ROW(AG28:AG224),"")))</f>
        <v>16.8</v>
      </c>
      <c r="AI28" s="14">
        <f>IF('Données projet'!$A$62&gt;35,AI27+AH28-AQ27,IF(A28&lt;'Données projet'!$A$62,$AF$205^A28,IF(A28='Données projet'!$A$62,'Données projet'!$B$62,AI27+AH28-AQ27)))</f>
        <v>165.00000000000003</v>
      </c>
      <c r="AJ28" s="14">
        <f>AI28*VLOOKUP('Données projet'!$B$10,Paramètres!$A$1:$I$89,3,0)*VLOOKUP('Données projet'!$B$10,Paramètres!$A$1:$I$89,5,0)</f>
        <v>120.97800000000002</v>
      </c>
      <c r="AK28" s="14">
        <f t="shared" si="35"/>
        <v>31.902993864447531</v>
      </c>
      <c r="AL28" s="22">
        <f t="shared" si="4"/>
        <v>266.26773098057953</v>
      </c>
      <c r="AM28" s="62">
        <f t="shared" si="5"/>
        <v>553.48995320280176</v>
      </c>
      <c r="AN28" s="62">
        <f ca="1">AVERAGE(OFFSET($AM$3,0,0,'Données projet'!$E$10+1,1))-AVERAGE(OFFSET($H$3,0,0,'Données projet'!$E$10+1,1))</f>
        <v>376.5422416541544</v>
      </c>
      <c r="AO28" s="62">
        <f t="shared" si="36"/>
        <v>365.76175372075869</v>
      </c>
      <c r="AP28" s="16">
        <f>IF(ISNA(VLOOKUP(A28,'Données projet'!$A$61:$I$81,3,0)),0,VLOOKUP(A28,'Données projet'!$A$61:$I$81,3,0))</f>
        <v>4</v>
      </c>
      <c r="AQ28" s="16">
        <f>IF(ISNA(VLOOKUP(A28,'Données projet'!$A$61:$I$81,4,0)),0,VLOOKUP(A28,'Données projet'!$A$61:$I$81,4,0))</f>
        <v>42</v>
      </c>
      <c r="AR28" s="17">
        <f>IF(ISNA(VLOOKUP(A28,'Données projet'!$A$61:$I$81,5,0)),0%,VLOOKUP(A28,'Données projet'!$A$61:$I$81,5,0)*VLOOKUP('Données projet'!$B$10,Paramètres!$A$1:$I$89,7,0))</f>
        <v>0.17200000000000001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8.5069057000432053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8.5069057000432053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27.5</v>
      </c>
      <c r="BD28" s="13">
        <f>IF('Données projet'!$A$88&gt;35,BD27+BC28-BL27,IF(A28&lt;'Données projet'!$A$88,$BA$205^A28,IF(A28='Données projet'!$A$88,'Données projet'!$B$88,BD27+BC28-BL27)))</f>
        <v>265.5</v>
      </c>
      <c r="BE28" s="14">
        <f>BD28*VLOOKUP('Données projet'!$B$11,Paramètres!$A$1:$I$89,3,0)*VLOOKUP('Données projet'!$B$11,Paramètres!$A$1:$I$89,5,0)</f>
        <v>148.4145</v>
      </c>
      <c r="BF28" s="14">
        <f t="shared" si="37"/>
        <v>38.218052526039692</v>
      </c>
      <c r="BG28" s="22">
        <f t="shared" si="7"/>
        <v>325.0516956495191</v>
      </c>
      <c r="BH28" s="62">
        <f t="shared" si="8"/>
        <v>612.27391787174133</v>
      </c>
      <c r="BI28" s="62">
        <f ca="1">AVERAGE(OFFSET($BH$3,0,0,'Données projet'!$E$11+1,1))-AVERAGE(OFFSET($H$3,0,0,'Données projet'!$E$11+1,1))</f>
        <v>405.13433810198853</v>
      </c>
      <c r="BJ28" s="62">
        <f t="shared" si="38"/>
        <v>534.74398214162079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103</v>
      </c>
      <c r="BW28" s="13">
        <f>VLOOKUP(A28,'Données projet'!$A$113:$I$133,9,0)</f>
        <v>7.2</v>
      </c>
      <c r="BX28" s="13">
        <f t="array" ref="BX28">INDEX(BW:BW,MIN(IF(ISNUMBER(BW28:BW224),ROW(BW28:BW224),"")))</f>
        <v>7.2</v>
      </c>
      <c r="BY28" s="13">
        <f>IF('Données projet'!$A$114&gt;35,BY27+BX28-CG27,IF(A28&lt;'Données projet'!$A$114,$BV$205^A28,IF(A28='Données projet'!$A$114,'Données projet'!$B$114,BY27+BX28-CG27)))</f>
        <v>103.00000000000001</v>
      </c>
      <c r="BZ28" s="14">
        <f>BY28*VLOOKUP('Données projet'!$B$12,Paramètres!$A$1:$I$89,3,0)*VLOOKUP('Données projet'!$B$12,Paramètres!$A$1:$I$89,5,0)</f>
        <v>86.767200000000017</v>
      </c>
      <c r="CA28" s="14">
        <f t="shared" si="39"/>
        <v>23.783899326718451</v>
      </c>
      <c r="CB28" s="22">
        <f t="shared" si="10"/>
        <v>192.54316466070134</v>
      </c>
      <c r="CC28" s="62">
        <f t="shared" si="11"/>
        <v>479.76538688292356</v>
      </c>
      <c r="CD28" s="62">
        <f ca="1">AVERAGE(OFFSET($CC$3,0,0,'Données projet'!$E$12+1,1))-AVERAGE(OFFSET($H$3,0,0,'Données projet'!$E$12+1,1))</f>
        <v>411.60020200960821</v>
      </c>
      <c r="CE28" s="62">
        <f t="shared" si="40"/>
        <v>261.95434270986397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28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87</v>
      </c>
      <c r="CR28" s="13">
        <f>VLOOKUP(A28,'Données projet'!$A$139:$I$159,9,0)</f>
        <v>6.4</v>
      </c>
      <c r="CS28" s="13">
        <f t="array" ref="CS28">INDEX(CR:CR,MIN(IF(ISNUMBER(CR28:CR224),ROW(CR28:CR224),"")))</f>
        <v>6.4</v>
      </c>
      <c r="CT28" s="13">
        <f>IF('Données projet'!$A$140&gt;35,CT27+CS28-DB27,IF(A28&lt;'Données projet'!$A$140,$CQ$205^A28,IF(A28='Données projet'!$A$140,'Données projet'!$B$140,CT27+CS28-DB27)))</f>
        <v>87.000000000000014</v>
      </c>
      <c r="CU28" s="18">
        <f>CT28*VLOOKUP('Données projet'!$B$13,Paramètres!$A$1:$I$89,3,0)*VLOOKUP('Données projet'!$B$13,Paramètres!$A$1:$I$89,5,0)</f>
        <v>70.574400000000011</v>
      </c>
      <c r="CV28" s="14">
        <f t="shared" si="41"/>
        <v>19.816033420152426</v>
      </c>
      <c r="CW28" s="22">
        <f t="shared" si="13"/>
        <v>157.43000487343215</v>
      </c>
      <c r="CX28" s="62">
        <f t="shared" si="14"/>
        <v>444.65222709565438</v>
      </c>
      <c r="CY28" s="62">
        <f ca="1">AVERAGE(OFFSET($CX$3,0,0,'Données projet'!$E$13+1,1))-AVERAGE(OFFSET($H$3,0,0,'Données projet'!$E$13+1,1))</f>
        <v>293.51866463276224</v>
      </c>
      <c r="CZ28" s="62">
        <f t="shared" si="42"/>
        <v>232.78663842203713</v>
      </c>
      <c r="DA28" s="16">
        <f>IF(ISNA(VLOOKUP(A28,'Données projet'!$A$139:$I$159,3,0)),0,VLOOKUP(A28,'Données projet'!$A$139:$I$159,3,0))</f>
        <v>3</v>
      </c>
      <c r="DB28" s="16">
        <f>IF(ISNA(VLOOKUP(A28,'Données projet'!$A$139:$I$159,4,0)),0,VLOOKUP(A28,'Données projet'!$A$139:$I$159,4,0))</f>
        <v>12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7.2</v>
      </c>
      <c r="N29" s="14">
        <f>IF('Données projet'!$A$36&gt;35,N28+M29-V28,IF(A29&lt;'Données projet'!$A$36,$K$205^A29,IF(A29='Données projet'!$A$36,'Données projet'!$B$36,N28+M29-V28)))</f>
        <v>77.200000000000031</v>
      </c>
      <c r="O29" s="14">
        <f>N29*VLOOKUP('Données projet'!$B$9,Paramètres!$A$1:$I$89,3,0)*VLOOKUP('Données projet'!$B$9,Paramètres!$A$1:$I$89,5,0)</f>
        <v>67.441920000000039</v>
      </c>
      <c r="P29" s="14">
        <f t="shared" si="33"/>
        <v>19.036826299015054</v>
      </c>
      <c r="Q29" s="22">
        <f t="shared" si="2"/>
        <v>150.61714980411793</v>
      </c>
      <c r="R29" s="62">
        <f t="shared" si="0"/>
        <v>439.06159424856241</v>
      </c>
      <c r="S29" s="62">
        <f ca="1">AVERAGE(OFFSET($R$3,0,0,'Données projet'!$E$9+1,1))-AVERAGE(OFFSET($H$3,0,0,'Données projet'!$E$9+1,1))</f>
        <v>239.16843440041487</v>
      </c>
      <c r="T29" s="62">
        <f t="shared" si="34"/>
        <v>241.82319822554194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1.6092874508482569</v>
      </c>
      <c r="AB29" s="23">
        <f>EXP(-LN(2)/2)*AB28+(1-EXP(-LN(2)/2))/(LN(2)/2)*V29*Y29*VLOOKUP('Données projet'!$B$9,Paramètres!$A$1:$I$89,3,0)*0.475*44/12</f>
        <v>0</v>
      </c>
      <c r="AC29" s="24">
        <f t="shared" si="3"/>
        <v>1.6092874508482569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16.399999999999999</v>
      </c>
      <c r="AI29" s="14">
        <f>IF('Données projet'!$A$62&gt;35,AI28+AH29-AQ28,IF(A29&lt;'Données projet'!$A$62,$AF$205^A29,IF(A29='Données projet'!$A$62,'Données projet'!$B$62,AI28+AH29-AQ28)))</f>
        <v>139.40000000000003</v>
      </c>
      <c r="AJ29" s="14">
        <f>AI29*VLOOKUP('Données projet'!$B$10,Paramètres!$A$1:$I$89,3,0)*VLOOKUP('Données projet'!$B$10,Paramètres!$A$1:$I$89,5,0)</f>
        <v>102.20808000000002</v>
      </c>
      <c r="AK29" s="14">
        <f t="shared" si="35"/>
        <v>27.487371629246301</v>
      </c>
      <c r="AL29" s="22">
        <f t="shared" si="4"/>
        <v>225.88624492093732</v>
      </c>
      <c r="AM29" s="62">
        <f t="shared" si="5"/>
        <v>514.33068936538177</v>
      </c>
      <c r="AN29" s="62">
        <f ca="1">AVERAGE(OFFSET($AM$3,0,0,'Données projet'!$E$10+1,1))-AVERAGE(OFFSET($H$3,0,0,'Données projet'!$E$10+1,1))</f>
        <v>376.5422416541544</v>
      </c>
      <c r="AO29" s="62">
        <f t="shared" si="36"/>
        <v>365.76175372075869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8.3400904679654939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8.3400904679654939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>
        <f>VLOOKUP(A29,'Données projet'!$A$87:$I$107,2,0)</f>
        <v>293</v>
      </c>
      <c r="BB29" s="13">
        <f>VLOOKUP(A29,'Données projet'!$A$87:$I$107,9,0)</f>
        <v>27.5</v>
      </c>
      <c r="BC29" s="13">
        <f t="array" ref="BC29">INDEX(BB:BB,MIN(IF(ISNUMBER(BB29:BB225),ROW(BB29:BB225),"")))</f>
        <v>27.5</v>
      </c>
      <c r="BD29" s="13">
        <f>IF('Données projet'!$A$88&gt;35,BD28+BC29-BL28,IF(A29&lt;'Données projet'!$A$88,$BA$205^A29,IF(A29='Données projet'!$A$88,'Données projet'!$B$88,BD28+BC29-BL28)))</f>
        <v>293</v>
      </c>
      <c r="BE29" s="14">
        <f>BD29*VLOOKUP('Données projet'!$B$11,Paramètres!$A$1:$I$89,3,0)*VLOOKUP('Données projet'!$B$11,Paramètres!$A$1:$I$89,5,0)</f>
        <v>163.78700000000001</v>
      </c>
      <c r="BF29" s="14">
        <f t="shared" si="37"/>
        <v>41.69551742814383</v>
      </c>
      <c r="BG29" s="22">
        <f t="shared" si="7"/>
        <v>357.8820511873505</v>
      </c>
      <c r="BH29" s="62">
        <f t="shared" si="8"/>
        <v>646.32649563179496</v>
      </c>
      <c r="BI29" s="62">
        <f ca="1">AVERAGE(OFFSET($BH$3,0,0,'Données projet'!$E$11+1,1))-AVERAGE(OFFSET($H$3,0,0,'Données projet'!$E$11+1,1))</f>
        <v>405.13433810198853</v>
      </c>
      <c r="BJ29" s="62">
        <f t="shared" si="38"/>
        <v>534.74398214162079</v>
      </c>
      <c r="BK29" s="16">
        <f>IF(ISNA(VLOOKUP(A29,'Données projet'!$A$87:$I$107,3,0)),0,VLOOKUP(A29,'Données projet'!$A$87:$I$107,3,0))</f>
        <v>6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9.1999999999999993</v>
      </c>
      <c r="BY29" s="13">
        <f>IF('Données projet'!$A$114&gt;35,BY28+BX29-CG28,IF(A29&lt;'Données projet'!$A$114,$BV$205^A29,IF(A29='Données projet'!$A$114,'Données projet'!$B$114,BY28+BX29-CG28)))</f>
        <v>84.200000000000017</v>
      </c>
      <c r="BZ29" s="14">
        <f>BY29*VLOOKUP('Données projet'!$B$12,Paramètres!$A$1:$I$89,3,0)*VLOOKUP('Données projet'!$B$12,Paramètres!$A$1:$I$89,5,0)</f>
        <v>70.930080000000018</v>
      </c>
      <c r="CA29" s="14">
        <f t="shared" si="39"/>
        <v>19.904251483253464</v>
      </c>
      <c r="CB29" s="22">
        <f t="shared" si="10"/>
        <v>158.20312733333313</v>
      </c>
      <c r="CC29" s="62">
        <f t="shared" si="11"/>
        <v>446.64757177777756</v>
      </c>
      <c r="CD29" s="62">
        <f ca="1">AVERAGE(OFFSET($CC$3,0,0,'Données projet'!$E$12+1,1))-AVERAGE(OFFSET($H$3,0,0,'Données projet'!$E$12+1,1))</f>
        <v>411.60020200960821</v>
      </c>
      <c r="CE29" s="62">
        <f t="shared" si="40"/>
        <v>261.95434270986397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6.8</v>
      </c>
      <c r="CT29" s="13">
        <f>IF('Données projet'!$A$140&gt;35,CT28+CS29-DB28,IF(A29&lt;'Données projet'!$A$140,$CQ$205^A29,IF(A29='Données projet'!$A$140,'Données projet'!$B$140,CT28+CS29-DB28)))</f>
        <v>81.800000000000011</v>
      </c>
      <c r="CU29" s="18">
        <f>CT29*VLOOKUP('Données projet'!$B$13,Paramètres!$A$1:$I$89,3,0)*VLOOKUP('Données projet'!$B$13,Paramètres!$A$1:$I$89,5,0)</f>
        <v>66.356160000000017</v>
      </c>
      <c r="CV29" s="14">
        <f t="shared" si="41"/>
        <v>18.765767596743419</v>
      </c>
      <c r="CW29" s="22">
        <f t="shared" si="13"/>
        <v>148.25402389766148</v>
      </c>
      <c r="CX29" s="62">
        <f t="shared" si="14"/>
        <v>436.69846834210591</v>
      </c>
      <c r="CY29" s="62">
        <f ca="1">AVERAGE(OFFSET($CX$3,0,0,'Données projet'!$E$13+1,1))-AVERAGE(OFFSET($H$3,0,0,'Données projet'!$E$13+1,1))</f>
        <v>293.51866463276224</v>
      </c>
      <c r="CZ29" s="62">
        <f t="shared" si="42"/>
        <v>232.78663842203713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7.2</v>
      </c>
      <c r="N30" s="14">
        <f>IF('Données projet'!$A$36&gt;35,N29+M30-V29,IF(A30&lt;'Données projet'!$A$36,$K$205^A30,IF(A30='Données projet'!$A$36,'Données projet'!$B$36,N29+M30-V29)))</f>
        <v>84.400000000000034</v>
      </c>
      <c r="O30" s="14">
        <f>N30*VLOOKUP('Données projet'!$B$9,Paramètres!$A$1:$I$89,3,0)*VLOOKUP('Données projet'!$B$9,Paramètres!$A$1:$I$89,5,0)</f>
        <v>73.731840000000034</v>
      </c>
      <c r="P30" s="14">
        <f t="shared" si="33"/>
        <v>20.597384986125313</v>
      </c>
      <c r="Q30" s="22">
        <f t="shared" si="2"/>
        <v>164.29006685083496</v>
      </c>
      <c r="R30" s="62">
        <f t="shared" si="0"/>
        <v>453.95673351750168</v>
      </c>
      <c r="S30" s="62">
        <f ca="1">AVERAGE(OFFSET($R$3,0,0,'Données projet'!$E$9+1,1))-AVERAGE(OFFSET($H$3,0,0,'Données projet'!$E$9+1,1))</f>
        <v>239.16843440041487</v>
      </c>
      <c r="T30" s="62">
        <f t="shared" si="34"/>
        <v>241.82319822554194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1.5652814008760623</v>
      </c>
      <c r="AB30" s="23">
        <f>EXP(-LN(2)/2)*AB29+(1-EXP(-LN(2)/2))/(LN(2)/2)*V30*Y30*VLOOKUP('Données projet'!$B$9,Paramètres!$A$1:$I$89,3,0)*0.475*44/12</f>
        <v>0</v>
      </c>
      <c r="AC30" s="24">
        <f t="shared" si="3"/>
        <v>1.5652814008760623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16.399999999999999</v>
      </c>
      <c r="AI30" s="14">
        <f>IF('Données projet'!$A$62&gt;35,AI29+AH30-AQ29,IF(A30&lt;'Données projet'!$A$62,$AF$205^A30,IF(A30='Données projet'!$A$62,'Données projet'!$B$62,AI29+AH30-AQ29)))</f>
        <v>155.80000000000004</v>
      </c>
      <c r="AJ30" s="14">
        <f>AI30*VLOOKUP('Données projet'!$B$10,Paramètres!$A$1:$I$89,3,0)*VLOOKUP('Données projet'!$B$10,Paramètres!$A$1:$I$89,5,0)</f>
        <v>114.23256000000002</v>
      </c>
      <c r="AK30" s="14">
        <f t="shared" si="35"/>
        <v>30.326006869580301</v>
      </c>
      <c r="AL30" s="22">
        <f t="shared" si="4"/>
        <v>251.77283729785236</v>
      </c>
      <c r="AM30" s="62">
        <f t="shared" si="5"/>
        <v>541.43950396451908</v>
      </c>
      <c r="AN30" s="62">
        <f ca="1">AVERAGE(OFFSET($AM$3,0,0,'Données projet'!$E$10+1,1))-AVERAGE(OFFSET($H$3,0,0,'Données projet'!$E$10+1,1))</f>
        <v>376.5422416541544</v>
      </c>
      <c r="AO30" s="62">
        <f t="shared" si="36"/>
        <v>365.76175372075869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8.1765463808415806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8.1765463808415806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28.5</v>
      </c>
      <c r="BD30" s="13">
        <f>IF('Données projet'!$A$88&gt;35,BD29+BC30-BL29,IF(A30&lt;'Données projet'!$A$88,$BA$205^A30,IF(A30='Données projet'!$A$88,'Données projet'!$B$88,BD29+BC30-BL29)))</f>
        <v>321.5</v>
      </c>
      <c r="BE30" s="14">
        <f>BD30*VLOOKUP('Données projet'!$B$11,Paramètres!$A$1:$I$89,3,0)*VLOOKUP('Données projet'!$B$11,Paramètres!$A$1:$I$89,5,0)</f>
        <v>179.71850000000001</v>
      </c>
      <c r="BF30" s="14">
        <f t="shared" si="37"/>
        <v>45.259551899226082</v>
      </c>
      <c r="BG30" s="22">
        <f t="shared" si="7"/>
        <v>391.83677372448545</v>
      </c>
      <c r="BH30" s="62">
        <f t="shared" si="8"/>
        <v>681.50344039115214</v>
      </c>
      <c r="BI30" s="62">
        <f ca="1">AVERAGE(OFFSET($BH$3,0,0,'Données projet'!$E$11+1,1))-AVERAGE(OFFSET($H$3,0,0,'Données projet'!$E$11+1,1))</f>
        <v>405.13433810198853</v>
      </c>
      <c r="BJ30" s="62">
        <f t="shared" si="38"/>
        <v>534.74398214162079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9.1999999999999993</v>
      </c>
      <c r="BY30" s="13">
        <f>IF('Données projet'!$A$114&gt;35,BY29+BX30-CG29,IF(A30&lt;'Données projet'!$A$114,$BV$205^A30,IF(A30='Données projet'!$A$114,'Données projet'!$B$114,BY29+BX30-CG29)))</f>
        <v>93.40000000000002</v>
      </c>
      <c r="BZ30" s="14">
        <f>BY30*VLOOKUP('Données projet'!$B$12,Paramètres!$A$1:$I$89,3,0)*VLOOKUP('Données projet'!$B$12,Paramètres!$A$1:$I$89,5,0)</f>
        <v>78.680160000000029</v>
      </c>
      <c r="CA30" s="14">
        <f t="shared" si="39"/>
        <v>21.814164609384523</v>
      </c>
      <c r="CB30" s="22">
        <f t="shared" si="10"/>
        <v>175.02761536134474</v>
      </c>
      <c r="CC30" s="62">
        <f t="shared" si="11"/>
        <v>464.69428202801146</v>
      </c>
      <c r="CD30" s="62">
        <f ca="1">AVERAGE(OFFSET($CC$3,0,0,'Données projet'!$E$12+1,1))-AVERAGE(OFFSET($H$3,0,0,'Données projet'!$E$12+1,1))</f>
        <v>411.60020200960821</v>
      </c>
      <c r="CE30" s="62">
        <f t="shared" si="40"/>
        <v>261.95434270986397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6.8</v>
      </c>
      <c r="CT30" s="13">
        <f>IF('Données projet'!$A$140&gt;35,CT29+CS30-DB29,IF(A30&lt;'Données projet'!$A$140,$CQ$205^A30,IF(A30='Données projet'!$A$140,'Données projet'!$B$140,CT29+CS30-DB29)))</f>
        <v>88.600000000000009</v>
      </c>
      <c r="CU30" s="18">
        <f>CT30*VLOOKUP('Données projet'!$B$13,Paramètres!$A$1:$I$89,3,0)*VLOOKUP('Données projet'!$B$13,Paramètres!$A$1:$I$89,5,0)</f>
        <v>71.872320000000002</v>
      </c>
      <c r="CV30" s="14">
        <f t="shared" si="41"/>
        <v>20.137703912312322</v>
      </c>
      <c r="CW30" s="22">
        <f t="shared" si="13"/>
        <v>160.25079164727728</v>
      </c>
      <c r="CX30" s="62">
        <f t="shared" si="14"/>
        <v>449.91745831394394</v>
      </c>
      <c r="CY30" s="62">
        <f ca="1">AVERAGE(OFFSET($CX$3,0,0,'Données projet'!$E$13+1,1))-AVERAGE(OFFSET($H$3,0,0,'Données projet'!$E$13+1,1))</f>
        <v>293.51866463276224</v>
      </c>
      <c r="CZ30" s="62">
        <f t="shared" si="42"/>
        <v>232.78663842203713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7.2</v>
      </c>
      <c r="N31" s="14">
        <f>IF('Données projet'!$A$36&gt;35,N30+M31-V30,IF(A31&lt;'Données projet'!$A$36,$K$205^A31,IF(A31='Données projet'!$A$36,'Données projet'!$B$36,N30+M31-V30)))</f>
        <v>91.600000000000037</v>
      </c>
      <c r="O31" s="14">
        <f>N31*VLOOKUP('Données projet'!$B$9,Paramètres!$A$1:$I$89,3,0)*VLOOKUP('Données projet'!$B$9,Paramètres!$A$1:$I$89,5,0)</f>
        <v>80.021760000000043</v>
      </c>
      <c r="P31" s="14">
        <f t="shared" si="33"/>
        <v>22.142504477569037</v>
      </c>
      <c r="Q31" s="22">
        <f t="shared" si="2"/>
        <v>177.93609396509945</v>
      </c>
      <c r="R31" s="62">
        <f t="shared" si="0"/>
        <v>468.82498285398833</v>
      </c>
      <c r="S31" s="62">
        <f ca="1">AVERAGE(OFFSET($R$3,0,0,'Données projet'!$E$9+1,1))-AVERAGE(OFFSET($H$3,0,0,'Données projet'!$E$9+1,1))</f>
        <v>239.16843440041487</v>
      </c>
      <c r="T31" s="62">
        <f t="shared" si="34"/>
        <v>241.82319822554194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1.5224786986545349</v>
      </c>
      <c r="AB31" s="23">
        <f>EXP(-LN(2)/2)*AB30+(1-EXP(-LN(2)/2))/(LN(2)/2)*V31*Y31*VLOOKUP('Données projet'!$B$9,Paramètres!$A$1:$I$89,3,0)*0.475*44/12</f>
        <v>0</v>
      </c>
      <c r="AC31" s="24">
        <f t="shared" si="3"/>
        <v>1.5224786986545349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16.399999999999999</v>
      </c>
      <c r="AI31" s="14">
        <f>IF('Données projet'!$A$62&gt;35,AI30+AH31-AQ30,IF(A31&lt;'Données projet'!$A$62,$AF$205^A31,IF(A31='Données projet'!$A$62,'Données projet'!$B$62,AI30+AH31-AQ30)))</f>
        <v>172.20000000000005</v>
      </c>
      <c r="AJ31" s="14">
        <f>AI31*VLOOKUP('Données projet'!$B$10,Paramètres!$A$1:$I$89,3,0)*VLOOKUP('Données projet'!$B$10,Paramètres!$A$1:$I$89,5,0)</f>
        <v>126.25704000000002</v>
      </c>
      <c r="AK31" s="14">
        <f t="shared" si="35"/>
        <v>33.130006114881255</v>
      </c>
      <c r="AL31" s="22">
        <f t="shared" si="4"/>
        <v>277.59910531675155</v>
      </c>
      <c r="AM31" s="62">
        <f t="shared" si="5"/>
        <v>568.48799420564046</v>
      </c>
      <c r="AN31" s="62">
        <f ca="1">AVERAGE(OFFSET($AM$3,0,0,'Données projet'!$E$10+1,1))-AVERAGE(OFFSET($H$3,0,0,'Données projet'!$E$10+1,1))</f>
        <v>376.5422416541544</v>
      </c>
      <c r="AO31" s="62">
        <f t="shared" si="36"/>
        <v>365.76175372075869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8.0162092935141249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8.0162092935141249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>
        <f>VLOOKUP(A31,'Données projet'!$A$87:$I$107,2,0)</f>
        <v>350</v>
      </c>
      <c r="BB31" s="13">
        <f>VLOOKUP(A31,'Données projet'!$A$87:$I$107,9,0)</f>
        <v>28.5</v>
      </c>
      <c r="BC31" s="13">
        <f t="array" ref="BC31">INDEX(BB:BB,MIN(IF(ISNUMBER(BB31:BB227),ROW(BB31:BB227),"")))</f>
        <v>28.5</v>
      </c>
      <c r="BD31" s="13">
        <f>IF('Données projet'!$A$88&gt;35,BD30+BC31-BL30,IF(A31&lt;'Données projet'!$A$88,$BA$205^A31,IF(A31='Données projet'!$A$88,'Données projet'!$B$88,BD30+BC31-BL30)))</f>
        <v>350</v>
      </c>
      <c r="BE31" s="14">
        <f>BD31*VLOOKUP('Données projet'!$B$11,Paramètres!$A$1:$I$89,3,0)*VLOOKUP('Données projet'!$B$11,Paramètres!$A$1:$I$89,5,0)</f>
        <v>195.65</v>
      </c>
      <c r="BF31" s="14">
        <f t="shared" si="37"/>
        <v>48.786949327182938</v>
      </c>
      <c r="BG31" s="22">
        <f t="shared" si="7"/>
        <v>425.72768674484365</v>
      </c>
      <c r="BH31" s="62">
        <f t="shared" si="8"/>
        <v>716.61657563373251</v>
      </c>
      <c r="BI31" s="62">
        <f ca="1">AVERAGE(OFFSET($BH$3,0,0,'Données projet'!$E$11+1,1))-AVERAGE(OFFSET($H$3,0,0,'Données projet'!$E$11+1,1))</f>
        <v>405.13433810198853</v>
      </c>
      <c r="BJ31" s="62">
        <f t="shared" si="38"/>
        <v>534.74398214162079</v>
      </c>
      <c r="BK31" s="16">
        <f>IF(ISNA(VLOOKUP(A31,'Données projet'!$A$87:$I$107,3,0)),0,VLOOKUP(A31,'Données projet'!$A$87:$I$107,3,0))</f>
        <v>7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8.2500000000000004E-2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0.85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9.1999999999999993</v>
      </c>
      <c r="BY31" s="13">
        <f>IF('Données projet'!$A$114&gt;35,BY30+BX31-CG30,IF(A31&lt;'Données projet'!$A$114,$BV$205^A31,IF(A31='Données projet'!$A$114,'Données projet'!$B$114,BY30+BX31-CG30)))</f>
        <v>102.60000000000002</v>
      </c>
      <c r="BZ31" s="14">
        <f>BY31*VLOOKUP('Données projet'!$B$12,Paramètres!$A$1:$I$89,3,0)*VLOOKUP('Données projet'!$B$12,Paramètres!$A$1:$I$89,5,0)</f>
        <v>86.430240000000026</v>
      </c>
      <c r="CA31" s="14">
        <f t="shared" si="39"/>
        <v>23.702267442352529</v>
      </c>
      <c r="CB31" s="22">
        <f t="shared" si="10"/>
        <v>191.81411712876402</v>
      </c>
      <c r="CC31" s="62">
        <f t="shared" si="11"/>
        <v>482.70300601765291</v>
      </c>
      <c r="CD31" s="62">
        <f ca="1">AVERAGE(OFFSET($CC$3,0,0,'Données projet'!$E$12+1,1))-AVERAGE(OFFSET($H$3,0,0,'Données projet'!$E$12+1,1))</f>
        <v>411.60020200960821</v>
      </c>
      <c r="CE31" s="62">
        <f t="shared" si="40"/>
        <v>261.95434270986397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6.8</v>
      </c>
      <c r="CT31" s="13">
        <f>IF('Données projet'!$A$140&gt;35,CT30+CS31-DB30,IF(A31&lt;'Données projet'!$A$140,$CQ$205^A31,IF(A31='Données projet'!$A$140,'Données projet'!$B$140,CT30+CS31-DB30)))</f>
        <v>95.4</v>
      </c>
      <c r="CU31" s="18">
        <f>CT31*VLOOKUP('Données projet'!$B$13,Paramètres!$A$1:$I$89,3,0)*VLOOKUP('Données projet'!$B$13,Paramètres!$A$1:$I$89,5,0)</f>
        <v>77.388480000000015</v>
      </c>
      <c r="CV31" s="14">
        <f t="shared" si="41"/>
        <v>21.497425783993659</v>
      </c>
      <c r="CW31" s="22">
        <f t="shared" si="13"/>
        <v>172.22628590712233</v>
      </c>
      <c r="CX31" s="62">
        <f t="shared" si="14"/>
        <v>463.11517479601116</v>
      </c>
      <c r="CY31" s="62">
        <f ca="1">AVERAGE(OFFSET($CX$3,0,0,'Données projet'!$E$13+1,1))-AVERAGE(OFFSET($H$3,0,0,'Données projet'!$E$13+1,1))</f>
        <v>293.51866463276224</v>
      </c>
      <c r="CZ31" s="62">
        <f t="shared" si="42"/>
        <v>232.78663842203713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7.2</v>
      </c>
      <c r="N32" s="14">
        <f>IF('Données projet'!$A$36&gt;35,N31+M32-V31,IF(A32&lt;'Données projet'!$A$36,$K$205^A32,IF(A32='Données projet'!$A$36,'Données projet'!$B$36,N31+M32-V31)))</f>
        <v>98.80000000000004</v>
      </c>
      <c r="O32" s="14">
        <f>N32*VLOOKUP('Données projet'!$B$9,Paramètres!$A$1:$I$89,3,0)*VLOOKUP('Données projet'!$B$9,Paramètres!$A$1:$I$89,5,0)</f>
        <v>86.311680000000038</v>
      </c>
      <c r="P32" s="14">
        <f t="shared" si="33"/>
        <v>23.673536308765961</v>
      </c>
      <c r="Q32" s="22">
        <f t="shared" si="2"/>
        <v>191.55758507110079</v>
      </c>
      <c r="R32" s="62">
        <f t="shared" si="0"/>
        <v>483.66869618221193</v>
      </c>
      <c r="S32" s="62">
        <f ca="1">AVERAGE(OFFSET($R$3,0,0,'Données projet'!$E$9+1,1))-AVERAGE(OFFSET($H$3,0,0,'Données projet'!$E$9+1,1))</f>
        <v>239.16843440041487</v>
      </c>
      <c r="T32" s="62">
        <f t="shared" si="34"/>
        <v>241.82319822554194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1.4808464385761515</v>
      </c>
      <c r="AB32" s="23">
        <f>EXP(-LN(2)/2)*AB31+(1-EXP(-LN(2)/2))/(LN(2)/2)*V32*Y32*VLOOKUP('Données projet'!$B$9,Paramètres!$A$1:$I$89,3,0)*0.475*44/12</f>
        <v>0</v>
      </c>
      <c r="AC32" s="24">
        <f t="shared" si="3"/>
        <v>1.4808464385761515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16.399999999999999</v>
      </c>
      <c r="AI32" s="14">
        <f>IF('Données projet'!$A$62&gt;35,AI31+AH32-AQ31,IF(A32&lt;'Données projet'!$A$62,$AF$205^A32,IF(A32='Données projet'!$A$62,'Données projet'!$B$62,AI31+AH32-AQ31)))</f>
        <v>188.60000000000005</v>
      </c>
      <c r="AJ32" s="14">
        <f>AI32*VLOOKUP('Données projet'!$B$10,Paramètres!$A$1:$I$89,3,0)*VLOOKUP('Données projet'!$B$10,Paramètres!$A$1:$I$89,5,0)</f>
        <v>138.28152000000003</v>
      </c>
      <c r="AK32" s="14">
        <f t="shared" si="35"/>
        <v>35.903043322174675</v>
      </c>
      <c r="AL32" s="22">
        <f t="shared" si="4"/>
        <v>303.37144778612094</v>
      </c>
      <c r="AM32" s="62">
        <f t="shared" si="5"/>
        <v>595.48255889723214</v>
      </c>
      <c r="AN32" s="62">
        <f ca="1">AVERAGE(OFFSET($AM$3,0,0,'Données projet'!$E$10+1,1))-AVERAGE(OFFSET($H$3,0,0,'Données projet'!$E$10+1,1))</f>
        <v>376.5422416541544</v>
      </c>
      <c r="AO32" s="62">
        <f t="shared" si="36"/>
        <v>365.76175372075869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7.8590163186731932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7.8590163186731932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30.5</v>
      </c>
      <c r="BD32" s="13">
        <f>IF('Données projet'!$A$88&gt;35,BD31+BC32-BL31,IF(A32&lt;'Données projet'!$A$88,$BA$205^A32,IF(A32='Données projet'!$A$88,'Données projet'!$B$88,BD31+BC32-BL31)))</f>
        <v>380.5</v>
      </c>
      <c r="BE32" s="14">
        <f>BD32*VLOOKUP('Données projet'!$B$11,Paramètres!$A$1:$I$89,3,0)*VLOOKUP('Données projet'!$B$11,Paramètres!$A$1:$I$89,5,0)</f>
        <v>212.69950000000003</v>
      </c>
      <c r="BF32" s="14">
        <f t="shared" si="37"/>
        <v>52.525055125225684</v>
      </c>
      <c r="BG32" s="22">
        <f t="shared" si="7"/>
        <v>461.93276684310149</v>
      </c>
      <c r="BH32" s="62">
        <f t="shared" si="8"/>
        <v>754.04387795421258</v>
      </c>
      <c r="BI32" s="62">
        <f ca="1">AVERAGE(OFFSET($BH$3,0,0,'Données projet'!$E$11+1,1))-AVERAGE(OFFSET($H$3,0,0,'Données projet'!$E$11+1,1))</f>
        <v>405.13433810198853</v>
      </c>
      <c r="BJ32" s="62">
        <f t="shared" si="38"/>
        <v>534.74398214162079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9.1999999999999993</v>
      </c>
      <c r="BY32" s="13">
        <f>IF('Données projet'!$A$114&gt;35,BY31+BX32-CG31,IF(A32&lt;'Données projet'!$A$114,$BV$205^A32,IF(A32='Données projet'!$A$114,'Données projet'!$B$114,BY31+BX32-CG31)))</f>
        <v>111.80000000000003</v>
      </c>
      <c r="BZ32" s="14">
        <f>BY32*VLOOKUP('Données projet'!$B$12,Paramètres!$A$1:$I$89,3,0)*VLOOKUP('Données projet'!$B$12,Paramètres!$A$1:$I$89,5,0)</f>
        <v>94.180320000000037</v>
      </c>
      <c r="CA32" s="14">
        <f t="shared" si="39"/>
        <v>25.570738079029208</v>
      </c>
      <c r="CB32" s="22">
        <f t="shared" si="10"/>
        <v>208.56642615430928</v>
      </c>
      <c r="CC32" s="62">
        <f t="shared" si="11"/>
        <v>500.67753726542043</v>
      </c>
      <c r="CD32" s="62">
        <f ca="1">AVERAGE(OFFSET($CC$3,0,0,'Données projet'!$E$12+1,1))-AVERAGE(OFFSET($H$3,0,0,'Données projet'!$E$12+1,1))</f>
        <v>411.60020200960821</v>
      </c>
      <c r="CE32" s="62">
        <f t="shared" si="40"/>
        <v>261.95434270986397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6.8</v>
      </c>
      <c r="CT32" s="13">
        <f>IF('Données projet'!$A$140&gt;35,CT31+CS32-DB31,IF(A32&lt;'Données projet'!$A$140,$CQ$205^A32,IF(A32='Données projet'!$A$140,'Données projet'!$B$140,CT31+CS32-DB31)))</f>
        <v>102.2</v>
      </c>
      <c r="CU32" s="18">
        <f>CT32*VLOOKUP('Données projet'!$B$13,Paramètres!$A$1:$I$89,3,0)*VLOOKUP('Données projet'!$B$13,Paramètres!$A$1:$I$89,5,0)</f>
        <v>82.904640000000015</v>
      </c>
      <c r="CV32" s="14">
        <f t="shared" si="41"/>
        <v>22.845902864304541</v>
      </c>
      <c r="CW32" s="22">
        <f t="shared" si="13"/>
        <v>184.18219548866375</v>
      </c>
      <c r="CX32" s="62">
        <f t="shared" si="14"/>
        <v>476.29330659977489</v>
      </c>
      <c r="CY32" s="62">
        <f ca="1">AVERAGE(OFFSET($CX$3,0,0,'Données projet'!$E$13+1,1))-AVERAGE(OFFSET($H$3,0,0,'Données projet'!$E$13+1,1))</f>
        <v>293.51866463276224</v>
      </c>
      <c r="CZ32" s="62">
        <f t="shared" si="42"/>
        <v>232.78663842203713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106</v>
      </c>
      <c r="L33" s="13">
        <f>VLOOKUP(A33,'Données projet'!$A$35:$I$55,9,0)</f>
        <v>7.2</v>
      </c>
      <c r="M33" s="13">
        <f t="array" ref="M33">INDEX(L:L,MIN(IF(ISNUMBER(L33:L229),ROW(L33:L229),"")))</f>
        <v>7.2</v>
      </c>
      <c r="N33" s="14">
        <f>IF('Données projet'!$A$36&gt;35,N32+M33-V32,IF(A33&lt;'Données projet'!$A$36,$K$205^A33,IF(A33='Données projet'!$A$36,'Données projet'!$B$36,N32+M33-V32)))</f>
        <v>106.00000000000004</v>
      </c>
      <c r="O33" s="14">
        <f>N33*VLOOKUP('Données projet'!$B$9,Paramètres!$A$1:$I$89,3,0)*VLOOKUP('Données projet'!$B$9,Paramètres!$A$1:$I$89,5,0)</f>
        <v>92.601600000000047</v>
      </c>
      <c r="P33" s="14">
        <f t="shared" si="33"/>
        <v>25.191623861555186</v>
      </c>
      <c r="Q33" s="22">
        <f t="shared" si="2"/>
        <v>205.15653155887534</v>
      </c>
      <c r="R33" s="62">
        <f t="shared" si="0"/>
        <v>498.48986489220863</v>
      </c>
      <c r="S33" s="62">
        <f ca="1">AVERAGE(OFFSET($R$3,0,0,'Données projet'!$E$9+1,1))-AVERAGE(OFFSET($H$3,0,0,'Données projet'!$E$9+1,1))</f>
        <v>239.16843440041487</v>
      </c>
      <c r="T33" s="62">
        <f t="shared" si="34"/>
        <v>241.82319822554194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0.17200000000000001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4.7494139734013325</v>
      </c>
      <c r="AB33" s="23">
        <f>EXP(-LN(2)/2)*AB32+(1-EXP(-LN(2)/2))/(LN(2)/2)*V33*Y33*VLOOKUP('Données projet'!$B$9,Paramètres!$A$1:$I$89,3,0)*0.475*44/12</f>
        <v>0</v>
      </c>
      <c r="AC33" s="24">
        <f t="shared" si="3"/>
        <v>4.7494139734013325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205</v>
      </c>
      <c r="AG33" s="13">
        <f>VLOOKUP(A33,'Données projet'!$A$61:$I$81,9,0)</f>
        <v>16.399999999999999</v>
      </c>
      <c r="AH33" s="13">
        <f t="array" ref="AH33">INDEX(AG:AG,MIN(IF(ISNUMBER(AG33:AG229),ROW(AG33:AG229),"")))</f>
        <v>16.399999999999999</v>
      </c>
      <c r="AI33" s="14">
        <f>IF('Données projet'!$A$62&gt;35,AI32+AH33-AQ32,IF(A33&lt;'Données projet'!$A$62,$AF$205^A33,IF(A33='Données projet'!$A$62,'Données projet'!$B$62,AI32+AH33-AQ32)))</f>
        <v>205.00000000000006</v>
      </c>
      <c r="AJ33" s="14">
        <f>AI33*VLOOKUP('Données projet'!$B$10,Paramètres!$A$1:$I$89,3,0)*VLOOKUP('Données projet'!$B$10,Paramètres!$A$1:$I$89,5,0)</f>
        <v>150.30600000000004</v>
      </c>
      <c r="AK33" s="14">
        <f t="shared" si="35"/>
        <v>38.648116968856677</v>
      </c>
      <c r="AL33" s="22">
        <f t="shared" si="4"/>
        <v>329.09508705409212</v>
      </c>
      <c r="AM33" s="62">
        <f t="shared" si="5"/>
        <v>622.42842038742538</v>
      </c>
      <c r="AN33" s="62">
        <f ca="1">AVERAGE(OFFSET($AM$3,0,0,'Données projet'!$E$10+1,1))-AVERAGE(OFFSET($H$3,0,0,'Données projet'!$E$10+1,1))</f>
        <v>376.5422416541544</v>
      </c>
      <c r="AO33" s="62">
        <f t="shared" si="36"/>
        <v>365.76175372075869</v>
      </c>
      <c r="AP33" s="16">
        <f>IF(ISNA(VLOOKUP(A33,'Données projet'!$A$61:$I$81,3,0)),0,VLOOKUP(A33,'Données projet'!$A$61:$I$81,3,0))</f>
        <v>5</v>
      </c>
      <c r="AQ33" s="16">
        <f>IF(ISNA(VLOOKUP(A33,'Données projet'!$A$61:$I$81,4,0)),0,VLOOKUP(A33,'Données projet'!$A$61:$I$81,4,0))</f>
        <v>42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7.7049058021906447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7.7049058021906447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411</v>
      </c>
      <c r="BB33" s="13">
        <f>VLOOKUP(A33,'Données projet'!$A$87:$I$107,9,0)</f>
        <v>30.5</v>
      </c>
      <c r="BC33" s="13">
        <f t="array" ref="BC33">INDEX(BB:BB,MIN(IF(ISNUMBER(BB33:BB229),ROW(BB33:BB229),"")))</f>
        <v>30.5</v>
      </c>
      <c r="BD33" s="13">
        <f>IF('Données projet'!$A$88&gt;35,BD32+BC33-BL32,IF(A33&lt;'Données projet'!$A$88,$BA$205^A33,IF(A33='Données projet'!$A$88,'Données projet'!$B$88,BD32+BC33-BL32)))</f>
        <v>411</v>
      </c>
      <c r="BE33" s="14">
        <f>BD33*VLOOKUP('Données projet'!$B$11,Paramètres!$A$1:$I$89,3,0)*VLOOKUP('Données projet'!$B$11,Paramètres!$A$1:$I$89,5,0)</f>
        <v>229.749</v>
      </c>
      <c r="BF33" s="14">
        <f t="shared" si="37"/>
        <v>56.228406014327895</v>
      </c>
      <c r="BG33" s="22">
        <f t="shared" si="7"/>
        <v>498.07731547495428</v>
      </c>
      <c r="BH33" s="62">
        <f t="shared" si="8"/>
        <v>791.41064880828753</v>
      </c>
      <c r="BI33" s="62">
        <f ca="1">AVERAGE(OFFSET($BH$3,0,0,'Données projet'!$E$11+1,1))-AVERAGE(OFFSET($H$3,0,0,'Données projet'!$E$11+1,1))</f>
        <v>405.13433810198853</v>
      </c>
      <c r="BJ33" s="62">
        <f t="shared" si="38"/>
        <v>534.74398214162079</v>
      </c>
      <c r="BK33" s="16">
        <f>IF(ISNA(VLOOKUP(A33,'Données projet'!$A$87:$I$107,3,0)),0,VLOOKUP(A33,'Données projet'!$A$87:$I$107,3,0))</f>
        <v>8</v>
      </c>
      <c r="BL33" s="16">
        <f>IF(ISNA(VLOOKUP(A33,'Données projet'!$A$87:$I$107,4,0)),0,VLOOKUP(A33,'Données projet'!$A$87:$I$107,4,0))</f>
        <v>81</v>
      </c>
      <c r="BM33" s="17">
        <f>IF(ISNA(VLOOKUP(A33,'Données projet'!$A$87:$I$107,5,0)),0%,VLOOKUP(A33,'Données projet'!$A$87:$I$107,5,0)*VLOOKUP('Données projet'!$B$11,Paramètres!$A$1:$I$89,7,0))</f>
        <v>0.13750000000000001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0.75</v>
      </c>
      <c r="BP33" s="23">
        <f>EXP(-LN(2)/35)*BP32+(1-EXP(-LN(2)/35))/(LN(2)/35)*BL33*BM33*VLOOKUP('Données projet'!$B$11,Paramètres!$A$1:$I$89,3,0)*0.475*44/12</f>
        <v>8.2590078969539551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38.449759649775629</v>
      </c>
      <c r="BS33" s="24">
        <f t="shared" si="9"/>
        <v>46.708767546729582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121</v>
      </c>
      <c r="BW33" s="13">
        <f>VLOOKUP(A33,'Données projet'!$A$113:$I$133,9,0)</f>
        <v>9.1999999999999993</v>
      </c>
      <c r="BX33" s="13">
        <f t="array" ref="BX33">INDEX(BW:BW,MIN(IF(ISNUMBER(BW33:BW229),ROW(BW33:BW229),"")))</f>
        <v>9.1999999999999993</v>
      </c>
      <c r="BY33" s="13">
        <f>IF('Données projet'!$A$114&gt;35,BY32+BX33-CG32,IF(A33&lt;'Données projet'!$A$114,$BV$205^A33,IF(A33='Données projet'!$A$114,'Données projet'!$B$114,BY32+BX33-CG32)))</f>
        <v>121.00000000000003</v>
      </c>
      <c r="BZ33" s="14">
        <f>BY33*VLOOKUP('Données projet'!$B$12,Paramètres!$A$1:$I$89,3,0)*VLOOKUP('Données projet'!$B$12,Paramètres!$A$1:$I$89,5,0)</f>
        <v>101.93040000000003</v>
      </c>
      <c r="CA33" s="14">
        <f t="shared" si="39"/>
        <v>27.421375718582158</v>
      </c>
      <c r="CB33" s="22">
        <f t="shared" si="10"/>
        <v>225.28767604319731</v>
      </c>
      <c r="CC33" s="62">
        <f t="shared" si="11"/>
        <v>518.62100937653065</v>
      </c>
      <c r="CD33" s="62">
        <f ca="1">AVERAGE(OFFSET($CC$3,0,0,'Données projet'!$E$12+1,1))-AVERAGE(OFFSET($H$3,0,0,'Données projet'!$E$12+1,1))</f>
        <v>411.60020200960821</v>
      </c>
      <c r="CE33" s="62">
        <f t="shared" si="40"/>
        <v>261.95434270986397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28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109</v>
      </c>
      <c r="CR33" s="13">
        <f>VLOOKUP(A33,'Données projet'!$A$139:$I$159,9,0)</f>
        <v>6.8</v>
      </c>
      <c r="CS33" s="13">
        <f t="array" ref="CS33">INDEX(CR:CR,MIN(IF(ISNUMBER(CR33:CR229),ROW(CR33:CR229),"")))</f>
        <v>6.8</v>
      </c>
      <c r="CT33" s="13">
        <f>IF('Données projet'!$A$140&gt;35,CT32+CS33-DB32,IF(A33&lt;'Données projet'!$A$140,$CQ$205^A33,IF(A33='Données projet'!$A$140,'Données projet'!$B$140,CT32+CS33-DB32)))</f>
        <v>109</v>
      </c>
      <c r="CU33" s="18">
        <f>CT33*VLOOKUP('Données projet'!$B$13,Paramètres!$A$1:$I$89,3,0)*VLOOKUP('Données projet'!$B$13,Paramètres!$A$1:$I$89,5,0)</f>
        <v>88.4208</v>
      </c>
      <c r="CV33" s="14">
        <f t="shared" si="41"/>
        <v>24.183968471983043</v>
      </c>
      <c r="CW33" s="22">
        <f t="shared" si="13"/>
        <v>196.11997175537047</v>
      </c>
      <c r="CX33" s="62">
        <f t="shared" si="14"/>
        <v>489.45330508870381</v>
      </c>
      <c r="CY33" s="62">
        <f ca="1">AVERAGE(OFFSET($CX$3,0,0,'Données projet'!$E$13+1,1))-AVERAGE(OFFSET($H$3,0,0,'Données projet'!$E$13+1,1))</f>
        <v>293.51866463276224</v>
      </c>
      <c r="CZ33" s="62">
        <f t="shared" si="42"/>
        <v>232.78663842203713</v>
      </c>
      <c r="DA33" s="16">
        <f>IF(ISNA(VLOOKUP(A33,'Données projet'!$A$139:$I$159,3,0)),0,VLOOKUP(A33,'Données projet'!$A$139:$I$159,3,0))</f>
        <v>4</v>
      </c>
      <c r="DB33" s="16">
        <f>IF(ISNA(VLOOKUP(A33,'Données projet'!$A$139:$I$159,4,0)),0,VLOOKUP(A33,'Données projet'!$A$139:$I$159,4,0))</f>
        <v>14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6.6</v>
      </c>
      <c r="N34" s="14">
        <f>IF('Données projet'!$A$36&gt;35,N33+M34-V33,IF(A34&lt;'Données projet'!$A$36,$K$205^A34,IF(A34='Données projet'!$A$36,'Données projet'!$B$36,N33+M34-V33)))</f>
        <v>92.600000000000037</v>
      </c>
      <c r="O34" s="14">
        <f>N34*VLOOKUP('Données projet'!$B$9,Paramètres!$A$1:$I$89,3,0)*VLOOKUP('Données projet'!$B$9,Paramètres!$A$1:$I$89,5,0)</f>
        <v>80.895360000000039</v>
      </c>
      <c r="P34" s="14">
        <f t="shared" si="33"/>
        <v>22.355962294793155</v>
      </c>
      <c r="Q34" s="22">
        <f t="shared" si="2"/>
        <v>179.82938633009815</v>
      </c>
      <c r="R34" s="62">
        <f t="shared" si="0"/>
        <v>473.16271966343146</v>
      </c>
      <c r="S34" s="62">
        <f ca="1">AVERAGE(OFFSET($R$3,0,0,'Données projet'!$E$9+1,1))-AVERAGE(OFFSET($H$3,0,0,'Données projet'!$E$9+1,1))</f>
        <v>239.16843440041487</v>
      </c>
      <c r="T34" s="62">
        <f t="shared" si="34"/>
        <v>241.82319822554194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4.6195409985378468</v>
      </c>
      <c r="AB34" s="23">
        <f>EXP(-LN(2)/2)*AB33+(1-EXP(-LN(2)/2))/(LN(2)/2)*V34*Y34*VLOOKUP('Données projet'!$B$9,Paramètres!$A$1:$I$89,3,0)*0.475*44/12</f>
        <v>0</v>
      </c>
      <c r="AC34" s="24">
        <f t="shared" si="3"/>
        <v>4.6195409985378468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15.2</v>
      </c>
      <c r="AI34" s="14">
        <f>IF('Données projet'!$A$62&gt;35,AI33+AH34-AQ33,IF(A34&lt;'Données projet'!$A$62,$AF$205^A34,IF(A34='Données projet'!$A$62,'Données projet'!$B$62,AI33+AH34-AQ33)))</f>
        <v>178.20000000000005</v>
      </c>
      <c r="AJ34" s="14">
        <f>AI34*VLOOKUP('Données projet'!$B$10,Paramètres!$A$1:$I$89,3,0)*VLOOKUP('Données projet'!$B$10,Paramètres!$A$1:$I$89,5,0)</f>
        <v>130.65624000000003</v>
      </c>
      <c r="AK34" s="14">
        <f t="shared" si="35"/>
        <v>34.147952661921146</v>
      </c>
      <c r="AL34" s="22">
        <f t="shared" si="4"/>
        <v>287.03396888617937</v>
      </c>
      <c r="AM34" s="62">
        <f t="shared" si="5"/>
        <v>580.36730221951268</v>
      </c>
      <c r="AN34" s="62">
        <f ca="1">AVERAGE(OFFSET($AM$3,0,0,'Données projet'!$E$10+1,1))-AVERAGE(OFFSET($H$3,0,0,'Données projet'!$E$10+1,1))</f>
        <v>376.5422416541544</v>
      </c>
      <c r="AO34" s="62">
        <f t="shared" si="36"/>
        <v>365.76175372075869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7.5538172989381858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7.5538172989381858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27</v>
      </c>
      <c r="BD34" s="13">
        <f>IF('Données projet'!$A$88&gt;35,BD33+BC34-BL33,IF(A34&lt;'Données projet'!$A$88,$BA$205^A34,IF(A34='Données projet'!$A$88,'Données projet'!$B$88,BD33+BC34-BL33)))</f>
        <v>357</v>
      </c>
      <c r="BE34" s="14">
        <f>BD34*VLOOKUP('Données projet'!$B$11,Paramètres!$A$1:$I$89,3,0)*VLOOKUP('Données projet'!$B$11,Paramètres!$A$1:$I$89,5,0)</f>
        <v>199.56299999999999</v>
      </c>
      <c r="BF34" s="14">
        <f t="shared" si="37"/>
        <v>49.648116129076428</v>
      </c>
      <c r="BG34" s="22">
        <f t="shared" si="7"/>
        <v>434.04269392480802</v>
      </c>
      <c r="BH34" s="62">
        <f t="shared" si="8"/>
        <v>727.37602725814133</v>
      </c>
      <c r="BI34" s="62">
        <f ca="1">AVERAGE(OFFSET($BH$3,0,0,'Données projet'!$E$11+1,1))-AVERAGE(OFFSET($H$3,0,0,'Données projet'!$E$11+1,1))</f>
        <v>405.13433810198853</v>
      </c>
      <c r="BJ34" s="62">
        <f t="shared" si="38"/>
        <v>534.74398214162079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8.0970537895920938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27.188085783349241</v>
      </c>
      <c r="BS34" s="24">
        <f t="shared" si="9"/>
        <v>35.285139572941333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10.8</v>
      </c>
      <c r="BY34" s="13">
        <f>IF('Données projet'!$A$114&gt;35,BY33+BX34-CG33,IF(A34&lt;'Données projet'!$A$114,$BV$205^A34,IF(A34='Données projet'!$A$114,'Données projet'!$B$114,BY33+BX34-CG33)))</f>
        <v>103.80000000000004</v>
      </c>
      <c r="BZ34" s="14">
        <f>BY34*VLOOKUP('Données projet'!$B$12,Paramètres!$A$1:$I$89,3,0)*VLOOKUP('Données projet'!$B$12,Paramètres!$A$1:$I$89,5,0)</f>
        <v>87.441120000000041</v>
      </c>
      <c r="CA34" s="14">
        <f t="shared" si="39"/>
        <v>23.947052577122424</v>
      </c>
      <c r="CB34" s="22">
        <f t="shared" si="10"/>
        <v>194.0010672384883</v>
      </c>
      <c r="CC34" s="62">
        <f t="shared" si="11"/>
        <v>487.33440057182162</v>
      </c>
      <c r="CD34" s="62">
        <f ca="1">AVERAGE(OFFSET($CC$3,0,0,'Données projet'!$E$12+1,1))-AVERAGE(OFFSET($H$3,0,0,'Données projet'!$E$12+1,1))</f>
        <v>411.60020200960821</v>
      </c>
      <c r="CE34" s="62">
        <f t="shared" si="40"/>
        <v>261.95434270986397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7.2</v>
      </c>
      <c r="CT34" s="13">
        <f>IF('Données projet'!$A$140&gt;35,CT33+CS34-DB33,IF(A34&lt;'Données projet'!$A$140,$CQ$205^A34,IF(A34='Données projet'!$A$140,'Données projet'!$B$140,CT33+CS34-DB33)))</f>
        <v>102.2</v>
      </c>
      <c r="CU34" s="18">
        <f>CT34*VLOOKUP('Données projet'!$B$13,Paramètres!$A$1:$I$89,3,0)*VLOOKUP('Données projet'!$B$13,Paramètres!$A$1:$I$89,5,0)</f>
        <v>82.904640000000015</v>
      </c>
      <c r="CV34" s="14">
        <f t="shared" si="41"/>
        <v>22.845902864304541</v>
      </c>
      <c r="CW34" s="22">
        <f t="shared" si="13"/>
        <v>184.18219548866375</v>
      </c>
      <c r="CX34" s="62">
        <f t="shared" si="14"/>
        <v>477.51552882199707</v>
      </c>
      <c r="CY34" s="62">
        <f ca="1">AVERAGE(OFFSET($CX$3,0,0,'Données projet'!$E$13+1,1))-AVERAGE(OFFSET($H$3,0,0,'Données projet'!$E$13+1,1))</f>
        <v>293.51866463276224</v>
      </c>
      <c r="CZ34" s="62">
        <f t="shared" si="42"/>
        <v>232.78663842203713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6.6</v>
      </c>
      <c r="N35" s="14">
        <f>IF('Données projet'!$A$36&gt;35,N34+M35-V34,IF(A35&lt;'Données projet'!$A$36,$K$205^A35,IF(A35='Données projet'!$A$36,'Données projet'!$B$36,N34+M35-V34)))</f>
        <v>99.200000000000031</v>
      </c>
      <c r="O35" s="14">
        <f>N35*VLOOKUP('Données projet'!$B$9,Paramètres!$A$1:$I$89,3,0)*VLOOKUP('Données projet'!$B$9,Paramètres!$A$1:$I$89,5,0)</f>
        <v>86.661120000000039</v>
      </c>
      <c r="P35" s="14">
        <f t="shared" si="33"/>
        <v>23.758204386703831</v>
      </c>
      <c r="Q35" s="22">
        <f t="shared" ref="Q35:Q66" si="53">(O35+P35)*0.475*44/12</f>
        <v>192.31365664017588</v>
      </c>
      <c r="R35" s="62">
        <f t="shared" si="0"/>
        <v>485.64698997350922</v>
      </c>
      <c r="S35" s="62">
        <f ca="1">AVERAGE(OFFSET($R$3,0,0,'Données projet'!$E$9+1,1))-AVERAGE(OFFSET($H$3,0,0,'Données projet'!$E$9+1,1))</f>
        <v>239.16843440041487</v>
      </c>
      <c r="T35" s="62">
        <f t="shared" si="34"/>
        <v>241.82319822554194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4.4932194070017264</v>
      </c>
      <c r="AB35" s="23">
        <f>EXP(-LN(2)/2)*AB34+(1-EXP(-LN(2)/2))/(LN(2)/2)*V35*Y35*VLOOKUP('Données projet'!$B$9,Paramètres!$A$1:$I$89,3,0)*0.475*44/12</f>
        <v>0</v>
      </c>
      <c r="AC35" s="24">
        <f t="shared" si="3"/>
        <v>4.4932194070017264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15.2</v>
      </c>
      <c r="AI35" s="14">
        <f>IF('Données projet'!$A$62&gt;35,AI34+AH35-AQ34,IF(A35&lt;'Données projet'!$A$62,$AF$205^A35,IF(A35='Données projet'!$A$62,'Données projet'!$B$62,AI34+AH35-AQ34)))</f>
        <v>193.40000000000003</v>
      </c>
      <c r="AJ35" s="14">
        <f>AI35*VLOOKUP('Données projet'!$B$10,Paramètres!$A$1:$I$89,3,0)*VLOOKUP('Données projet'!$B$10,Paramètres!$A$1:$I$89,5,0)</f>
        <v>141.80088000000003</v>
      </c>
      <c r="AK35" s="14">
        <f t="shared" si="35"/>
        <v>36.709254421801973</v>
      </c>
      <c r="AL35" s="22">
        <f t="shared" si="4"/>
        <v>310.90515078463847</v>
      </c>
      <c r="AM35" s="62">
        <f t="shared" si="5"/>
        <v>604.23848411797178</v>
      </c>
      <c r="AN35" s="62">
        <f ca="1">AVERAGE(OFFSET($AM$3,0,0,'Données projet'!$E$10+1,1))-AVERAGE(OFFSET($H$3,0,0,'Données projet'!$E$10+1,1))</f>
        <v>376.5422416541544</v>
      </c>
      <c r="AO35" s="62">
        <f t="shared" si="36"/>
        <v>365.76175372075869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7.40569154907962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7.40569154907962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>
        <f>VLOOKUP(A35,'Données projet'!$A$87:$I$107,2,0)</f>
        <v>384</v>
      </c>
      <c r="BB35" s="13">
        <f>VLOOKUP(A35,'Données projet'!$A$87:$I$107,9,0)</f>
        <v>27</v>
      </c>
      <c r="BC35" s="13">
        <f t="array" ref="BC35">INDEX(BB:BB,MIN(IF(ISNUMBER(BB35:BB231),ROW(BB35:BB231),"")))</f>
        <v>27</v>
      </c>
      <c r="BD35" s="13">
        <f>IF('Données projet'!$A$88&gt;35,BD34+BC35-BL34,IF(A35&lt;'Données projet'!$A$88,$BA$205^A35,IF(A35='Données projet'!$A$88,'Données projet'!$B$88,BD34+BC35-BL34)))</f>
        <v>384</v>
      </c>
      <c r="BE35" s="14">
        <f>BD35*VLOOKUP('Données projet'!$B$11,Paramètres!$A$1:$I$89,3,0)*VLOOKUP('Données projet'!$B$11,Paramètres!$A$1:$I$89,5,0)</f>
        <v>214.65600000000001</v>
      </c>
      <c r="BF35" s="14">
        <f t="shared" si="37"/>
        <v>52.951736650296596</v>
      </c>
      <c r="BG35" s="22">
        <f t="shared" si="7"/>
        <v>466.08347466593324</v>
      </c>
      <c r="BH35" s="62">
        <f t="shared" si="8"/>
        <v>759.41680799926655</v>
      </c>
      <c r="BI35" s="62">
        <f ca="1">AVERAGE(OFFSET($BH$3,0,0,'Données projet'!$E$11+1,1))-AVERAGE(OFFSET($H$3,0,0,'Données projet'!$E$11+1,1))</f>
        <v>405.13433810198853</v>
      </c>
      <c r="BJ35" s="62">
        <f t="shared" si="38"/>
        <v>534.74398214162079</v>
      </c>
      <c r="BK35" s="16">
        <f>IF(ISNA(VLOOKUP(A35,'Données projet'!$A$87:$I$107,3,0)),0,VLOOKUP(A35,'Données projet'!$A$87:$I$107,3,0))</f>
        <v>9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7.9382755034933465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19.224879824887818</v>
      </c>
      <c r="BS35" s="24">
        <f t="shared" si="9"/>
        <v>27.163155328381166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10.8</v>
      </c>
      <c r="BY35" s="13">
        <f>IF('Données projet'!$A$114&gt;35,BY34+BX35-CG34,IF(A35&lt;'Données projet'!$A$114,$BV$205^A35,IF(A35='Données projet'!$A$114,'Données projet'!$B$114,BY34+BX35-CG34)))</f>
        <v>114.60000000000004</v>
      </c>
      <c r="BZ35" s="14">
        <f>BY35*VLOOKUP('Données projet'!$B$12,Paramètres!$A$1:$I$89,3,0)*VLOOKUP('Données projet'!$B$12,Paramètres!$A$1:$I$89,5,0)</f>
        <v>96.539040000000043</v>
      </c>
      <c r="CA35" s="14">
        <f t="shared" si="39"/>
        <v>26.135788937894091</v>
      </c>
      <c r="CB35" s="22">
        <f t="shared" si="10"/>
        <v>213.65866040016559</v>
      </c>
      <c r="CC35" s="62">
        <f t="shared" si="11"/>
        <v>506.99199373349893</v>
      </c>
      <c r="CD35" s="62">
        <f ca="1">AVERAGE(OFFSET($CC$3,0,0,'Données projet'!$E$12+1,1))-AVERAGE(OFFSET($H$3,0,0,'Données projet'!$E$12+1,1))</f>
        <v>411.60020200960821</v>
      </c>
      <c r="CE35" s="62">
        <f t="shared" si="40"/>
        <v>261.95434270986397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7.2</v>
      </c>
      <c r="CT35" s="13">
        <f>IF('Données projet'!$A$140&gt;35,CT34+CS35-DB34,IF(A35&lt;'Données projet'!$A$140,$CQ$205^A35,IF(A35='Données projet'!$A$140,'Données projet'!$B$140,CT34+CS35-DB34)))</f>
        <v>109.4</v>
      </c>
      <c r="CU35" s="18">
        <f>CT35*VLOOKUP('Données projet'!$B$13,Paramètres!$A$1:$I$89,3,0)*VLOOKUP('Données projet'!$B$13,Paramètres!$A$1:$I$89,5,0)</f>
        <v>88.745280000000008</v>
      </c>
      <c r="CV35" s="14">
        <f t="shared" si="41"/>
        <v>24.262369928218739</v>
      </c>
      <c r="CW35" s="22">
        <f t="shared" si="13"/>
        <v>196.82165695831429</v>
      </c>
      <c r="CX35" s="62">
        <f t="shared" si="14"/>
        <v>490.15499029164761</v>
      </c>
      <c r="CY35" s="62">
        <f ca="1">AVERAGE(OFFSET($CX$3,0,0,'Données projet'!$E$13+1,1))-AVERAGE(OFFSET($H$3,0,0,'Données projet'!$E$13+1,1))</f>
        <v>293.51866463276224</v>
      </c>
      <c r="CZ35" s="62">
        <f t="shared" si="42"/>
        <v>232.78663842203713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6.6</v>
      </c>
      <c r="N36" s="14">
        <f>IF('Données projet'!$A$36&gt;35,N35+M36-V35,IF(A36&lt;'Données projet'!$A$36,$K$205^A36,IF(A36='Données projet'!$A$36,'Données projet'!$B$36,N35+M36-V35)))</f>
        <v>105.80000000000003</v>
      </c>
      <c r="O36" s="14">
        <f>N36*VLOOKUP('Données projet'!$B$9,Paramètres!$A$1:$I$89,3,0)*VLOOKUP('Données projet'!$B$9,Paramètres!$A$1:$I$89,5,0)</f>
        <v>92.42688000000004</v>
      </c>
      <c r="P36" s="14">
        <f t="shared" si="33"/>
        <v>25.149620531579263</v>
      </c>
      <c r="Q36" s="22">
        <f t="shared" si="53"/>
        <v>204.77907175916729</v>
      </c>
      <c r="R36" s="62">
        <f t="shared" si="0"/>
        <v>498.11240509250058</v>
      </c>
      <c r="S36" s="62">
        <f ca="1">AVERAGE(OFFSET($R$3,0,0,'Données projet'!$E$9+1,1))-AVERAGE(OFFSET($H$3,0,0,'Données projet'!$E$9+1,1))</f>
        <v>239.16843440041487</v>
      </c>
      <c r="T36" s="62">
        <f t="shared" si="34"/>
        <v>241.82319822554194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4.3703520860291247</v>
      </c>
      <c r="AB36" s="23">
        <f>EXP(-LN(2)/2)*AB35+(1-EXP(-LN(2)/2))/(LN(2)/2)*V36*Y36*VLOOKUP('Données projet'!$B$9,Paramètres!$A$1:$I$89,3,0)*0.475*44/12</f>
        <v>0</v>
      </c>
      <c r="AC36" s="24">
        <f t="shared" si="3"/>
        <v>4.3703520860291247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15.2</v>
      </c>
      <c r="AI36" s="14">
        <f>IF('Données projet'!$A$62&gt;35,AI35+AH36-AQ35,IF(A36&lt;'Données projet'!$A$62,$AF$205^A36,IF(A36='Données projet'!$A$62,'Données projet'!$B$62,AI35+AH36-AQ35)))</f>
        <v>208.60000000000002</v>
      </c>
      <c r="AJ36" s="14">
        <f>AI36*VLOOKUP('Données projet'!$B$10,Paramètres!$A$1:$I$89,3,0)*VLOOKUP('Données projet'!$B$10,Paramètres!$A$1:$I$89,5,0)</f>
        <v>152.94552000000002</v>
      </c>
      <c r="AK36" s="14">
        <f t="shared" si="35"/>
        <v>39.247206134585156</v>
      </c>
      <c r="AL36" s="22">
        <f t="shared" si="4"/>
        <v>334.73566468440248</v>
      </c>
      <c r="AM36" s="62">
        <f t="shared" si="5"/>
        <v>628.06899801773579</v>
      </c>
      <c r="AN36" s="62">
        <f ca="1">AVERAGE(OFFSET($AM$3,0,0,'Données projet'!$E$10+1,1))-AVERAGE(OFFSET($H$3,0,0,'Données projet'!$E$10+1,1))</f>
        <v>376.5422416541544</v>
      </c>
      <c r="AO36" s="62">
        <f t="shared" si="36"/>
        <v>365.76175372075869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7.2604704548279946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7.2604704548279946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29</v>
      </c>
      <c r="BD36" s="13">
        <f>IF('Données projet'!$A$88&gt;35,BD35+BC36-BL35,IF(A36&lt;'Données projet'!$A$88,$BA$205^A36,IF(A36='Données projet'!$A$88,'Données projet'!$B$88,BD35+BC36-BL35)))</f>
        <v>413</v>
      </c>
      <c r="BE36" s="14">
        <f>BD36*VLOOKUP('Données projet'!$B$11,Paramètres!$A$1:$I$89,3,0)*VLOOKUP('Données projet'!$B$11,Paramètres!$A$1:$I$89,5,0)</f>
        <v>230.86700000000002</v>
      </c>
      <c r="BF36" s="14">
        <f t="shared" si="37"/>
        <v>56.470106131334084</v>
      </c>
      <c r="BG36" s="22">
        <f t="shared" si="7"/>
        <v>500.4454598454069</v>
      </c>
      <c r="BH36" s="62">
        <f t="shared" si="8"/>
        <v>793.77879317874022</v>
      </c>
      <c r="BI36" s="62">
        <f ca="1">AVERAGE(OFFSET($BH$3,0,0,'Données projet'!$E$11+1,1))-AVERAGE(OFFSET($H$3,0,0,'Données projet'!$E$11+1,1))</f>
        <v>405.13433810198853</v>
      </c>
      <c r="BJ36" s="62">
        <f t="shared" si="38"/>
        <v>534.74398214162079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7.7826107627398038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13.594042891674624</v>
      </c>
      <c r="BS36" s="24">
        <f t="shared" si="9"/>
        <v>21.376653654414426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10.8</v>
      </c>
      <c r="BY36" s="13">
        <f>IF('Données projet'!$A$114&gt;35,BY35+BX36-CG35,IF(A36&lt;'Données projet'!$A$114,$BV$205^A36,IF(A36='Données projet'!$A$114,'Données projet'!$B$114,BY35+BX36-CG35)))</f>
        <v>125.40000000000003</v>
      </c>
      <c r="BZ36" s="14">
        <f>BY36*VLOOKUP('Données projet'!$B$12,Paramètres!$A$1:$I$89,3,0)*VLOOKUP('Données projet'!$B$12,Paramètres!$A$1:$I$89,5,0)</f>
        <v>105.63696000000004</v>
      </c>
      <c r="CA36" s="14">
        <f t="shared" si="39"/>
        <v>28.300609534766192</v>
      </c>
      <c r="CB36" s="22">
        <f t="shared" si="10"/>
        <v>233.27460027305116</v>
      </c>
      <c r="CC36" s="62">
        <f t="shared" si="11"/>
        <v>526.60793360638445</v>
      </c>
      <c r="CD36" s="62">
        <f ca="1">AVERAGE(OFFSET($CC$3,0,0,'Données projet'!$E$12+1,1))-AVERAGE(OFFSET($H$3,0,0,'Données projet'!$E$12+1,1))</f>
        <v>411.60020200960821</v>
      </c>
      <c r="CE36" s="62">
        <f t="shared" si="40"/>
        <v>261.95434270986397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7.2</v>
      </c>
      <c r="CT36" s="13">
        <f>IF('Données projet'!$A$140&gt;35,CT35+CS36-DB35,IF(A36&lt;'Données projet'!$A$140,$CQ$205^A36,IF(A36='Données projet'!$A$140,'Données projet'!$B$140,CT35+CS36-DB35)))</f>
        <v>116.60000000000001</v>
      </c>
      <c r="CU36" s="18">
        <f>CT36*VLOOKUP('Données projet'!$B$13,Paramètres!$A$1:$I$89,3,0)*VLOOKUP('Données projet'!$B$13,Paramètres!$A$1:$I$89,5,0)</f>
        <v>94.585920000000016</v>
      </c>
      <c r="CV36" s="14">
        <f t="shared" si="41"/>
        <v>25.668019086997319</v>
      </c>
      <c r="CW36" s="22">
        <f t="shared" si="13"/>
        <v>209.44227724318702</v>
      </c>
      <c r="CX36" s="62">
        <f t="shared" si="14"/>
        <v>502.77561057652031</v>
      </c>
      <c r="CY36" s="62">
        <f ca="1">AVERAGE(OFFSET($CX$3,0,0,'Données projet'!$E$13+1,1))-AVERAGE(OFFSET($H$3,0,0,'Données projet'!$E$13+1,1))</f>
        <v>293.51866463276224</v>
      </c>
      <c r="CZ36" s="62">
        <f t="shared" si="42"/>
        <v>232.78663842203713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6.6</v>
      </c>
      <c r="N37" s="14">
        <f>IF('Données projet'!$A$36&gt;35,N36+M37-V36,IF(A37&lt;'Données projet'!$A$36,$K$205^A37,IF(A37='Données projet'!$A$36,'Données projet'!$B$36,N36+M37-V36)))</f>
        <v>112.40000000000002</v>
      </c>
      <c r="O37" s="14">
        <f>N37*VLOOKUP('Données projet'!$B$9,Paramètres!$A$1:$I$89,3,0)*VLOOKUP('Données projet'!$B$9,Paramètres!$A$1:$I$89,5,0)</f>
        <v>98.192640000000026</v>
      </c>
      <c r="P37" s="14">
        <f t="shared" si="33"/>
        <v>26.530962957008427</v>
      </c>
      <c r="Q37" s="22">
        <f t="shared" si="53"/>
        <v>217.22694181678969</v>
      </c>
      <c r="R37" s="62">
        <f t="shared" si="0"/>
        <v>510.560275150123</v>
      </c>
      <c r="S37" s="62">
        <f ca="1">AVERAGE(OFFSET($R$3,0,0,'Données projet'!$E$9+1,1))-AVERAGE(OFFSET($H$3,0,0,'Données projet'!$E$9+1,1))</f>
        <v>239.16843440041487</v>
      </c>
      <c r="T37" s="62">
        <f t="shared" si="34"/>
        <v>241.82319822554194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4.250844578409831</v>
      </c>
      <c r="AB37" s="23">
        <f>EXP(-LN(2)/2)*AB36+(1-EXP(-LN(2)/2))/(LN(2)/2)*V37*Y37*VLOOKUP('Données projet'!$B$9,Paramètres!$A$1:$I$89,3,0)*0.475*44/12</f>
        <v>0</v>
      </c>
      <c r="AC37" s="24">
        <f t="shared" si="3"/>
        <v>4.250844578409831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15.2</v>
      </c>
      <c r="AI37" s="14">
        <f>IF('Données projet'!$A$62&gt;35,AI36+AH37-AQ36,IF(A37&lt;'Données projet'!$A$62,$AF$205^A37,IF(A37='Données projet'!$A$62,'Données projet'!$B$62,AI36+AH37-AQ36)))</f>
        <v>223.8</v>
      </c>
      <c r="AJ37" s="14">
        <f>AI37*VLOOKUP('Données projet'!$B$10,Paramètres!$A$1:$I$89,3,0)*VLOOKUP('Données projet'!$B$10,Paramètres!$A$1:$I$89,5,0)</f>
        <v>164.09016</v>
      </c>
      <c r="AK37" s="14">
        <f t="shared" si="35"/>
        <v>41.763702733606458</v>
      </c>
      <c r="AL37" s="22">
        <f t="shared" si="4"/>
        <v>358.52881092769786</v>
      </c>
      <c r="AM37" s="62">
        <f t="shared" si="5"/>
        <v>651.86214426103118</v>
      </c>
      <c r="AN37" s="62">
        <f ca="1">AVERAGE(OFFSET($AM$3,0,0,'Données projet'!$E$10+1,1))-AVERAGE(OFFSET($H$3,0,0,'Données projet'!$E$10+1,1))</f>
        <v>376.5422416541544</v>
      </c>
      <c r="AO37" s="62">
        <f t="shared" si="36"/>
        <v>365.76175372075869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7.1180970576585221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7.1180970576585221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>
        <f>VLOOKUP(A37,'Données projet'!$A$87:$I$107,2,0)</f>
        <v>442</v>
      </c>
      <c r="BB37" s="13">
        <f>VLOOKUP(A37,'Données projet'!$A$87:$I$107,9,0)</f>
        <v>29</v>
      </c>
      <c r="BC37" s="13">
        <f t="array" ref="BC37">INDEX(BB:BB,MIN(IF(ISNUMBER(BB37:BB233),ROW(BB37:BB233),"")))</f>
        <v>29</v>
      </c>
      <c r="BD37" s="13">
        <f>IF('Données projet'!$A$88&gt;35,BD36+BC37-BL36,IF(A37&lt;'Données projet'!$A$88,$BA$205^A37,IF(A37='Données projet'!$A$88,'Données projet'!$B$88,BD36+BC37-BL36)))</f>
        <v>442</v>
      </c>
      <c r="BE37" s="14">
        <f>BD37*VLOOKUP('Données projet'!$B$11,Paramètres!$A$1:$I$89,3,0)*VLOOKUP('Données projet'!$B$11,Paramètres!$A$1:$I$89,5,0)</f>
        <v>247.078</v>
      </c>
      <c r="BF37" s="14">
        <f t="shared" si="37"/>
        <v>59.959811038797326</v>
      </c>
      <c r="BG37" s="22">
        <f t="shared" si="7"/>
        <v>534.75752089257196</v>
      </c>
      <c r="BH37" s="62">
        <f t="shared" si="8"/>
        <v>828.09085422590533</v>
      </c>
      <c r="BI37" s="62">
        <f ca="1">AVERAGE(OFFSET($BH$3,0,0,'Données projet'!$E$11+1,1))-AVERAGE(OFFSET($H$3,0,0,'Données projet'!$E$11+1,1))</f>
        <v>405.13433810198853</v>
      </c>
      <c r="BJ37" s="62">
        <f t="shared" si="38"/>
        <v>534.74398214162079</v>
      </c>
      <c r="BK37" s="16">
        <f>IF(ISNA(VLOOKUP(A37,'Données projet'!$A$87:$I$107,3,0)),0,VLOOKUP(A37,'Données projet'!$A$87:$I$107,3,0))</f>
        <v>10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7.6299985126063214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9.6124399124439108</v>
      </c>
      <c r="BS37" s="24">
        <f t="shared" si="9"/>
        <v>17.242438425050231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10.8</v>
      </c>
      <c r="BY37" s="13">
        <f>IF('Données projet'!$A$114&gt;35,BY36+BX37-CG36,IF(A37&lt;'Données projet'!$A$114,$BV$205^A37,IF(A37='Données projet'!$A$114,'Données projet'!$B$114,BY36+BX37-CG36)))</f>
        <v>136.20000000000005</v>
      </c>
      <c r="BZ37" s="14">
        <f>BY37*VLOOKUP('Données projet'!$B$12,Paramètres!$A$1:$I$89,3,0)*VLOOKUP('Données projet'!$B$12,Paramètres!$A$1:$I$89,5,0)</f>
        <v>114.73488000000005</v>
      </c>
      <c r="CA37" s="14">
        <f t="shared" si="39"/>
        <v>30.443808287231871</v>
      </c>
      <c r="CB37" s="22">
        <f t="shared" si="10"/>
        <v>252.85288210026226</v>
      </c>
      <c r="CC37" s="62">
        <f t="shared" si="11"/>
        <v>546.18621543359563</v>
      </c>
      <c r="CD37" s="62">
        <f ca="1">AVERAGE(OFFSET($CC$3,0,0,'Données projet'!$E$12+1,1))-AVERAGE(OFFSET($H$3,0,0,'Données projet'!$E$12+1,1))</f>
        <v>411.60020200960821</v>
      </c>
      <c r="CE37" s="62">
        <f t="shared" si="40"/>
        <v>261.95434270986397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7.2</v>
      </c>
      <c r="CT37" s="13">
        <f>IF('Données projet'!$A$140&gt;35,CT36+CS37-DB36,IF(A37&lt;'Données projet'!$A$140,$CQ$205^A37,IF(A37='Données projet'!$A$140,'Données projet'!$B$140,CT36+CS37-DB36)))</f>
        <v>123.80000000000001</v>
      </c>
      <c r="CU37" s="18">
        <f>CT37*VLOOKUP('Données projet'!$B$13,Paramètres!$A$1:$I$89,3,0)*VLOOKUP('Données projet'!$B$13,Paramètres!$A$1:$I$89,5,0)</f>
        <v>100.42656000000001</v>
      </c>
      <c r="CV37" s="14">
        <f t="shared" si="41"/>
        <v>27.063594397713516</v>
      </c>
      <c r="CW37" s="22">
        <f t="shared" si="13"/>
        <v>222.04535224268434</v>
      </c>
      <c r="CX37" s="62">
        <f t="shared" si="14"/>
        <v>515.37868557601769</v>
      </c>
      <c r="CY37" s="62">
        <f ca="1">AVERAGE(OFFSET($CX$3,0,0,'Données projet'!$E$13+1,1))-AVERAGE(OFFSET($H$3,0,0,'Données projet'!$E$13+1,1))</f>
        <v>293.51866463276224</v>
      </c>
      <c r="CZ37" s="62">
        <f t="shared" si="42"/>
        <v>232.78663842203713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119</v>
      </c>
      <c r="L38" s="13">
        <f>VLOOKUP(A38,'Données projet'!$A$35:$I$55,9,0)</f>
        <v>6.6</v>
      </c>
      <c r="M38" s="13">
        <f t="array" ref="M38">INDEX(L:L,MIN(IF(ISNUMBER(L38:L234),ROW(L38:L234),"")))</f>
        <v>6.6</v>
      </c>
      <c r="N38" s="14">
        <f>IF('Données projet'!$A$36&gt;35,N37+M38-V37,IF(A38&lt;'Données projet'!$A$36,$K$205^A38,IF(A38='Données projet'!$A$36,'Données projet'!$B$36,N37+M38-V37)))</f>
        <v>119.00000000000001</v>
      </c>
      <c r="O38" s="14">
        <f>N38*VLOOKUP('Données projet'!$B$9,Paramètres!$A$1:$I$89,3,0)*VLOOKUP('Données projet'!$B$9,Paramètres!$A$1:$I$89,5,0)</f>
        <v>103.95840000000003</v>
      </c>
      <c r="P38" s="14">
        <f t="shared" si="33"/>
        <v>27.902890560352166</v>
      </c>
      <c r="Q38" s="22">
        <f t="shared" si="53"/>
        <v>229.65841439261337</v>
      </c>
      <c r="R38" s="62">
        <f t="shared" si="0"/>
        <v>522.99174772594665</v>
      </c>
      <c r="S38" s="62">
        <f ca="1">AVERAGE(OFFSET($R$3,0,0,'Données projet'!$E$9+1,1))-AVERAGE(OFFSET($H$3,0,0,'Données projet'!$E$9+1,1))</f>
        <v>239.16843440041487</v>
      </c>
      <c r="T38" s="62">
        <f t="shared" si="34"/>
        <v>241.82319822554194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4.134605009871013</v>
      </c>
      <c r="AB38" s="23">
        <f>EXP(-LN(2)/2)*AB37+(1-EXP(-LN(2)/2))/(LN(2)/2)*V38*Y38*VLOOKUP('Données projet'!$B$9,Paramètres!$A$1:$I$89,3,0)*0.475*44/12</f>
        <v>0</v>
      </c>
      <c r="AC38" s="24">
        <f t="shared" si="3"/>
        <v>4.134605009871013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239</v>
      </c>
      <c r="AG38" s="13">
        <f>VLOOKUP(A38,'Données projet'!$A$61:$I$81,9,0)</f>
        <v>15.2</v>
      </c>
      <c r="AH38" s="13">
        <f t="array" ref="AH38">INDEX(AG:AG,MIN(IF(ISNUMBER(AG38:AG234),ROW(AG38:AG234),"")))</f>
        <v>15.2</v>
      </c>
      <c r="AI38" s="14">
        <f>IF('Données projet'!$A$62&gt;35,AI37+AH38-AQ37,IF(A38&lt;'Données projet'!$A$62,$AF$205^A38,IF(A38='Données projet'!$A$62,'Données projet'!$B$62,AI37+AH38-AQ37)))</f>
        <v>239</v>
      </c>
      <c r="AJ38" s="14">
        <f>AI38*VLOOKUP('Données projet'!$B$10,Paramètres!$A$1:$I$89,3,0)*VLOOKUP('Données projet'!$B$10,Paramètres!$A$1:$I$89,5,0)</f>
        <v>175.23480000000001</v>
      </c>
      <c r="AK38" s="14">
        <f t="shared" si="35"/>
        <v>44.260367185241513</v>
      </c>
      <c r="AL38" s="22">
        <f t="shared" si="4"/>
        <v>382.28741618096228</v>
      </c>
      <c r="AM38" s="62">
        <f t="shared" si="5"/>
        <v>675.62074951429554</v>
      </c>
      <c r="AN38" s="62">
        <f ca="1">AVERAGE(OFFSET($AM$3,0,0,'Données projet'!$E$10+1,1))-AVERAGE(OFFSET($H$3,0,0,'Données projet'!$E$10+1,1))</f>
        <v>376.5422416541544</v>
      </c>
      <c r="AO38" s="62">
        <f t="shared" si="36"/>
        <v>365.76175372075869</v>
      </c>
      <c r="AP38" s="16">
        <f>IF(ISNA(VLOOKUP(A38,'Données projet'!$A$61:$I$81,3,0)),0,VLOOKUP(A38,'Données projet'!$A$61:$I$81,3,0))</f>
        <v>6</v>
      </c>
      <c r="AQ38" s="16">
        <f>IF(ISNA(VLOOKUP(A38,'Données projet'!$A$61:$I$81,4,0)),0,VLOOKUP(A38,'Données projet'!$A$61:$I$81,4,0))</f>
        <v>42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6.9785155159683452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6.9785155159683452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29.5</v>
      </c>
      <c r="BD38" s="13">
        <f>IF('Données projet'!$A$88&gt;35,BD37+BC38-BL37,IF(A38&lt;'Données projet'!$A$88,$BA$205^A38,IF(A38='Données projet'!$A$88,'Données projet'!$B$88,BD37+BC38-BL37)))</f>
        <v>471.5</v>
      </c>
      <c r="BE38" s="14">
        <f>BD38*VLOOKUP('Données projet'!$B$11,Paramètres!$A$1:$I$89,3,0)*VLOOKUP('Données projet'!$B$11,Paramètres!$A$1:$I$89,5,0)</f>
        <v>263.56850000000003</v>
      </c>
      <c r="BF38" s="14">
        <f t="shared" si="37"/>
        <v>63.482433419460314</v>
      </c>
      <c r="BG38" s="22">
        <f t="shared" si="7"/>
        <v>569.61370903889349</v>
      </c>
      <c r="BH38" s="62">
        <f t="shared" si="8"/>
        <v>862.94704237222686</v>
      </c>
      <c r="BI38" s="62">
        <f ca="1">AVERAGE(OFFSET($BH$3,0,0,'Données projet'!$E$11+1,1))-AVERAGE(OFFSET($H$3,0,0,'Données projet'!$E$11+1,1))</f>
        <v>405.13433810198853</v>
      </c>
      <c r="BJ38" s="62">
        <f t="shared" si="38"/>
        <v>534.74398214162079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7.4803788956136756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6.7970214458373128</v>
      </c>
      <c r="BS38" s="24">
        <f t="shared" si="9"/>
        <v>14.277400341450988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147</v>
      </c>
      <c r="BW38" s="13">
        <f>VLOOKUP(A38,'Données projet'!$A$113:$I$133,9,0)</f>
        <v>10.8</v>
      </c>
      <c r="BX38" s="13">
        <f t="array" ref="BX38">INDEX(BW:BW,MIN(IF(ISNUMBER(BW38:BW234),ROW(BW38:BW234),"")))</f>
        <v>10.8</v>
      </c>
      <c r="BY38" s="13">
        <f>IF('Données projet'!$A$114&gt;35,BY37+BX38-CG37,IF(A38&lt;'Données projet'!$A$114,$BV$205^A38,IF(A38='Données projet'!$A$114,'Données projet'!$B$114,BY37+BX38-CG37)))</f>
        <v>147.00000000000006</v>
      </c>
      <c r="BZ38" s="14">
        <f>BY38*VLOOKUP('Données projet'!$B$12,Paramètres!$A$1:$I$89,3,0)*VLOOKUP('Données projet'!$B$12,Paramètres!$A$1:$I$89,5,0)</f>
        <v>123.83280000000006</v>
      </c>
      <c r="CA38" s="14">
        <f t="shared" si="39"/>
        <v>32.567294628684579</v>
      </c>
      <c r="CB38" s="22">
        <f t="shared" si="10"/>
        <v>272.39683147829243</v>
      </c>
      <c r="CC38" s="62">
        <f t="shared" si="11"/>
        <v>565.73016481162574</v>
      </c>
      <c r="CD38" s="62">
        <f ca="1">AVERAGE(OFFSET($CC$3,0,0,'Données projet'!$E$12+1,1))-AVERAGE(OFFSET($H$3,0,0,'Données projet'!$E$12+1,1))</f>
        <v>411.60020200960821</v>
      </c>
      <c r="CE38" s="62">
        <f t="shared" si="40"/>
        <v>261.95434270986397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28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131</v>
      </c>
      <c r="CR38" s="13">
        <f>VLOOKUP(A38,'Données projet'!$A$139:$I$159,9,0)</f>
        <v>7.2</v>
      </c>
      <c r="CS38" s="13">
        <f t="array" ref="CS38">INDEX(CR:CR,MIN(IF(ISNUMBER(CR38:CR234),ROW(CR38:CR234),"")))</f>
        <v>7.2</v>
      </c>
      <c r="CT38" s="13">
        <f>IF('Données projet'!$A$140&gt;35,CT37+CS38-DB37,IF(A38&lt;'Données projet'!$A$140,$CQ$205^A38,IF(A38='Données projet'!$A$140,'Données projet'!$B$140,CT37+CS38-DB37)))</f>
        <v>131</v>
      </c>
      <c r="CU38" s="18">
        <f>CT38*VLOOKUP('Données projet'!$B$13,Paramètres!$A$1:$I$89,3,0)*VLOOKUP('Données projet'!$B$13,Paramètres!$A$1:$I$89,5,0)</f>
        <v>106.26720000000002</v>
      </c>
      <c r="CV38" s="14">
        <f t="shared" si="41"/>
        <v>28.449748482465147</v>
      </c>
      <c r="CW38" s="22">
        <f t="shared" si="13"/>
        <v>234.63201860696017</v>
      </c>
      <c r="CX38" s="62">
        <f t="shared" si="14"/>
        <v>527.96535194029343</v>
      </c>
      <c r="CY38" s="62">
        <f ca="1">AVERAGE(OFFSET($CX$3,0,0,'Données projet'!$E$13+1,1))-AVERAGE(OFFSET($H$3,0,0,'Données projet'!$E$13+1,1))</f>
        <v>293.51866463276224</v>
      </c>
      <c r="CZ38" s="62">
        <f t="shared" si="42"/>
        <v>232.78663842203713</v>
      </c>
      <c r="DA38" s="16">
        <f>IF(ISNA(VLOOKUP(A38,'Données projet'!$A$139:$I$159,3,0)),0,VLOOKUP(A38,'Données projet'!$A$139:$I$159,3,0))</f>
        <v>5</v>
      </c>
      <c r="DB38" s="16">
        <f>IF(ISNA(VLOOKUP(A38,'Données projet'!$A$139:$I$159,4,0)),0,VLOOKUP(A38,'Données projet'!$A$139:$I$159,4,0))</f>
        <v>15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6.2</v>
      </c>
      <c r="N39" s="14">
        <f>IF('Données projet'!$A$36&gt;35,N38+M39-V38,IF(A39&lt;'Données projet'!$A$36,$K$205^A39,IF(A39='Données projet'!$A$36,'Données projet'!$B$36,N38+M39-V38)))</f>
        <v>105.20000000000002</v>
      </c>
      <c r="O39" s="14">
        <f>N39*VLOOKUP('Données projet'!$B$9,Paramètres!$A$1:$I$89,3,0)*VLOOKUP('Données projet'!$B$9,Paramètres!$A$1:$I$89,5,0)</f>
        <v>91.902720000000031</v>
      </c>
      <c r="P39" s="14">
        <f t="shared" si="33"/>
        <v>25.023555003327882</v>
      </c>
      <c r="Q39" s="22">
        <f t="shared" si="53"/>
        <v>203.64659563079613</v>
      </c>
      <c r="R39" s="62">
        <f t="shared" si="0"/>
        <v>496.97992896412944</v>
      </c>
      <c r="S39" s="62">
        <f ca="1">AVERAGE(OFFSET($R$3,0,0,'Données projet'!$E$9+1,1))-AVERAGE(OFFSET($H$3,0,0,'Données projet'!$E$9+1,1))</f>
        <v>239.16843440041487</v>
      </c>
      <c r="T39" s="62">
        <f t="shared" si="34"/>
        <v>241.82319822554194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4.0215440184466624</v>
      </c>
      <c r="AB39" s="23">
        <f>EXP(-LN(2)/2)*AB38+(1-EXP(-LN(2)/2))/(LN(2)/2)*V39*Y39*VLOOKUP('Données projet'!$B$9,Paramètres!$A$1:$I$89,3,0)*0.475*44/12</f>
        <v>0</v>
      </c>
      <c r="AC39" s="24">
        <f t="shared" si="3"/>
        <v>4.0215440184466624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13.2</v>
      </c>
      <c r="AI39" s="14">
        <f>IF('Données projet'!$A$62&gt;35,AI38+AH39-AQ38,IF(A39&lt;'Données projet'!$A$62,$AF$205^A39,IF(A39='Données projet'!$A$62,'Données projet'!$B$62,AI38+AH39-AQ38)))</f>
        <v>210.2</v>
      </c>
      <c r="AJ39" s="14">
        <f>AI39*VLOOKUP('Données projet'!$B$10,Paramètres!$A$1:$I$89,3,0)*VLOOKUP('Données projet'!$B$10,Paramètres!$A$1:$I$89,5,0)</f>
        <v>154.11863999999997</v>
      </c>
      <c r="AK39" s="14">
        <f t="shared" si="35"/>
        <v>39.513080685376593</v>
      </c>
      <c r="AL39" s="22">
        <f t="shared" si="4"/>
        <v>337.24191352703082</v>
      </c>
      <c r="AM39" s="62">
        <f t="shared" si="5"/>
        <v>630.57524686036413</v>
      </c>
      <c r="AN39" s="62">
        <f ca="1">AVERAGE(OFFSET($AM$3,0,0,'Données projet'!$E$10+1,1))-AVERAGE(OFFSET($H$3,0,0,'Données projet'!$E$10+1,1))</f>
        <v>376.5422416541544</v>
      </c>
      <c r="AO39" s="62">
        <f t="shared" si="36"/>
        <v>365.76175372075869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6.8416710831743783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6.8416710831743783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>
        <f>VLOOKUP(A39,'Données projet'!$A$87:$I$107,2,0)</f>
        <v>501</v>
      </c>
      <c r="BB39" s="13">
        <f>VLOOKUP(A39,'Données projet'!$A$87:$I$107,9,0)</f>
        <v>29.5</v>
      </c>
      <c r="BC39" s="13">
        <f t="array" ref="BC39">INDEX(BB:BB,MIN(IF(ISNUMBER(BB39:BB235),ROW(BB39:BB235),"")))</f>
        <v>29.5</v>
      </c>
      <c r="BD39" s="13">
        <f>IF('Données projet'!$A$88&gt;35,BD38+BC39-BL38,IF(A39&lt;'Données projet'!$A$88,$BA$205^A39,IF(A39='Données projet'!$A$88,'Données projet'!$B$88,BD38+BC39-BL38)))</f>
        <v>501</v>
      </c>
      <c r="BE39" s="14">
        <f>BD39*VLOOKUP('Données projet'!$B$11,Paramètres!$A$1:$I$89,3,0)*VLOOKUP('Données projet'!$B$11,Paramètres!$A$1:$I$89,5,0)</f>
        <v>280.05900000000003</v>
      </c>
      <c r="BF39" s="14">
        <f t="shared" si="37"/>
        <v>66.979477124262175</v>
      </c>
      <c r="BG39" s="22">
        <f t="shared" si="7"/>
        <v>604.42534765808989</v>
      </c>
      <c r="BH39" s="62">
        <f t="shared" si="8"/>
        <v>897.75868099142326</v>
      </c>
      <c r="BI39" s="62">
        <f ca="1">AVERAGE(OFFSET($BH$3,0,0,'Données projet'!$E$11+1,1))-AVERAGE(OFFSET($H$3,0,0,'Données projet'!$E$11+1,1))</f>
        <v>405.13433810198853</v>
      </c>
      <c r="BJ39" s="62">
        <f t="shared" si="38"/>
        <v>534.74398214162079</v>
      </c>
      <c r="BK39" s="16">
        <f>IF(ISNA(VLOOKUP(A39,'Données projet'!$A$87:$I$107,3,0)),0,VLOOKUP(A39,'Données projet'!$A$87:$I$107,3,0))</f>
        <v>11</v>
      </c>
      <c r="BL39" s="16">
        <f>IF(ISNA(VLOOKUP(A39,'Données projet'!$A$87:$I$107,4,0)),0,VLOOKUP(A39,'Données projet'!$A$87:$I$107,4,0))</f>
        <v>86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7.3336932280513007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4.8062199562219563</v>
      </c>
      <c r="BS39" s="24">
        <f t="shared" si="9"/>
        <v>12.139913184273258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11.2</v>
      </c>
      <c r="BY39" s="13">
        <f>IF('Données projet'!$A$114&gt;35,BY38+BX39-CG38,IF(A39&lt;'Données projet'!$A$114,$BV$205^A39,IF(A39='Données projet'!$A$114,'Données projet'!$B$114,BY38+BX39-CG38)))</f>
        <v>130.20000000000005</v>
      </c>
      <c r="BZ39" s="14">
        <f>BY39*VLOOKUP('Données projet'!$B$12,Paramètres!$A$1:$I$89,3,0)*VLOOKUP('Données projet'!$B$12,Paramètres!$A$1:$I$89,5,0)</f>
        <v>109.68048000000006</v>
      </c>
      <c r="CA39" s="14">
        <f t="shared" si="39"/>
        <v>29.255690427909659</v>
      </c>
      <c r="CB39" s="22">
        <f t="shared" si="10"/>
        <v>241.9804968286094</v>
      </c>
      <c r="CC39" s="62">
        <f t="shared" si="11"/>
        <v>535.31383016194275</v>
      </c>
      <c r="CD39" s="62">
        <f ca="1">AVERAGE(OFFSET($CC$3,0,0,'Données projet'!$E$12+1,1))-AVERAGE(OFFSET($H$3,0,0,'Données projet'!$E$12+1,1))</f>
        <v>411.60020200960821</v>
      </c>
      <c r="CE39" s="62">
        <f t="shared" si="40"/>
        <v>261.95434270986397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6.8</v>
      </c>
      <c r="CT39" s="13">
        <f>IF('Données projet'!$A$140&gt;35,CT38+CS39-DB38,IF(A39&lt;'Données projet'!$A$140,$CQ$205^A39,IF(A39='Données projet'!$A$140,'Données projet'!$B$140,CT38+CS39-DB38)))</f>
        <v>122.80000000000001</v>
      </c>
      <c r="CU39" s="18">
        <f>CT39*VLOOKUP('Données projet'!$B$13,Paramètres!$A$1:$I$89,3,0)*VLOOKUP('Données projet'!$B$13,Paramètres!$A$1:$I$89,5,0)</f>
        <v>99.615360000000024</v>
      </c>
      <c r="CV39" s="14">
        <f t="shared" si="41"/>
        <v>26.87034182949003</v>
      </c>
      <c r="CW39" s="22">
        <f t="shared" si="13"/>
        <v>220.29593068636186</v>
      </c>
      <c r="CX39" s="62">
        <f t="shared" si="14"/>
        <v>513.62926401969514</v>
      </c>
      <c r="CY39" s="62">
        <f ca="1">AVERAGE(OFFSET($CX$3,0,0,'Données projet'!$E$13+1,1))-AVERAGE(OFFSET($H$3,0,0,'Données projet'!$E$13+1,1))</f>
        <v>293.51866463276224</v>
      </c>
      <c r="CZ39" s="62">
        <f t="shared" si="42"/>
        <v>232.78663842203713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6.2</v>
      </c>
      <c r="N40" s="14">
        <f>IF('Données projet'!$A$36&gt;35,N39+M40-V39,IF(A40&lt;'Données projet'!$A$36,$K$205^A40,IF(A40='Données projet'!$A$36,'Données projet'!$B$36,N39+M40-V39)))</f>
        <v>111.40000000000002</v>
      </c>
      <c r="O40" s="14">
        <f>N40*VLOOKUP('Données projet'!$B$9,Paramètres!$A$1:$I$89,3,0)*VLOOKUP('Données projet'!$B$9,Paramètres!$A$1:$I$89,5,0)</f>
        <v>97.31904000000003</v>
      </c>
      <c r="P40" s="14">
        <f t="shared" si="33"/>
        <v>26.322289133542785</v>
      </c>
      <c r="Q40" s="22">
        <f t="shared" si="53"/>
        <v>215.34198157425371</v>
      </c>
      <c r="R40" s="62">
        <f t="shared" si="0"/>
        <v>508.67531490758699</v>
      </c>
      <c r="S40" s="62">
        <f ca="1">AVERAGE(OFFSET($R$3,0,0,'Données projet'!$E$9+1,1))-AVERAGE(OFFSET($H$3,0,0,'Données projet'!$E$9+1,1))</f>
        <v>239.16843440041487</v>
      </c>
      <c r="T40" s="62">
        <f t="shared" si="34"/>
        <v>241.82319822554194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3.9115746857784299</v>
      </c>
      <c r="AB40" s="23">
        <f>EXP(-LN(2)/2)*AB39+(1-EXP(-LN(2)/2))/(LN(2)/2)*V40*Y40*VLOOKUP('Données projet'!$B$9,Paramètres!$A$1:$I$89,3,0)*0.475*44/12</f>
        <v>0</v>
      </c>
      <c r="AC40" s="24">
        <f t="shared" si="3"/>
        <v>3.9115746857784299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13.2</v>
      </c>
      <c r="AI40" s="14">
        <f>IF('Données projet'!$A$62&gt;35,AI39+AH40-AQ39,IF(A40&lt;'Données projet'!$A$62,$AF$205^A40,IF(A40='Données projet'!$A$62,'Données projet'!$B$62,AI39+AH40-AQ39)))</f>
        <v>223.39999999999998</v>
      </c>
      <c r="AJ40" s="14">
        <f>AI40*VLOOKUP('Données projet'!$B$10,Paramètres!$A$1:$I$89,3,0)*VLOOKUP('Données projet'!$B$10,Paramètres!$A$1:$I$89,5,0)</f>
        <v>163.79687999999999</v>
      </c>
      <c r="AK40" s="14">
        <f t="shared" si="35"/>
        <v>41.697739822198329</v>
      </c>
      <c r="AL40" s="22">
        <f t="shared" si="4"/>
        <v>357.90312952366207</v>
      </c>
      <c r="AM40" s="62">
        <f t="shared" si="5"/>
        <v>651.23646285699533</v>
      </c>
      <c r="AN40" s="62">
        <f ca="1">AVERAGE(OFFSET($AM$3,0,0,'Données projet'!$E$10+1,1))-AVERAGE(OFFSET($H$3,0,0,'Données projet'!$E$10+1,1))</f>
        <v>376.5422416541544</v>
      </c>
      <c r="AO40" s="62">
        <f t="shared" si="36"/>
        <v>365.76175372075869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6.7075100862406396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6.7075100862406396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27.5</v>
      </c>
      <c r="BD40" s="13">
        <f>IF('Données projet'!$A$88&gt;35,BD39+BC40-BL39,IF(A40&lt;'Données projet'!$A$88,$BA$205^A40,IF(A40='Données projet'!$A$88,'Données projet'!$B$88,BD39+BC40-BL39)))</f>
        <v>442.5</v>
      </c>
      <c r="BE40" s="14">
        <f>BD40*VLOOKUP('Données projet'!$B$11,Paramètres!$A$1:$I$89,3,0)*VLOOKUP('Données projet'!$B$11,Paramètres!$A$1:$I$89,5,0)</f>
        <v>247.35750000000002</v>
      </c>
      <c r="BF40" s="14">
        <f t="shared" si="37"/>
        <v>60.019739774565849</v>
      </c>
      <c r="BG40" s="22">
        <f t="shared" si="7"/>
        <v>535.34869260736878</v>
      </c>
      <c r="BH40" s="62">
        <f t="shared" si="8"/>
        <v>828.68202594070203</v>
      </c>
      <c r="BI40" s="62">
        <f ca="1">AVERAGE(OFFSET($BH$3,0,0,'Données projet'!$E$11+1,1))-AVERAGE(OFFSET($H$3,0,0,'Données projet'!$E$11+1,1))</f>
        <v>405.13433810198853</v>
      </c>
      <c r="BJ40" s="62">
        <f t="shared" si="38"/>
        <v>534.74398214162079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7.1898839769604006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3.3985107229186573</v>
      </c>
      <c r="BS40" s="24">
        <f t="shared" si="9"/>
        <v>10.588394699879057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11.2</v>
      </c>
      <c r="BY40" s="13">
        <f>IF('Données projet'!$A$114&gt;35,BY39+BX40-CG39,IF(A40&lt;'Données projet'!$A$114,$BV$205^A40,IF(A40='Données projet'!$A$114,'Données projet'!$B$114,BY39+BX40-CG39)))</f>
        <v>141.40000000000003</v>
      </c>
      <c r="BZ40" s="14">
        <f>BY40*VLOOKUP('Données projet'!$B$12,Paramètres!$A$1:$I$89,3,0)*VLOOKUP('Données projet'!$B$12,Paramètres!$A$1:$I$89,5,0)</f>
        <v>119.11536000000004</v>
      </c>
      <c r="CA40" s="14">
        <f t="shared" si="39"/>
        <v>31.468582772748093</v>
      </c>
      <c r="CB40" s="22">
        <f t="shared" si="10"/>
        <v>262.26703366253628</v>
      </c>
      <c r="CC40" s="62">
        <f t="shared" si="11"/>
        <v>555.60036699586954</v>
      </c>
      <c r="CD40" s="62">
        <f ca="1">AVERAGE(OFFSET($CC$3,0,0,'Données projet'!$E$12+1,1))-AVERAGE(OFFSET($H$3,0,0,'Données projet'!$E$12+1,1))</f>
        <v>411.60020200960821</v>
      </c>
      <c r="CE40" s="62">
        <f t="shared" si="40"/>
        <v>261.95434270986397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6.8</v>
      </c>
      <c r="CT40" s="13">
        <f>IF('Données projet'!$A$140&gt;35,CT39+CS40-DB39,IF(A40&lt;'Données projet'!$A$140,$CQ$205^A40,IF(A40='Données projet'!$A$140,'Données projet'!$B$140,CT39+CS40-DB39)))</f>
        <v>129.60000000000002</v>
      </c>
      <c r="CU40" s="18">
        <f>CT40*VLOOKUP('Données projet'!$B$13,Paramètres!$A$1:$I$89,3,0)*VLOOKUP('Données projet'!$B$13,Paramètres!$A$1:$I$89,5,0)</f>
        <v>105.13152000000002</v>
      </c>
      <c r="CV40" s="14">
        <f t="shared" si="41"/>
        <v>28.180928221249033</v>
      </c>
      <c r="CW40" s="22">
        <f t="shared" si="13"/>
        <v>232.1858473186754</v>
      </c>
      <c r="CX40" s="62">
        <f t="shared" si="14"/>
        <v>525.51918065200869</v>
      </c>
      <c r="CY40" s="62">
        <f ca="1">AVERAGE(OFFSET($CX$3,0,0,'Données projet'!$E$13+1,1))-AVERAGE(OFFSET($H$3,0,0,'Données projet'!$E$13+1,1))</f>
        <v>293.51866463276224</v>
      </c>
      <c r="CZ40" s="62">
        <f t="shared" si="42"/>
        <v>232.78663842203713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6.2</v>
      </c>
      <c r="N41" s="14">
        <f>IF('Données projet'!$A$36&gt;35,N40+M41-V40,IF(A41&lt;'Données projet'!$A$36,$K$205^A41,IF(A41='Données projet'!$A$36,'Données projet'!$B$36,N40+M41-V40)))</f>
        <v>117.60000000000002</v>
      </c>
      <c r="O41" s="14">
        <f>N41*VLOOKUP('Données projet'!$B$9,Paramètres!$A$1:$I$89,3,0)*VLOOKUP('Données projet'!$B$9,Paramètres!$A$1:$I$89,5,0)</f>
        <v>102.73536000000004</v>
      </c>
      <c r="P41" s="14">
        <f t="shared" si="33"/>
        <v>27.612632326357044</v>
      </c>
      <c r="Q41" s="22">
        <f t="shared" si="53"/>
        <v>227.02275330173859</v>
      </c>
      <c r="R41" s="62">
        <f t="shared" si="0"/>
        <v>520.35608663507196</v>
      </c>
      <c r="S41" s="62">
        <f ca="1">AVERAGE(OFFSET($R$3,0,0,'Données projet'!$E$9+1,1))-AVERAGE(OFFSET($H$3,0,0,'Données projet'!$E$9+1,1))</f>
        <v>239.16843440041487</v>
      </c>
      <c r="T41" s="62">
        <f t="shared" si="34"/>
        <v>241.82319822554194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3.8046124702950461</v>
      </c>
      <c r="AB41" s="23">
        <f>EXP(-LN(2)/2)*AB40+(1-EXP(-LN(2)/2))/(LN(2)/2)*V41*Y41*VLOOKUP('Données projet'!$B$9,Paramètres!$A$1:$I$89,3,0)*0.475*44/12</f>
        <v>0</v>
      </c>
      <c r="AC41" s="24">
        <f t="shared" si="3"/>
        <v>3.8046124702950461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13.2</v>
      </c>
      <c r="AI41" s="14">
        <f>IF('Données projet'!$A$62&gt;35,AI40+AH41-AQ40,IF(A41&lt;'Données projet'!$A$62,$AF$205^A41,IF(A41='Données projet'!$A$62,'Données projet'!$B$62,AI40+AH41-AQ40)))</f>
        <v>236.59999999999997</v>
      </c>
      <c r="AJ41" s="14">
        <f>AI41*VLOOKUP('Données projet'!$B$10,Paramètres!$A$1:$I$89,3,0)*VLOOKUP('Données projet'!$B$10,Paramètres!$A$1:$I$89,5,0)</f>
        <v>173.47511999999998</v>
      </c>
      <c r="AK41" s="14">
        <f t="shared" si="35"/>
        <v>43.867415861334891</v>
      </c>
      <c r="AL41" s="22">
        <f t="shared" si="4"/>
        <v>378.53824995849158</v>
      </c>
      <c r="AM41" s="62">
        <f t="shared" si="5"/>
        <v>671.87158329182489</v>
      </c>
      <c r="AN41" s="62">
        <f ca="1">AVERAGE(OFFSET($AM$3,0,0,'Données projet'!$E$10+1,1))-AVERAGE(OFFSET($H$3,0,0,'Données projet'!$E$10+1,1))</f>
        <v>376.5422416541544</v>
      </c>
      <c r="AO41" s="62">
        <f t="shared" si="36"/>
        <v>365.76175372075869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6.5759799046266432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6.5759799046266432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>
        <f>VLOOKUP(A41,'Données projet'!$A$87:$I$107,2,0)</f>
        <v>470</v>
      </c>
      <c r="BB41" s="13">
        <f>VLOOKUP(A41,'Données projet'!$A$87:$I$107,9,0)</f>
        <v>27.5</v>
      </c>
      <c r="BC41" s="13">
        <f t="array" ref="BC41">INDEX(BB:BB,MIN(IF(ISNUMBER(BB41:BB237),ROW(BB41:BB237),"")))</f>
        <v>27.5</v>
      </c>
      <c r="BD41" s="13">
        <f>IF('Données projet'!$A$88&gt;35,BD40+BC41-BL40,IF(A41&lt;'Données projet'!$A$88,$BA$205^A41,IF(A41='Données projet'!$A$88,'Données projet'!$B$88,BD40+BC41-BL40)))</f>
        <v>470</v>
      </c>
      <c r="BE41" s="14">
        <f>BD41*VLOOKUP('Données projet'!$B$11,Paramètres!$A$1:$I$89,3,0)*VLOOKUP('Données projet'!$B$11,Paramètres!$A$1:$I$89,5,0)</f>
        <v>262.73</v>
      </c>
      <c r="BF41" s="14">
        <f t="shared" si="37"/>
        <v>63.303949401442225</v>
      </c>
      <c r="BG41" s="22">
        <f t="shared" si="7"/>
        <v>567.84246187417853</v>
      </c>
      <c r="BH41" s="62">
        <f t="shared" si="8"/>
        <v>861.17579520751178</v>
      </c>
      <c r="BI41" s="62">
        <f ca="1">AVERAGE(OFFSET($BH$3,0,0,'Données projet'!$E$11+1,1))-AVERAGE(OFFSET($H$3,0,0,'Données projet'!$E$11+1,1))</f>
        <v>405.13433810198853</v>
      </c>
      <c r="BJ41" s="62">
        <f t="shared" si="38"/>
        <v>534.74398214162079</v>
      </c>
      <c r="BK41" s="16">
        <f>IF(ISNA(VLOOKUP(A41,'Données projet'!$A$87:$I$107,3,0)),0,VLOOKUP(A41,'Données projet'!$A$87:$I$107,3,0))</f>
        <v>12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7.0488947375684115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2.4031099781109786</v>
      </c>
      <c r="BS41" s="24">
        <f t="shared" si="9"/>
        <v>9.45200471567939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11.2</v>
      </c>
      <c r="BY41" s="13">
        <f>IF('Données projet'!$A$114&gt;35,BY40+BX41-CG40,IF(A41&lt;'Données projet'!$A$114,$BV$205^A41,IF(A41='Données projet'!$A$114,'Données projet'!$B$114,BY40+BX41-CG40)))</f>
        <v>152.60000000000002</v>
      </c>
      <c r="BZ41" s="14">
        <f>BY41*VLOOKUP('Données projet'!$B$12,Paramètres!$A$1:$I$89,3,0)*VLOOKUP('Données projet'!$B$12,Paramètres!$A$1:$I$89,5,0)</f>
        <v>128.55024000000003</v>
      </c>
      <c r="CA41" s="14">
        <f t="shared" si="39"/>
        <v>33.661144026076663</v>
      </c>
      <c r="CB41" s="22">
        <f t="shared" si="10"/>
        <v>282.51816051208363</v>
      </c>
      <c r="CC41" s="62">
        <f t="shared" si="11"/>
        <v>575.85149384541694</v>
      </c>
      <c r="CD41" s="62">
        <f ca="1">AVERAGE(OFFSET($CC$3,0,0,'Données projet'!$E$12+1,1))-AVERAGE(OFFSET($H$3,0,0,'Données projet'!$E$12+1,1))</f>
        <v>411.60020200960821</v>
      </c>
      <c r="CE41" s="62">
        <f t="shared" si="40"/>
        <v>261.95434270986397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6.8</v>
      </c>
      <c r="CT41" s="13">
        <f>IF('Données projet'!$A$140&gt;35,CT40+CS41-DB40,IF(A41&lt;'Données projet'!$A$140,$CQ$205^A41,IF(A41='Données projet'!$A$140,'Données projet'!$B$140,CT40+CS41-DB40)))</f>
        <v>136.40000000000003</v>
      </c>
      <c r="CU41" s="18">
        <f>CT41*VLOOKUP('Données projet'!$B$13,Paramètres!$A$1:$I$89,3,0)*VLOOKUP('Données projet'!$B$13,Paramètres!$A$1:$I$89,5,0)</f>
        <v>110.64768000000005</v>
      </c>
      <c r="CV41" s="14">
        <f t="shared" si="41"/>
        <v>29.483530853816099</v>
      </c>
      <c r="CW41" s="22">
        <f t="shared" si="13"/>
        <v>244.06185890372981</v>
      </c>
      <c r="CX41" s="62">
        <f t="shared" si="14"/>
        <v>537.39519223706316</v>
      </c>
      <c r="CY41" s="62">
        <f ca="1">AVERAGE(OFFSET($CX$3,0,0,'Données projet'!$E$13+1,1))-AVERAGE(OFFSET($H$3,0,0,'Données projet'!$E$13+1,1))</f>
        <v>293.51866463276224</v>
      </c>
      <c r="CZ41" s="62">
        <f t="shared" si="42"/>
        <v>232.78663842203713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6.2</v>
      </c>
      <c r="N42" s="14">
        <f>IF('Données projet'!$A$36&gt;35,N41+M42-V41,IF(A42&lt;'Données projet'!$A$36,$K$205^A42,IF(A42='Données projet'!$A$36,'Données projet'!$B$36,N41+M42-V41)))</f>
        <v>123.80000000000003</v>
      </c>
      <c r="O42" s="14">
        <f>N42*VLOOKUP('Données projet'!$B$9,Paramètres!$A$1:$I$89,3,0)*VLOOKUP('Données projet'!$B$9,Paramètres!$A$1:$I$89,5,0)</f>
        <v>108.15168000000003</v>
      </c>
      <c r="P42" s="14">
        <f t="shared" si="33"/>
        <v>28.895077410060392</v>
      </c>
      <c r="Q42" s="22">
        <f t="shared" si="53"/>
        <v>238.68976915585526</v>
      </c>
      <c r="R42" s="62">
        <f t="shared" si="0"/>
        <v>532.02310248918855</v>
      </c>
      <c r="S42" s="62">
        <f ca="1">AVERAGE(OFFSET($R$3,0,0,'Données projet'!$E$9+1,1))-AVERAGE(OFFSET($H$3,0,0,'Données projet'!$E$9+1,1))</f>
        <v>239.16843440041487</v>
      </c>
      <c r="T42" s="62">
        <f t="shared" si="34"/>
        <v>241.82319822554194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3.7005751422189537</v>
      </c>
      <c r="AB42" s="23">
        <f>EXP(-LN(2)/2)*AB41+(1-EXP(-LN(2)/2))/(LN(2)/2)*V42*Y42*VLOOKUP('Données projet'!$B$9,Paramètres!$A$1:$I$89,3,0)*0.475*44/12</f>
        <v>0</v>
      </c>
      <c r="AC42" s="24">
        <f t="shared" si="3"/>
        <v>3.7005751422189537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13.2</v>
      </c>
      <c r="AI42" s="14">
        <f>IF('Données projet'!$A$62&gt;35,AI41+AH42-AQ41,IF(A42&lt;'Données projet'!$A$62,$AF$205^A42,IF(A42='Données projet'!$A$62,'Données projet'!$B$62,AI41+AH42-AQ41)))</f>
        <v>249.79999999999995</v>
      </c>
      <c r="AJ42" s="14">
        <f>AI42*VLOOKUP('Données projet'!$B$10,Paramètres!$A$1:$I$89,3,0)*VLOOKUP('Données projet'!$B$10,Paramètres!$A$1:$I$89,5,0)</f>
        <v>183.15335999999996</v>
      </c>
      <c r="AK42" s="14">
        <f t="shared" si="35"/>
        <v>46.023039984246878</v>
      </c>
      <c r="AL42" s="22">
        <f t="shared" si="4"/>
        <v>399.14889663922986</v>
      </c>
      <c r="AM42" s="62">
        <f t="shared" si="5"/>
        <v>692.48222997256312</v>
      </c>
      <c r="AN42" s="62">
        <f ca="1">AVERAGE(OFFSET($AM$3,0,0,'Données projet'!$E$10+1,1))-AVERAGE(OFFSET($H$3,0,0,'Données projet'!$E$10+1,1))</f>
        <v>376.5422416541544</v>
      </c>
      <c r="AO42" s="62">
        <f t="shared" si="36"/>
        <v>365.76175372075869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6.4470289496486082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6.4470289496486082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28</v>
      </c>
      <c r="BD42" s="13">
        <f>IF('Données projet'!$A$88&gt;35,BD41+BC42-BL41,IF(A42&lt;'Données projet'!$A$88,$BA$205^A42,IF(A42='Données projet'!$A$88,'Données projet'!$B$88,BD41+BC42-BL41)))</f>
        <v>498</v>
      </c>
      <c r="BE42" s="14">
        <f>BD42*VLOOKUP('Données projet'!$B$11,Paramètres!$A$1:$I$89,3,0)*VLOOKUP('Données projet'!$B$11,Paramètres!$A$1:$I$89,5,0)</f>
        <v>278.38200000000001</v>
      </c>
      <c r="BF42" s="14">
        <f t="shared" si="37"/>
        <v>66.624963725642488</v>
      </c>
      <c r="BG42" s="22">
        <f t="shared" si="7"/>
        <v>600.88712848882722</v>
      </c>
      <c r="BH42" s="62">
        <f t="shared" si="8"/>
        <v>894.22046182216059</v>
      </c>
      <c r="BI42" s="62">
        <f ca="1">AVERAGE(OFFSET($BH$3,0,0,'Données projet'!$E$11+1,1))-AVERAGE(OFFSET($H$3,0,0,'Données projet'!$E$11+1,1))</f>
        <v>405.13433810198853</v>
      </c>
      <c r="BJ42" s="62">
        <f t="shared" si="38"/>
        <v>534.74398214162079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6.9106702111659546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1.6992553614593289</v>
      </c>
      <c r="BS42" s="24">
        <f t="shared" si="9"/>
        <v>8.6099255726252828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11.2</v>
      </c>
      <c r="BY42" s="13">
        <f>IF('Données projet'!$A$114&gt;35,BY41+BX42-CG41,IF(A42&lt;'Données projet'!$A$114,$BV$205^A42,IF(A42='Données projet'!$A$114,'Données projet'!$B$114,BY41+BX42-CG41)))</f>
        <v>163.80000000000001</v>
      </c>
      <c r="BZ42" s="14">
        <f>BY42*VLOOKUP('Données projet'!$B$12,Paramètres!$A$1:$I$89,3,0)*VLOOKUP('Données projet'!$B$12,Paramètres!$A$1:$I$89,5,0)</f>
        <v>137.98512000000002</v>
      </c>
      <c r="CA42" s="14">
        <f t="shared" si="39"/>
        <v>35.835036067646342</v>
      </c>
      <c r="CB42" s="22">
        <f t="shared" si="10"/>
        <v>302.73677181781744</v>
      </c>
      <c r="CC42" s="62">
        <f t="shared" si="11"/>
        <v>596.07010515115076</v>
      </c>
      <c r="CD42" s="62">
        <f ca="1">AVERAGE(OFFSET($CC$3,0,0,'Données projet'!$E$12+1,1))-AVERAGE(OFFSET($H$3,0,0,'Données projet'!$E$12+1,1))</f>
        <v>411.60020200960821</v>
      </c>
      <c r="CE42" s="62">
        <f t="shared" si="40"/>
        <v>261.95434270986397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6.8</v>
      </c>
      <c r="CT42" s="13">
        <f>IF('Données projet'!$A$140&gt;35,CT41+CS42-DB41,IF(A42&lt;'Données projet'!$A$140,$CQ$205^A42,IF(A42='Données projet'!$A$140,'Données projet'!$B$140,CT41+CS42-DB41)))</f>
        <v>143.20000000000005</v>
      </c>
      <c r="CU42" s="18">
        <f>CT42*VLOOKUP('Données projet'!$B$13,Paramètres!$A$1:$I$89,3,0)*VLOOKUP('Données projet'!$B$13,Paramètres!$A$1:$I$89,5,0)</f>
        <v>116.16384000000005</v>
      </c>
      <c r="CV42" s="14">
        <f t="shared" si="41"/>
        <v>30.778593163150717</v>
      </c>
      <c r="CW42" s="22">
        <f t="shared" si="13"/>
        <v>255.92473775915428</v>
      </c>
      <c r="CX42" s="62">
        <f t="shared" si="14"/>
        <v>549.25807109248763</v>
      </c>
      <c r="CY42" s="62">
        <f ca="1">AVERAGE(OFFSET($CX$3,0,0,'Données projet'!$E$13+1,1))-AVERAGE(OFFSET($H$3,0,0,'Données projet'!$E$13+1,1))</f>
        <v>293.51866463276224</v>
      </c>
      <c r="CZ42" s="62">
        <f t="shared" si="42"/>
        <v>232.78663842203713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130</v>
      </c>
      <c r="L43" s="13">
        <f>VLOOKUP(A43,'Données projet'!$A$35:$I$55,9,0)</f>
        <v>6.2</v>
      </c>
      <c r="M43" s="13">
        <f t="array" ref="M43">INDEX(L:L,MIN(IF(ISNUMBER(L43:L239),ROW(L43:L239),"")))</f>
        <v>6.2</v>
      </c>
      <c r="N43" s="14">
        <f>IF('Données projet'!$A$36&gt;35,N42+M43-V42,IF(A43&lt;'Données projet'!$A$36,$K$205^A43,IF(A43='Données projet'!$A$36,'Données projet'!$B$36,N42+M43-V42)))</f>
        <v>130.00000000000003</v>
      </c>
      <c r="O43" s="14">
        <f>N43*VLOOKUP('Données projet'!$B$9,Paramètres!$A$1:$I$89,3,0)*VLOOKUP('Données projet'!$B$9,Paramètres!$A$1:$I$89,5,0)</f>
        <v>113.56800000000004</v>
      </c>
      <c r="P43" s="14">
        <f t="shared" si="33"/>
        <v>30.17006506205821</v>
      </c>
      <c r="Q43" s="22">
        <f t="shared" si="53"/>
        <v>250.34379664975143</v>
      </c>
      <c r="R43" s="62">
        <f t="shared" si="0"/>
        <v>543.6771299830848</v>
      </c>
      <c r="S43" s="62">
        <f ca="1">AVERAGE(OFFSET($R$3,0,0,'Données projet'!$E$9+1,1))-AVERAGE(OFFSET($H$3,0,0,'Données projet'!$E$9+1,1))</f>
        <v>239.16843440041487</v>
      </c>
      <c r="T43" s="62">
        <f t="shared" si="34"/>
        <v>241.82319822554194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19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3.5993827203501874</v>
      </c>
      <c r="AB43" s="23">
        <f>EXP(-LN(2)/2)*AB42+(1-EXP(-LN(2)/2))/(LN(2)/2)*V43*Y43*VLOOKUP('Données projet'!$B$9,Paramètres!$A$1:$I$89,3,0)*0.475*44/12</f>
        <v>0</v>
      </c>
      <c r="AC43" s="24">
        <f t="shared" si="3"/>
        <v>3.5993827203501874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263</v>
      </c>
      <c r="AG43" s="13">
        <f>VLOOKUP(A43,'Données projet'!$A$61:$I$81,9,0)</f>
        <v>13.2</v>
      </c>
      <c r="AH43" s="13">
        <f t="array" ref="AH43">INDEX(AG:AG,MIN(IF(ISNUMBER(AG43:AG239),ROW(AG43:AG239),"")))</f>
        <v>13.2</v>
      </c>
      <c r="AI43" s="14">
        <f>IF('Données projet'!$A$62&gt;35,AI42+AH43-AQ42,IF(A43&lt;'Données projet'!$A$62,$AF$205^A43,IF(A43='Données projet'!$A$62,'Données projet'!$B$62,AI42+AH43-AQ42)))</f>
        <v>262.99999999999994</v>
      </c>
      <c r="AJ43" s="14">
        <f>AI43*VLOOKUP('Données projet'!$B$10,Paramètres!$A$1:$I$89,3,0)*VLOOKUP('Données projet'!$B$10,Paramètres!$A$1:$I$89,5,0)</f>
        <v>192.83159999999995</v>
      </c>
      <c r="AK43" s="14">
        <f t="shared" si="35"/>
        <v>48.165439402688818</v>
      </c>
      <c r="AL43" s="22">
        <f t="shared" si="4"/>
        <v>419.73651029301618</v>
      </c>
      <c r="AM43" s="62">
        <f t="shared" si="5"/>
        <v>713.06984362634944</v>
      </c>
      <c r="AN43" s="62">
        <f ca="1">AVERAGE(OFFSET($AM$3,0,0,'Données projet'!$E$10+1,1))-AVERAGE(OFFSET($H$3,0,0,'Données projet'!$E$10+1,1))</f>
        <v>376.5422416541544</v>
      </c>
      <c r="AO43" s="62">
        <f t="shared" si="36"/>
        <v>365.76175372075869</v>
      </c>
      <c r="AP43" s="16">
        <f>IF(ISNA(VLOOKUP(A43,'Données projet'!$A$61:$I$81,3,0)),0,VLOOKUP(A43,'Données projet'!$A$61:$I$81,3,0))</f>
        <v>7</v>
      </c>
      <c r="AQ43" s="16">
        <f>IF(ISNA(VLOOKUP(A43,'Données projet'!$A$61:$I$81,4,0)),0,VLOOKUP(A43,'Données projet'!$A$61:$I$81,4,0))</f>
        <v>40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6.3206066442453759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6.3206066442453759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526</v>
      </c>
      <c r="BB43" s="13">
        <f>VLOOKUP(A43,'Données projet'!$A$87:$I$107,9,0)</f>
        <v>28</v>
      </c>
      <c r="BC43" s="13">
        <f t="array" ref="BC43">INDEX(BB:BB,MIN(IF(ISNUMBER(BB43:BB239),ROW(BB43:BB239),"")))</f>
        <v>28</v>
      </c>
      <c r="BD43" s="13">
        <f>IF('Données projet'!$A$88&gt;35,BD42+BC43-BL42,IF(A43&lt;'Données projet'!$A$88,$BA$205^A43,IF(A43='Données projet'!$A$88,'Données projet'!$B$88,BD42+BC43-BL42)))</f>
        <v>526</v>
      </c>
      <c r="BE43" s="14">
        <f>BD43*VLOOKUP('Données projet'!$B$11,Paramètres!$A$1:$I$89,3,0)*VLOOKUP('Données projet'!$B$11,Paramètres!$A$1:$I$89,5,0)</f>
        <v>294.03399999999999</v>
      </c>
      <c r="BF43" s="14">
        <f t="shared" si="37"/>
        <v>69.924302323873434</v>
      </c>
      <c r="BG43" s="22">
        <f t="shared" si="7"/>
        <v>633.89404321407949</v>
      </c>
      <c r="BH43" s="62">
        <f t="shared" si="8"/>
        <v>927.22737654741286</v>
      </c>
      <c r="BI43" s="62">
        <f ca="1">AVERAGE(OFFSET($BH$3,0,0,'Données projet'!$E$11+1,1))-AVERAGE(OFFSET($H$3,0,0,'Données projet'!$E$11+1,1))</f>
        <v>405.13433810198853</v>
      </c>
      <c r="BJ43" s="62">
        <f t="shared" si="38"/>
        <v>534.74398214162079</v>
      </c>
      <c r="BK43" s="16">
        <f>IF(ISNA(VLOOKUP(A43,'Données projet'!$A$87:$I$107,3,0)),0,VLOOKUP(A43,'Données projet'!$A$87:$I$107,3,0))</f>
        <v>13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6.7751561834176135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1.2015549890554895</v>
      </c>
      <c r="BS43" s="24">
        <f t="shared" si="9"/>
        <v>7.9767111724731032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175</v>
      </c>
      <c r="BW43" s="13">
        <f>VLOOKUP(A43,'Données projet'!$A$113:$I$133,9,0)</f>
        <v>11.2</v>
      </c>
      <c r="BX43" s="13">
        <f t="array" ref="BX43">INDEX(BW:BW,MIN(IF(ISNUMBER(BW43:BW239),ROW(BW43:BW239),"")))</f>
        <v>11.2</v>
      </c>
      <c r="BY43" s="13">
        <f>IF('Données projet'!$A$114&gt;35,BY42+BX43-CG42,IF(A43&lt;'Données projet'!$A$114,$BV$205^A43,IF(A43='Données projet'!$A$114,'Données projet'!$B$114,BY42+BX43-CG42)))</f>
        <v>175</v>
      </c>
      <c r="BZ43" s="14">
        <f>BY43*VLOOKUP('Données projet'!$B$12,Paramètres!$A$1:$I$89,3,0)*VLOOKUP('Données projet'!$B$12,Paramètres!$A$1:$I$89,5,0)</f>
        <v>147.42000000000002</v>
      </c>
      <c r="CA43" s="14">
        <f t="shared" si="39"/>
        <v>37.991680647570291</v>
      </c>
      <c r="CB43" s="22">
        <f t="shared" si="10"/>
        <v>322.92534379451826</v>
      </c>
      <c r="CC43" s="62">
        <f t="shared" si="11"/>
        <v>616.25867712785157</v>
      </c>
      <c r="CD43" s="62">
        <f ca="1">AVERAGE(OFFSET($CC$3,0,0,'Données projet'!$E$12+1,1))-AVERAGE(OFFSET($H$3,0,0,'Données projet'!$E$12+1,1))</f>
        <v>411.60020200960821</v>
      </c>
      <c r="CE43" s="62">
        <f t="shared" si="40"/>
        <v>261.95434270986397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28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150</v>
      </c>
      <c r="CR43" s="13">
        <f>VLOOKUP(A43,'Données projet'!$A$139:$I$159,9,0)</f>
        <v>6.8</v>
      </c>
      <c r="CS43" s="13">
        <f t="array" ref="CS43">INDEX(CR:CR,MIN(IF(ISNUMBER(CR43:CR239),ROW(CR43:CR239),"")))</f>
        <v>6.8</v>
      </c>
      <c r="CT43" s="13">
        <f>IF('Données projet'!$A$140&gt;35,CT42+CS43-DB42,IF(A43&lt;'Données projet'!$A$140,$CQ$205^A43,IF(A43='Données projet'!$A$140,'Données projet'!$B$140,CT42+CS43-DB42)))</f>
        <v>150.00000000000006</v>
      </c>
      <c r="CU43" s="18">
        <f>CT43*VLOOKUP('Données projet'!$B$13,Paramètres!$A$1:$I$89,3,0)*VLOOKUP('Données projet'!$B$13,Paramètres!$A$1:$I$89,5,0)</f>
        <v>121.68000000000005</v>
      </c>
      <c r="CV43" s="14">
        <f t="shared" si="41"/>
        <v>32.066514091456284</v>
      </c>
      <c r="CW43" s="22">
        <f t="shared" si="13"/>
        <v>267.77517870928642</v>
      </c>
      <c r="CX43" s="62">
        <f t="shared" si="14"/>
        <v>561.10851204261974</v>
      </c>
      <c r="CY43" s="62">
        <f ca="1">AVERAGE(OFFSET($CX$3,0,0,'Données projet'!$E$13+1,1))-AVERAGE(OFFSET($H$3,0,0,'Données projet'!$E$13+1,1))</f>
        <v>293.51866463276224</v>
      </c>
      <c r="CZ43" s="62">
        <f t="shared" si="42"/>
        <v>232.78663842203713</v>
      </c>
      <c r="DA43" s="16">
        <f>IF(ISNA(VLOOKUP(A43,'Données projet'!$A$139:$I$159,3,0)),0,VLOOKUP(A43,'Données projet'!$A$139:$I$159,3,0))</f>
        <v>6</v>
      </c>
      <c r="DB43" s="16">
        <f>IF(ISNA(VLOOKUP(A43,'Données projet'!$A$139:$I$159,4,0)),0,VLOOKUP(A43,'Données projet'!$A$139:$I$159,4,0))</f>
        <v>16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5.4</v>
      </c>
      <c r="N44" s="14">
        <f>IF('Données projet'!$A$36&gt;35,N43+M44-V43,IF(A44&lt;'Données projet'!$A$36,$K$205^A44,IF(A44='Données projet'!$A$36,'Données projet'!$B$36,N43+M44-V43)))</f>
        <v>116.40000000000003</v>
      </c>
      <c r="O44" s="14">
        <f>N44*VLOOKUP('Données projet'!$B$9,Paramètres!$A$1:$I$89,3,0)*VLOOKUP('Données projet'!$B$9,Paramètres!$A$1:$I$89,5,0)</f>
        <v>101.68704000000004</v>
      </c>
      <c r="P44" s="14">
        <f t="shared" si="33"/>
        <v>27.363519398004563</v>
      </c>
      <c r="Q44" s="22">
        <f t="shared" si="53"/>
        <v>224.76305761819131</v>
      </c>
      <c r="R44" s="62">
        <f t="shared" si="0"/>
        <v>518.09639095152465</v>
      </c>
      <c r="S44" s="62">
        <f ca="1">AVERAGE(OFFSET($R$3,0,0,'Données projet'!$E$9+1,1))-AVERAGE(OFFSET($H$3,0,0,'Données projet'!$E$9+1,1))</f>
        <v>239.16843440041487</v>
      </c>
      <c r="T44" s="62">
        <f t="shared" si="34"/>
        <v>241.82319822554194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3.5009574105789008</v>
      </c>
      <c r="AB44" s="23">
        <f>EXP(-LN(2)/2)*AB43+(1-EXP(-LN(2)/2))/(LN(2)/2)*V44*Y44*VLOOKUP('Données projet'!$B$9,Paramètres!$A$1:$I$89,3,0)*0.475*44/12</f>
        <v>0</v>
      </c>
      <c r="AC44" s="24">
        <f t="shared" si="3"/>
        <v>3.5009574105789008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IF('Données projet'!$A$62&gt;35,AI43+AH44-AQ43,IF(A44&lt;'Données projet'!$A$62,$AF$205^A44,IF(A44='Données projet'!$A$62,'Données projet'!$B$62,AI43+AH44-AQ43)))</f>
        <v>234.39999999999992</v>
      </c>
      <c r="AJ44" s="14">
        <f>AI44*VLOOKUP('Données projet'!$B$10,Paramètres!$A$1:$I$89,3,0)*VLOOKUP('Données projet'!$B$10,Paramètres!$A$1:$I$89,5,0)</f>
        <v>171.86207999999993</v>
      </c>
      <c r="AK44" s="14">
        <f t="shared" si="35"/>
        <v>43.506802778694762</v>
      </c>
      <c r="AL44" s="22">
        <f t="shared" si="4"/>
        <v>375.10080417289322</v>
      </c>
      <c r="AM44" s="62">
        <f t="shared" si="5"/>
        <v>668.43413750622653</v>
      </c>
      <c r="AN44" s="62">
        <f ca="1">AVERAGE(OFFSET($AM$3,0,0,'Données projet'!$E$10+1,1))-AVERAGE(OFFSET($H$3,0,0,'Données projet'!$E$10+1,1))</f>
        <v>376.5422416541544</v>
      </c>
      <c r="AO44" s="62">
        <f t="shared" si="36"/>
        <v>365.76175372075869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6.196663403141109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6.196663403141109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29</v>
      </c>
      <c r="BD44" s="13">
        <f>IF('Données projet'!$A$88&gt;35,BD43+BC44-BL43,IF(A44&lt;'Données projet'!$A$88,$BA$205^A44,IF(A44='Données projet'!$A$88,'Données projet'!$B$88,BD43+BC44-BL43)))</f>
        <v>555</v>
      </c>
      <c r="BE44" s="14">
        <f>BD44*VLOOKUP('Données projet'!$B$11,Paramètres!$A$1:$I$89,3,0)*VLOOKUP('Données projet'!$B$11,Paramètres!$A$1:$I$89,5,0)</f>
        <v>310.245</v>
      </c>
      <c r="BF44" s="14">
        <f t="shared" si="37"/>
        <v>73.319993570281667</v>
      </c>
      <c r="BG44" s="22">
        <f t="shared" si="7"/>
        <v>668.04236380157397</v>
      </c>
      <c r="BH44" s="62">
        <f t="shared" si="8"/>
        <v>961.37569713490734</v>
      </c>
      <c r="BI44" s="62">
        <f ca="1">AVERAGE(OFFSET($BH$3,0,0,'Données projet'!$E$11+1,1))-AVERAGE(OFFSET($H$3,0,0,'Données projet'!$E$11+1,1))</f>
        <v>405.13433810198853</v>
      </c>
      <c r="BJ44" s="62">
        <f t="shared" si="38"/>
        <v>534.74398214162079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6.6422995030980214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0.84962768072966455</v>
      </c>
      <c r="BS44" s="24">
        <f t="shared" si="9"/>
        <v>7.491927183827686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11.4</v>
      </c>
      <c r="BY44" s="13">
        <f>IF('Données projet'!$A$114&gt;35,BY43+BX44-CG43,IF(A44&lt;'Données projet'!$A$114,$BV$205^A44,IF(A44='Données projet'!$A$114,'Données projet'!$B$114,BY43+BX44-CG43)))</f>
        <v>158.4</v>
      </c>
      <c r="BZ44" s="14">
        <f>BY44*VLOOKUP('Données projet'!$B$12,Paramètres!$A$1:$I$89,3,0)*VLOOKUP('Données projet'!$B$12,Paramètres!$A$1:$I$89,5,0)</f>
        <v>133.43616000000003</v>
      </c>
      <c r="CA44" s="14">
        <f t="shared" si="39"/>
        <v>34.789145432008958</v>
      </c>
      <c r="CB44" s="22">
        <f t="shared" si="10"/>
        <v>292.99240696074895</v>
      </c>
      <c r="CC44" s="62">
        <f t="shared" si="11"/>
        <v>586.32574029408227</v>
      </c>
      <c r="CD44" s="62">
        <f ca="1">AVERAGE(OFFSET($CC$3,0,0,'Données projet'!$E$12+1,1))-AVERAGE(OFFSET($H$3,0,0,'Données projet'!$E$12+1,1))</f>
        <v>411.60020200960821</v>
      </c>
      <c r="CE44" s="62">
        <f t="shared" si="40"/>
        <v>261.95434270986397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7</v>
      </c>
      <c r="CT44" s="13">
        <f>IF('Données projet'!$A$140&gt;35,CT43+CS44-DB43,IF(A44&lt;'Données projet'!$A$140,$CQ$205^A44,IF(A44='Données projet'!$A$140,'Données projet'!$B$140,CT43+CS44-DB43)))</f>
        <v>141.00000000000006</v>
      </c>
      <c r="CU44" s="18">
        <f>CT44*VLOOKUP('Données projet'!$B$13,Paramètres!$A$1:$I$89,3,0)*VLOOKUP('Données projet'!$B$13,Paramètres!$A$1:$I$89,5,0)</f>
        <v>114.37920000000005</v>
      </c>
      <c r="CV44" s="14">
        <f t="shared" si="41"/>
        <v>30.360402323573549</v>
      </c>
      <c r="CW44" s="22">
        <f t="shared" si="13"/>
        <v>252.08814071355732</v>
      </c>
      <c r="CX44" s="62">
        <f t="shared" si="14"/>
        <v>545.42147404689058</v>
      </c>
      <c r="CY44" s="62">
        <f ca="1">AVERAGE(OFFSET($CX$3,0,0,'Données projet'!$E$13+1,1))-AVERAGE(OFFSET($H$3,0,0,'Données projet'!$E$13+1,1))</f>
        <v>293.51866463276224</v>
      </c>
      <c r="CZ44" s="62">
        <f t="shared" si="42"/>
        <v>232.78663842203713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5.4</v>
      </c>
      <c r="N45" s="14">
        <f>IF('Données projet'!$A$36&gt;35,N44+M45-V44,IF(A45&lt;'Données projet'!$A$36,$K$205^A45,IF(A45='Données projet'!$A$36,'Données projet'!$B$36,N44+M45-V44)))</f>
        <v>121.80000000000004</v>
      </c>
      <c r="O45" s="14">
        <f>N45*VLOOKUP('Données projet'!$B$9,Paramètres!$A$1:$I$89,3,0)*VLOOKUP('Données projet'!$B$9,Paramètres!$A$1:$I$89,5,0)</f>
        <v>106.40448000000005</v>
      </c>
      <c r="P45" s="14">
        <f t="shared" si="33"/>
        <v>28.482220519479547</v>
      </c>
      <c r="Q45" s="22">
        <f t="shared" si="53"/>
        <v>234.92767007142697</v>
      </c>
      <c r="R45" s="62">
        <f t="shared" si="0"/>
        <v>528.26100340476023</v>
      </c>
      <c r="S45" s="62">
        <f ca="1">AVERAGE(OFFSET($R$3,0,0,'Données projet'!$E$9+1,1))-AVERAGE(OFFSET($H$3,0,0,'Données projet'!$E$9+1,1))</f>
        <v>239.16843440041487</v>
      </c>
      <c r="T45" s="62">
        <f t="shared" si="34"/>
        <v>241.82319822554194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3.4052235460792719</v>
      </c>
      <c r="AB45" s="23">
        <f>EXP(-LN(2)/2)*AB44+(1-EXP(-LN(2)/2))/(LN(2)/2)*V45*Y45*VLOOKUP('Données projet'!$B$9,Paramètres!$A$1:$I$89,3,0)*0.475*44/12</f>
        <v>0</v>
      </c>
      <c r="AC45" s="24">
        <f t="shared" si="3"/>
        <v>3.4052235460792719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IF('Données projet'!$A$62&gt;35,AI44+AH45-AQ44,IF(A45&lt;'Données projet'!$A$62,$AF$205^A45,IF(A45='Données projet'!$A$62,'Données projet'!$B$62,AI44+AH45-AQ44)))</f>
        <v>245.79999999999993</v>
      </c>
      <c r="AJ45" s="14">
        <f>AI45*VLOOKUP('Données projet'!$B$10,Paramètres!$A$1:$I$89,3,0)*VLOOKUP('Données projet'!$B$10,Paramètres!$A$1:$I$89,5,0)</f>
        <v>180.22055999999992</v>
      </c>
      <c r="AK45" s="14">
        <f t="shared" si="35"/>
        <v>45.371253205145926</v>
      </c>
      <c r="AL45" s="22">
        <f t="shared" si="4"/>
        <v>392.90574133229569</v>
      </c>
      <c r="AM45" s="62">
        <f t="shared" si="5"/>
        <v>686.239074665629</v>
      </c>
      <c r="AN45" s="62">
        <f ca="1">AVERAGE(OFFSET($AM$3,0,0,'Données projet'!$E$10+1,1))-AVERAGE(OFFSET($H$3,0,0,'Données projet'!$E$10+1,1))</f>
        <v>376.5422416541544</v>
      </c>
      <c r="AO45" s="62">
        <f t="shared" si="36"/>
        <v>365.76175372075869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6.0751506133969837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6.0751506133969837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>
        <f>VLOOKUP(A45,'Données projet'!$A$87:$I$107,2,0)</f>
        <v>584</v>
      </c>
      <c r="BB45" s="13">
        <f>VLOOKUP(A45,'Données projet'!$A$87:$I$107,9,0)</f>
        <v>29</v>
      </c>
      <c r="BC45" s="13">
        <f t="array" ref="BC45">INDEX(BB:BB,MIN(IF(ISNUMBER(BB45:BB241),ROW(BB45:BB241),"")))</f>
        <v>29</v>
      </c>
      <c r="BD45" s="13">
        <f>IF('Données projet'!$A$88&gt;35,BD44+BC45-BL44,IF(A45&lt;'Données projet'!$A$88,$BA$205^A45,IF(A45='Données projet'!$A$88,'Données projet'!$B$88,BD44+BC45-BL44)))</f>
        <v>584</v>
      </c>
      <c r="BE45" s="14">
        <f>BD45*VLOOKUP('Données projet'!$B$11,Paramètres!$A$1:$I$89,3,0)*VLOOKUP('Données projet'!$B$11,Paramètres!$A$1:$I$89,5,0)</f>
        <v>326.45600000000002</v>
      </c>
      <c r="BF45" s="14">
        <f t="shared" si="37"/>
        <v>76.695084456440824</v>
      </c>
      <c r="BG45" s="22">
        <f t="shared" si="7"/>
        <v>702.15480542830119</v>
      </c>
      <c r="BH45" s="62">
        <f t="shared" si="8"/>
        <v>995.48813876163445</v>
      </c>
      <c r="BI45" s="62">
        <f ca="1">AVERAGE(OFFSET($BH$3,0,0,'Données projet'!$E$11+1,1))-AVERAGE(OFFSET($H$3,0,0,'Données projet'!$E$11+1,1))</f>
        <v>405.13433810198853</v>
      </c>
      <c r="BJ45" s="62">
        <f t="shared" si="38"/>
        <v>534.74398214162079</v>
      </c>
      <c r="BK45" s="16">
        <f>IF(ISNA(VLOOKUP(A45,'Données projet'!$A$87:$I$107,3,0)),0,VLOOKUP(A45,'Données projet'!$A$87:$I$107,3,0))</f>
        <v>14</v>
      </c>
      <c r="BL45" s="16">
        <f>IF(ISNA(VLOOKUP(A45,'Données projet'!$A$87:$I$107,4,0)),0,VLOOKUP(A45,'Données projet'!$A$87:$I$107,4,0))</f>
        <v>91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6.512048061244923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0.60077749452774476</v>
      </c>
      <c r="BS45" s="24">
        <f t="shared" si="9"/>
        <v>7.1128255557726678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11.4</v>
      </c>
      <c r="BY45" s="13">
        <f>IF('Données projet'!$A$114&gt;35,BY44+BX45-CG44,IF(A45&lt;'Données projet'!$A$114,$BV$205^A45,IF(A45='Données projet'!$A$114,'Données projet'!$B$114,BY44+BX45-CG44)))</f>
        <v>169.8</v>
      </c>
      <c r="BZ45" s="14">
        <f>BY45*VLOOKUP('Données projet'!$B$12,Paramètres!$A$1:$I$89,3,0)*VLOOKUP('Données projet'!$B$12,Paramètres!$A$1:$I$89,5,0)</f>
        <v>143.03952000000001</v>
      </c>
      <c r="CA45" s="14">
        <f t="shared" si="39"/>
        <v>36.992444033168439</v>
      </c>
      <c r="CB45" s="22">
        <f t="shared" si="10"/>
        <v>313.55567069110168</v>
      </c>
      <c r="CC45" s="62">
        <f t="shared" si="11"/>
        <v>606.88900402443505</v>
      </c>
      <c r="CD45" s="62">
        <f ca="1">AVERAGE(OFFSET($CC$3,0,0,'Données projet'!$E$12+1,1))-AVERAGE(OFFSET($H$3,0,0,'Données projet'!$E$12+1,1))</f>
        <v>411.60020200960821</v>
      </c>
      <c r="CE45" s="62">
        <f t="shared" si="40"/>
        <v>261.95434270986397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7</v>
      </c>
      <c r="CT45" s="13">
        <f>IF('Données projet'!$A$140&gt;35,CT44+CS45-DB44,IF(A45&lt;'Données projet'!$A$140,$CQ$205^A45,IF(A45='Données projet'!$A$140,'Données projet'!$B$140,CT44+CS45-DB44)))</f>
        <v>148.00000000000006</v>
      </c>
      <c r="CU45" s="18">
        <f>CT45*VLOOKUP('Données projet'!$B$13,Paramètres!$A$1:$I$89,3,0)*VLOOKUP('Données projet'!$B$13,Paramètres!$A$1:$I$89,5,0)</f>
        <v>120.05760000000006</v>
      </c>
      <c r="CV45" s="14">
        <f t="shared" si="41"/>
        <v>31.688433172991385</v>
      </c>
      <c r="CW45" s="22">
        <f t="shared" si="13"/>
        <v>264.29100777629338</v>
      </c>
      <c r="CX45" s="62">
        <f t="shared" si="14"/>
        <v>557.6243411096267</v>
      </c>
      <c r="CY45" s="62">
        <f ca="1">AVERAGE(OFFSET($CX$3,0,0,'Données projet'!$E$13+1,1))-AVERAGE(OFFSET($H$3,0,0,'Données projet'!$E$13+1,1))</f>
        <v>293.51866463276224</v>
      </c>
      <c r="CZ45" s="62">
        <f t="shared" si="42"/>
        <v>232.78663842203713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5.4</v>
      </c>
      <c r="N46" s="14">
        <f>IF('Données projet'!$A$36&gt;35,N45+M46-V45,IF(A46&lt;'Données projet'!$A$36,$K$205^A46,IF(A46='Données projet'!$A$36,'Données projet'!$B$36,N45+M46-V45)))</f>
        <v>127.20000000000005</v>
      </c>
      <c r="O46" s="14">
        <f>N46*VLOOKUP('Données projet'!$B$9,Paramètres!$A$1:$I$89,3,0)*VLOOKUP('Données projet'!$B$9,Paramètres!$A$1:$I$89,5,0)</f>
        <v>111.12192000000005</v>
      </c>
      <c r="P46" s="14">
        <f t="shared" si="33"/>
        <v>29.595161360044589</v>
      </c>
      <c r="Q46" s="22">
        <f t="shared" si="53"/>
        <v>245.08225003541108</v>
      </c>
      <c r="R46" s="62">
        <f t="shared" si="0"/>
        <v>538.41558336874436</v>
      </c>
      <c r="S46" s="62">
        <f ca="1">AVERAGE(OFFSET($R$3,0,0,'Données projet'!$E$9+1,1))-AVERAGE(OFFSET($H$3,0,0,'Données projet'!$E$9+1,1))</f>
        <v>239.16843440041487</v>
      </c>
      <c r="T46" s="62">
        <f t="shared" si="34"/>
        <v>241.82319822554194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3.3121075291388107</v>
      </c>
      <c r="AB46" s="23">
        <f>EXP(-LN(2)/2)*AB45+(1-EXP(-LN(2)/2))/(LN(2)/2)*V46*Y46*VLOOKUP('Données projet'!$B$9,Paramètres!$A$1:$I$89,3,0)*0.475*44/12</f>
        <v>0</v>
      </c>
      <c r="AC46" s="24">
        <f t="shared" si="3"/>
        <v>3.3121075291388107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IF('Données projet'!$A$62&gt;35,AI45+AH46-AQ45,IF(A46&lt;'Données projet'!$A$62,$AF$205^A46,IF(A46='Données projet'!$A$62,'Données projet'!$B$62,AI45+AH46-AQ45)))</f>
        <v>257.19999999999993</v>
      </c>
      <c r="AJ46" s="14">
        <f>AI46*VLOOKUP('Données projet'!$B$10,Paramètres!$A$1:$I$89,3,0)*VLOOKUP('Données projet'!$B$10,Paramètres!$A$1:$I$89,5,0)</f>
        <v>188.57903999999994</v>
      </c>
      <c r="AK46" s="14">
        <f t="shared" si="35"/>
        <v>47.22566164876563</v>
      </c>
      <c r="AL46" s="22">
        <f t="shared" si="4"/>
        <v>410.69318870493333</v>
      </c>
      <c r="AM46" s="62">
        <f t="shared" si="5"/>
        <v>704.02652203826665</v>
      </c>
      <c r="AN46" s="62">
        <f ca="1">AVERAGE(OFFSET($AM$3,0,0,'Données projet'!$E$10+1,1))-AVERAGE(OFFSET($H$3,0,0,'Données projet'!$E$10+1,1))</f>
        <v>376.5422416541544</v>
      </c>
      <c r="AO46" s="62">
        <f t="shared" si="36"/>
        <v>365.76175372075869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5.9560206153442579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5.9560206153442579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26.5</v>
      </c>
      <c r="BD46" s="13">
        <f>IF('Données projet'!$A$88&gt;35,BD45+BC46-BL45,IF(A46&lt;'Données projet'!$A$88,$BA$205^A46,IF(A46='Données projet'!$A$88,'Données projet'!$B$88,BD45+BC46-BL45)))</f>
        <v>519.5</v>
      </c>
      <c r="BE46" s="14">
        <f>BD46*VLOOKUP('Données projet'!$B$11,Paramètres!$A$1:$I$89,3,0)*VLOOKUP('Données projet'!$B$11,Paramètres!$A$1:$I$89,5,0)</f>
        <v>290.40050000000002</v>
      </c>
      <c r="BF46" s="14">
        <f t="shared" si="37"/>
        <v>69.160246413967556</v>
      </c>
      <c r="BG46" s="22">
        <f t="shared" si="7"/>
        <v>626.23496667099357</v>
      </c>
      <c r="BH46" s="62">
        <f t="shared" si="8"/>
        <v>919.56830000432683</v>
      </c>
      <c r="BI46" s="62">
        <f ca="1">AVERAGE(OFFSET($BH$3,0,0,'Données projet'!$E$11+1,1))-AVERAGE(OFFSET($H$3,0,0,'Données projet'!$E$11+1,1))</f>
        <v>405.13433810198853</v>
      </c>
      <c r="BJ46" s="62">
        <f t="shared" si="38"/>
        <v>534.74398214162079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6.3843507707210296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0.42481384036483227</v>
      </c>
      <c r="BS46" s="24">
        <f t="shared" si="9"/>
        <v>6.8091646110858619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11.4</v>
      </c>
      <c r="BY46" s="13">
        <f>IF('Données projet'!$A$114&gt;35,BY45+BX46-CG45,IF(A46&lt;'Données projet'!$A$114,$BV$205^A46,IF(A46='Données projet'!$A$114,'Données projet'!$B$114,BY45+BX46-CG45)))</f>
        <v>181.20000000000002</v>
      </c>
      <c r="BZ46" s="14">
        <f>BY46*VLOOKUP('Données projet'!$B$12,Paramètres!$A$1:$I$89,3,0)*VLOOKUP('Données projet'!$B$12,Paramètres!$A$1:$I$89,5,0)</f>
        <v>152.64288000000002</v>
      </c>
      <c r="CA46" s="14">
        <f t="shared" si="39"/>
        <v>39.178577703588573</v>
      </c>
      <c r="CB46" s="22">
        <f t="shared" si="10"/>
        <v>334.08903883375007</v>
      </c>
      <c r="CC46" s="62">
        <f t="shared" si="11"/>
        <v>627.42237216708338</v>
      </c>
      <c r="CD46" s="62">
        <f ca="1">AVERAGE(OFFSET($CC$3,0,0,'Données projet'!$E$12+1,1))-AVERAGE(OFFSET($H$3,0,0,'Données projet'!$E$12+1,1))</f>
        <v>411.60020200960821</v>
      </c>
      <c r="CE46" s="62">
        <f t="shared" si="40"/>
        <v>261.95434270986397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7</v>
      </c>
      <c r="CT46" s="13">
        <f>IF('Données projet'!$A$140&gt;35,CT45+CS46-DB45,IF(A46&lt;'Données projet'!$A$140,$CQ$205^A46,IF(A46='Données projet'!$A$140,'Données projet'!$B$140,CT45+CS46-DB45)))</f>
        <v>155.00000000000006</v>
      </c>
      <c r="CU46" s="18">
        <f>CT46*VLOOKUP('Données projet'!$B$13,Paramètres!$A$1:$I$89,3,0)*VLOOKUP('Données projet'!$B$13,Paramètres!$A$1:$I$89,5,0)</f>
        <v>125.73600000000006</v>
      </c>
      <c r="CV46" s="14">
        <f t="shared" si="41"/>
        <v>33.009169891820129</v>
      </c>
      <c r="CW46" s="22">
        <f t="shared" si="13"/>
        <v>276.48117089492013</v>
      </c>
      <c r="CX46" s="62">
        <f t="shared" si="14"/>
        <v>569.81450422825344</v>
      </c>
      <c r="CY46" s="62">
        <f ca="1">AVERAGE(OFFSET($CX$3,0,0,'Données projet'!$E$13+1,1))-AVERAGE(OFFSET($H$3,0,0,'Données projet'!$E$13+1,1))</f>
        <v>293.51866463276224</v>
      </c>
      <c r="CZ46" s="62">
        <f t="shared" si="42"/>
        <v>232.78663842203713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5.4</v>
      </c>
      <c r="N47" s="14">
        <f>IF('Données projet'!$A$36&gt;35,N46+M47-V46,IF(A47&lt;'Données projet'!$A$36,$K$205^A47,IF(A47='Données projet'!$A$36,'Données projet'!$B$36,N46+M47-V46)))</f>
        <v>132.60000000000005</v>
      </c>
      <c r="O47" s="14">
        <f>N47*VLOOKUP('Données projet'!$B$9,Paramètres!$A$1:$I$89,3,0)*VLOOKUP('Données projet'!$B$9,Paramètres!$A$1:$I$89,5,0)</f>
        <v>115.83936000000004</v>
      </c>
      <c r="P47" s="14">
        <f t="shared" si="33"/>
        <v>30.70261441799703</v>
      </c>
      <c r="Q47" s="22">
        <f t="shared" si="53"/>
        <v>255.22727211134486</v>
      </c>
      <c r="R47" s="62">
        <f t="shared" si="0"/>
        <v>548.56060544467823</v>
      </c>
      <c r="S47" s="62">
        <f ca="1">AVERAGE(OFFSET($R$3,0,0,'Données projet'!$E$9+1,1))-AVERAGE(OFFSET($H$3,0,0,'Données projet'!$E$9+1,1))</f>
        <v>239.16843440041487</v>
      </c>
      <c r="T47" s="62">
        <f t="shared" si="34"/>
        <v>241.82319822554194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3.2215377745783447</v>
      </c>
      <c r="AB47" s="23">
        <f>EXP(-LN(2)/2)*AB46+(1-EXP(-LN(2)/2))/(LN(2)/2)*V47*Y47*VLOOKUP('Données projet'!$B$9,Paramètres!$A$1:$I$89,3,0)*0.475*44/12</f>
        <v>0</v>
      </c>
      <c r="AC47" s="24">
        <f t="shared" si="3"/>
        <v>3.2215377745783447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IF('Données projet'!$A$62&gt;35,AI46+AH47-AQ46,IF(A47&lt;'Données projet'!$A$62,$AF$205^A47,IF(A47='Données projet'!$A$62,'Données projet'!$B$62,AI46+AH47-AQ46)))</f>
        <v>268.59999999999991</v>
      </c>
      <c r="AJ47" s="14">
        <f>AI47*VLOOKUP('Données projet'!$B$10,Paramètres!$A$1:$I$89,3,0)*VLOOKUP('Données projet'!$B$10,Paramètres!$A$1:$I$89,5,0)</f>
        <v>196.93751999999992</v>
      </c>
      <c r="AK47" s="14">
        <f t="shared" si="35"/>
        <v>49.070524066369494</v>
      </c>
      <c r="AL47" s="22">
        <f t="shared" si="4"/>
        <v>428.46401008226007</v>
      </c>
      <c r="AM47" s="62">
        <f t="shared" si="5"/>
        <v>721.79734341559333</v>
      </c>
      <c r="AN47" s="62">
        <f ca="1">AVERAGE(OFFSET($AM$3,0,0,'Données projet'!$E$10+1,1))-AVERAGE(OFFSET($H$3,0,0,'Données projet'!$E$10+1,1))</f>
        <v>376.5422416541544</v>
      </c>
      <c r="AO47" s="62">
        <f t="shared" si="36"/>
        <v>365.76175372075869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5.8392266838912219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5.8392266838912219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>
        <f>VLOOKUP(A47,'Données projet'!$A$87:$I$107,2,0)</f>
        <v>546</v>
      </c>
      <c r="BB47" s="13">
        <f>VLOOKUP(A47,'Données projet'!$A$87:$I$107,9,0)</f>
        <v>26.5</v>
      </c>
      <c r="BC47" s="13">
        <f t="array" ref="BC47">INDEX(BB:BB,MIN(IF(ISNUMBER(BB47:BB243),ROW(BB47:BB243),"")))</f>
        <v>26.5</v>
      </c>
      <c r="BD47" s="13">
        <f>IF('Données projet'!$A$88&gt;35,BD46+BC47-BL46,IF(A47&lt;'Données projet'!$A$88,$BA$205^A47,IF(A47='Données projet'!$A$88,'Données projet'!$B$88,BD46+BC47-BL46)))</f>
        <v>546</v>
      </c>
      <c r="BE47" s="14">
        <f>BD47*VLOOKUP('Données projet'!$B$11,Paramètres!$A$1:$I$89,3,0)*VLOOKUP('Données projet'!$B$11,Paramètres!$A$1:$I$89,5,0)</f>
        <v>305.214</v>
      </c>
      <c r="BF47" s="14">
        <f t="shared" si="37"/>
        <v>72.268419591231336</v>
      </c>
      <c r="BG47" s="22">
        <f t="shared" si="7"/>
        <v>657.44854745472787</v>
      </c>
      <c r="BH47" s="62">
        <f t="shared" si="8"/>
        <v>950.78188078806124</v>
      </c>
      <c r="BI47" s="62">
        <f ca="1">AVERAGE(OFFSET($BH$3,0,0,'Données projet'!$E$11+1,1))-AVERAGE(OFFSET($H$3,0,0,'Données projet'!$E$11+1,1))</f>
        <v>405.13433810198853</v>
      </c>
      <c r="BJ47" s="62">
        <f t="shared" si="38"/>
        <v>534.74398214162079</v>
      </c>
      <c r="BK47" s="16">
        <f>IF(ISNA(VLOOKUP(A47,'Données projet'!$A$87:$I$107,3,0)),0,VLOOKUP(A47,'Données projet'!$A$87:$I$107,3,0))</f>
        <v>15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6.2591575461766533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0.30038874726387238</v>
      </c>
      <c r="BS47" s="24">
        <f t="shared" si="9"/>
        <v>6.5595462934405253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11.4</v>
      </c>
      <c r="BY47" s="13">
        <f>IF('Données projet'!$A$114&gt;35,BY46+BX47-CG46,IF(A47&lt;'Données projet'!$A$114,$BV$205^A47,IF(A47='Données projet'!$A$114,'Données projet'!$B$114,BY46+BX47-CG46)))</f>
        <v>192.60000000000002</v>
      </c>
      <c r="BZ47" s="14">
        <f>BY47*VLOOKUP('Données projet'!$B$12,Paramètres!$A$1:$I$89,3,0)*VLOOKUP('Données projet'!$B$12,Paramètres!$A$1:$I$89,5,0)</f>
        <v>162.24624000000003</v>
      </c>
      <c r="CA47" s="14">
        <f t="shared" si="39"/>
        <v>41.348749290582795</v>
      </c>
      <c r="CB47" s="22">
        <f t="shared" si="10"/>
        <v>354.59460634776502</v>
      </c>
      <c r="CC47" s="62">
        <f t="shared" si="11"/>
        <v>647.92793968109834</v>
      </c>
      <c r="CD47" s="62">
        <f ca="1">AVERAGE(OFFSET($CC$3,0,0,'Données projet'!$E$12+1,1))-AVERAGE(OFFSET($H$3,0,0,'Données projet'!$E$12+1,1))</f>
        <v>411.60020200960821</v>
      </c>
      <c r="CE47" s="62">
        <f t="shared" si="40"/>
        <v>261.95434270986397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7</v>
      </c>
      <c r="CT47" s="13">
        <f>IF('Données projet'!$A$140&gt;35,CT46+CS47-DB46,IF(A47&lt;'Données projet'!$A$140,$CQ$205^A47,IF(A47='Données projet'!$A$140,'Données projet'!$B$140,CT46+CS47-DB46)))</f>
        <v>162.00000000000006</v>
      </c>
      <c r="CU47" s="18">
        <f>CT47*VLOOKUP('Données projet'!$B$13,Paramètres!$A$1:$I$89,3,0)*VLOOKUP('Données projet'!$B$13,Paramètres!$A$1:$I$89,5,0)</f>
        <v>131.41440000000006</v>
      </c>
      <c r="CV47" s="14">
        <f t="shared" si="41"/>
        <v>34.32297952601067</v>
      </c>
      <c r="CW47" s="22">
        <f t="shared" si="13"/>
        <v>288.65926934113531</v>
      </c>
      <c r="CX47" s="62">
        <f t="shared" si="14"/>
        <v>581.99260267446857</v>
      </c>
      <c r="CY47" s="62">
        <f ca="1">AVERAGE(OFFSET($CX$3,0,0,'Données projet'!$E$13+1,1))-AVERAGE(OFFSET($H$3,0,0,'Données projet'!$E$13+1,1))</f>
        <v>293.51866463276224</v>
      </c>
      <c r="CZ47" s="62">
        <f t="shared" si="42"/>
        <v>232.78663842203713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138</v>
      </c>
      <c r="L48" s="13">
        <f>VLOOKUP(A48,'Données projet'!$A$35:$I$55,9,0)</f>
        <v>5.4</v>
      </c>
      <c r="M48" s="13">
        <f t="array" ref="M48">INDEX(L:L,MIN(IF(ISNUMBER(L48:L244),ROW(L48:L244),"")))</f>
        <v>5.4</v>
      </c>
      <c r="N48" s="14">
        <f>IF('Données projet'!$A$36&gt;35,N47+M48-V47,IF(A48&lt;'Données projet'!$A$36,$K$205^A48,IF(A48='Données projet'!$A$36,'Données projet'!$B$36,N47+M48-V47)))</f>
        <v>138.00000000000006</v>
      </c>
      <c r="O48" s="14">
        <f>N48*VLOOKUP('Données projet'!$B$9,Paramètres!$A$1:$I$89,3,0)*VLOOKUP('Données projet'!$B$9,Paramètres!$A$1:$I$89,5,0)</f>
        <v>120.55680000000007</v>
      </c>
      <c r="P48" s="14">
        <f t="shared" si="33"/>
        <v>31.804828741198808</v>
      </c>
      <c r="Q48" s="22">
        <f t="shared" si="53"/>
        <v>265.36317005758804</v>
      </c>
      <c r="R48" s="62">
        <f t="shared" si="0"/>
        <v>558.69650339092141</v>
      </c>
      <c r="S48" s="62">
        <f ca="1">AVERAGE(OFFSET($R$3,0,0,'Données projet'!$E$9+1,1))-AVERAGE(OFFSET($H$3,0,0,'Données projet'!$E$9+1,1))</f>
        <v>239.16843440041487</v>
      </c>
      <c r="T48" s="62">
        <f t="shared" si="34"/>
        <v>241.82319822554194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17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3.1334446547191912</v>
      </c>
      <c r="AB48" s="23">
        <f>EXP(-LN(2)/2)*AB47+(1-EXP(-LN(2)/2))/(LN(2)/2)*V48*Y48*VLOOKUP('Données projet'!$B$9,Paramètres!$A$1:$I$89,3,0)*0.475*44/12</f>
        <v>0</v>
      </c>
      <c r="AC48" s="24">
        <f t="shared" si="3"/>
        <v>3.1334446547191912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280</v>
      </c>
      <c r="AG48" s="13">
        <f>VLOOKUP(A48,'Données projet'!$A$61:$I$81,9,0)</f>
        <v>11.4</v>
      </c>
      <c r="AH48" s="13">
        <f t="array" ref="AH48">INDEX(AG:AG,MIN(IF(ISNUMBER(AG48:AG244),ROW(AG48:AG244),"")))</f>
        <v>11.4</v>
      </c>
      <c r="AI48" s="14">
        <f>IF('Données projet'!$A$62&gt;35,AI47+AH48-AQ47,IF(A48&lt;'Données projet'!$A$62,$AF$205^A48,IF(A48='Données projet'!$A$62,'Données projet'!$B$62,AI47+AH48-AQ47)))</f>
        <v>279.99999999999989</v>
      </c>
      <c r="AJ48" s="14">
        <f>AI48*VLOOKUP('Données projet'!$B$10,Paramètres!$A$1:$I$89,3,0)*VLOOKUP('Données projet'!$B$10,Paramètres!$A$1:$I$89,5,0)</f>
        <v>205.29599999999991</v>
      </c>
      <c r="AK48" s="14">
        <f t="shared" si="35"/>
        <v>50.906291934375353</v>
      </c>
      <c r="AL48" s="22">
        <f t="shared" si="4"/>
        <v>446.21899178570357</v>
      </c>
      <c r="AM48" s="62">
        <f t="shared" si="5"/>
        <v>739.55232511903682</v>
      </c>
      <c r="AN48" s="62">
        <f ca="1">AVERAGE(OFFSET($AM$3,0,0,'Données projet'!$E$10+1,1))-AVERAGE(OFFSET($H$3,0,0,'Données projet'!$E$10+1,1))</f>
        <v>376.5422416541544</v>
      </c>
      <c r="AO48" s="62">
        <f t="shared" si="36"/>
        <v>365.76175372075869</v>
      </c>
      <c r="AP48" s="16">
        <f>IF(ISNA(VLOOKUP(A48,'Données projet'!$A$61:$I$81,3,0)),0,VLOOKUP(A48,'Données projet'!$A$61:$I$81,3,0))</f>
        <v>8</v>
      </c>
      <c r="AQ48" s="16">
        <f>IF(ISNA(VLOOKUP(A48,'Données projet'!$A$61:$I$81,4,0)),0,VLOOKUP(A48,'Données projet'!$A$61:$I$81,4,0))</f>
        <v>26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5.7247230101967155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5.7247230101967155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27</v>
      </c>
      <c r="BD48" s="13">
        <f>IF('Données projet'!$A$88&gt;35,BD47+BC48-BL47,IF(A48&lt;'Données projet'!$A$88,$BA$205^A48,IF(A48='Données projet'!$A$88,'Données projet'!$B$88,BD47+BC48-BL47)))</f>
        <v>573</v>
      </c>
      <c r="BE48" s="14">
        <f>BD48*VLOOKUP('Données projet'!$B$11,Paramètres!$A$1:$I$89,3,0)*VLOOKUP('Données projet'!$B$11,Paramètres!$A$1:$I$89,5,0)</f>
        <v>320.30700000000002</v>
      </c>
      <c r="BF48" s="14">
        <f t="shared" si="37"/>
        <v>75.417227417946748</v>
      </c>
      <c r="BG48" s="22">
        <f t="shared" si="7"/>
        <v>689.21969608625716</v>
      </c>
      <c r="BH48" s="62">
        <f t="shared" si="8"/>
        <v>982.55302941959053</v>
      </c>
      <c r="BI48" s="62">
        <f ca="1">AVERAGE(OFFSET($BH$3,0,0,'Données projet'!$E$11+1,1))-AVERAGE(OFFSET($H$3,0,0,'Données projet'!$E$11+1,1))</f>
        <v>405.13433810198853</v>
      </c>
      <c r="BJ48" s="62">
        <f t="shared" si="38"/>
        <v>534.74398214162079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6.1364192844052647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0.21240692018241614</v>
      </c>
      <c r="BS48" s="24">
        <f t="shared" si="9"/>
        <v>6.3488262045876809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204</v>
      </c>
      <c r="BW48" s="13">
        <f>VLOOKUP(A48,'Données projet'!$A$113:$I$133,9,0)</f>
        <v>11.4</v>
      </c>
      <c r="BX48" s="13">
        <f t="array" ref="BX48">INDEX(BW:BW,MIN(IF(ISNUMBER(BW48:BW244),ROW(BW48:BW244),"")))</f>
        <v>11.4</v>
      </c>
      <c r="BY48" s="13">
        <f>IF('Données projet'!$A$114&gt;35,BY47+BX48-CG47,IF(A48&lt;'Données projet'!$A$114,$BV$205^A48,IF(A48='Données projet'!$A$114,'Données projet'!$B$114,BY47+BX48-CG47)))</f>
        <v>204.00000000000003</v>
      </c>
      <c r="BZ48" s="14">
        <f>BY48*VLOOKUP('Données projet'!$B$12,Paramètres!$A$1:$I$89,3,0)*VLOOKUP('Données projet'!$B$12,Paramètres!$A$1:$I$89,5,0)</f>
        <v>171.84960000000004</v>
      </c>
      <c r="CA48" s="14">
        <f t="shared" si="39"/>
        <v>43.50401120412441</v>
      </c>
      <c r="CB48" s="22">
        <f t="shared" si="10"/>
        <v>375.07420618051674</v>
      </c>
      <c r="CC48" s="62">
        <f t="shared" si="11"/>
        <v>668.40753951385</v>
      </c>
      <c r="CD48" s="62">
        <f ca="1">AVERAGE(OFFSET($CC$3,0,0,'Données projet'!$E$12+1,1))-AVERAGE(OFFSET($H$3,0,0,'Données projet'!$E$12+1,1))</f>
        <v>411.60020200960821</v>
      </c>
      <c r="CE48" s="62">
        <f t="shared" si="40"/>
        <v>261.95434270986397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28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169</v>
      </c>
      <c r="CR48" s="13">
        <f>VLOOKUP(A48,'Données projet'!$A$139:$I$159,9,0)</f>
        <v>7</v>
      </c>
      <c r="CS48" s="13">
        <f t="array" ref="CS48">INDEX(CR:CR,MIN(IF(ISNUMBER(CR48:CR244),ROW(CR48:CR244),"")))</f>
        <v>7</v>
      </c>
      <c r="CT48" s="13">
        <f>IF('Données projet'!$A$140&gt;35,CT47+CS48-DB47,IF(A48&lt;'Données projet'!$A$140,$CQ$205^A48,IF(A48='Données projet'!$A$140,'Données projet'!$B$140,CT47+CS48-DB47)))</f>
        <v>169.00000000000006</v>
      </c>
      <c r="CU48" s="18">
        <f>CT48*VLOOKUP('Données projet'!$B$13,Paramètres!$A$1:$I$89,3,0)*VLOOKUP('Données projet'!$B$13,Paramètres!$A$1:$I$89,5,0)</f>
        <v>137.09280000000007</v>
      </c>
      <c r="CV48" s="14">
        <f t="shared" si="41"/>
        <v>35.6301956076111</v>
      </c>
      <c r="CW48" s="22">
        <f t="shared" si="13"/>
        <v>300.82588401658938</v>
      </c>
      <c r="CX48" s="62">
        <f t="shared" si="14"/>
        <v>594.15921734992276</v>
      </c>
      <c r="CY48" s="62">
        <f ca="1">AVERAGE(OFFSET($CX$3,0,0,'Données projet'!$E$13+1,1))-AVERAGE(OFFSET($H$3,0,0,'Données projet'!$E$13+1,1))</f>
        <v>293.51866463276224</v>
      </c>
      <c r="CZ48" s="62">
        <f t="shared" si="42"/>
        <v>232.78663842203713</v>
      </c>
      <c r="DA48" s="16">
        <f>IF(ISNA(VLOOKUP(A48,'Données projet'!$A$139:$I$159,3,0)),0,VLOOKUP(A48,'Données projet'!$A$139:$I$159,3,0))</f>
        <v>7</v>
      </c>
      <c r="DB48" s="16">
        <f>IF(ISNA(VLOOKUP(A48,'Données projet'!$A$139:$I$159,4,0)),0,VLOOKUP(A48,'Données projet'!$A$139:$I$159,4,0))</f>
        <v>17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4.8</v>
      </c>
      <c r="N49" s="14">
        <f>IF('Données projet'!$A$36&gt;35,N48+M49-V48,IF(A49&lt;'Données projet'!$A$36,$K$205^A49,IF(A49='Données projet'!$A$36,'Données projet'!$B$36,N48+M49-V48)))</f>
        <v>125.80000000000007</v>
      </c>
      <c r="O49" s="14">
        <f>N49*VLOOKUP('Données projet'!$B$9,Paramètres!$A$1:$I$89,3,0)*VLOOKUP('Données projet'!$B$9,Paramètres!$A$1:$I$89,5,0)</f>
        <v>109.89888000000008</v>
      </c>
      <c r="P49" s="14">
        <f t="shared" si="33"/>
        <v>29.307158636756728</v>
      </c>
      <c r="Q49" s="22">
        <f t="shared" si="53"/>
        <v>242.45051729235141</v>
      </c>
      <c r="R49" s="62">
        <f t="shared" si="0"/>
        <v>535.78385062568475</v>
      </c>
      <c r="S49" s="62">
        <f ca="1">AVERAGE(OFFSET($R$3,0,0,'Données projet'!$E$9+1,1))-AVERAGE(OFFSET($H$3,0,0,'Données projet'!$E$9+1,1))</f>
        <v>239.16843440041487</v>
      </c>
      <c r="T49" s="62">
        <f t="shared" si="34"/>
        <v>241.82319822554194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3.0477604458552019</v>
      </c>
      <c r="AB49" s="23">
        <f>EXP(-LN(2)/2)*AB48+(1-EXP(-LN(2)/2))/(LN(2)/2)*V49*Y49*VLOOKUP('Données projet'!$B$9,Paramètres!$A$1:$I$89,3,0)*0.475*44/12</f>
        <v>0</v>
      </c>
      <c r="AC49" s="24">
        <f t="shared" si="3"/>
        <v>3.0477604458552019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9.8000000000000007</v>
      </c>
      <c r="AI49" s="14">
        <f>IF('Données projet'!$A$62&gt;35,AI48+AH49-AQ48,IF(A49&lt;'Données projet'!$A$62,$AF$205^A49,IF(A49='Données projet'!$A$62,'Données projet'!$B$62,AI48+AH49-AQ48)))</f>
        <v>263.7999999999999</v>
      </c>
      <c r="AJ49" s="14">
        <f>AI49*VLOOKUP('Données projet'!$B$10,Paramètres!$A$1:$I$89,3,0)*VLOOKUP('Données projet'!$B$10,Paramètres!$A$1:$I$89,5,0)</f>
        <v>193.41815999999992</v>
      </c>
      <c r="AK49" s="14">
        <f t="shared" si="35"/>
        <v>48.294873490521283</v>
      </c>
      <c r="AL49" s="22">
        <f t="shared" si="4"/>
        <v>420.98353332932442</v>
      </c>
      <c r="AM49" s="62">
        <f t="shared" si="5"/>
        <v>714.31686666265773</v>
      </c>
      <c r="AN49" s="62">
        <f ca="1">AVERAGE(OFFSET($AM$3,0,0,'Données projet'!$E$10+1,1))-AVERAGE(OFFSET($H$3,0,0,'Données projet'!$E$10+1,1))</f>
        <v>376.5422416541544</v>
      </c>
      <c r="AO49" s="62">
        <f t="shared" si="36"/>
        <v>365.76175372075869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5.6124646837030134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5.6124646837030134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>
        <f>VLOOKUP(A49,'Données projet'!$A$87:$I$107,2,0)</f>
        <v>600</v>
      </c>
      <c r="BB49" s="13">
        <f>VLOOKUP(A49,'Données projet'!$A$87:$I$107,9,0)</f>
        <v>27</v>
      </c>
      <c r="BC49" s="13">
        <f t="array" ref="BC49">INDEX(BB:BB,MIN(IF(ISNUMBER(BB49:BB245),ROW(BB49:BB245),"")))</f>
        <v>27</v>
      </c>
      <c r="BD49" s="13">
        <f>IF('Données projet'!$A$88&gt;35,BD48+BC49-BL48,IF(A49&lt;'Données projet'!$A$88,$BA$205^A49,IF(A49='Données projet'!$A$88,'Données projet'!$B$88,BD48+BC49-BL48)))</f>
        <v>600</v>
      </c>
      <c r="BE49" s="14">
        <f>BD49*VLOOKUP('Données projet'!$B$11,Paramètres!$A$1:$I$89,3,0)*VLOOKUP('Données projet'!$B$11,Paramètres!$A$1:$I$89,5,0)</f>
        <v>335.40000000000003</v>
      </c>
      <c r="BF49" s="14">
        <f t="shared" si="37"/>
        <v>78.548805155077616</v>
      </c>
      <c r="BG49" s="22">
        <f t="shared" si="7"/>
        <v>720.96083564509354</v>
      </c>
      <c r="BH49" s="62">
        <f t="shared" si="8"/>
        <v>1014.2941689784268</v>
      </c>
      <c r="BI49" s="62">
        <f ca="1">AVERAGE(OFFSET($BH$3,0,0,'Données projet'!$E$11+1,1))-AVERAGE(OFFSET($H$3,0,0,'Données projet'!$E$11+1,1))</f>
        <v>405.13433810198853</v>
      </c>
      <c r="BJ49" s="62">
        <f t="shared" si="38"/>
        <v>534.74398214162079</v>
      </c>
      <c r="BK49" s="16">
        <f>IF(ISNA(VLOOKUP(A49,'Données projet'!$A$87:$I$107,3,0)),0,VLOOKUP(A49,'Données projet'!$A$87:$I$107,3,0))</f>
        <v>16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6.0160878450842654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0.15019437363193619</v>
      </c>
      <c r="BS49" s="24">
        <f t="shared" si="9"/>
        <v>6.1662822187162014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11</v>
      </c>
      <c r="BY49" s="13">
        <f>IF('Données projet'!$A$114&gt;35,BY48+BX49-CG48,IF(A49&lt;'Données projet'!$A$114,$BV$205^A49,IF(A49='Données projet'!$A$114,'Données projet'!$B$114,BY48+BX49-CG48)))</f>
        <v>187.00000000000003</v>
      </c>
      <c r="BZ49" s="14">
        <f>BY49*VLOOKUP('Données projet'!$B$12,Paramètres!$A$1:$I$89,3,0)*VLOOKUP('Données projet'!$B$12,Paramètres!$A$1:$I$89,5,0)</f>
        <v>157.52880000000005</v>
      </c>
      <c r="CA49" s="14">
        <f t="shared" si="39"/>
        <v>40.284625411479013</v>
      </c>
      <c r="CB49" s="22">
        <f t="shared" si="10"/>
        <v>344.52504925832596</v>
      </c>
      <c r="CC49" s="62">
        <f t="shared" si="11"/>
        <v>637.85838259165928</v>
      </c>
      <c r="CD49" s="62">
        <f ca="1">AVERAGE(OFFSET($CC$3,0,0,'Données projet'!$E$12+1,1))-AVERAGE(OFFSET($H$3,0,0,'Données projet'!$E$12+1,1))</f>
        <v>411.60020200960821</v>
      </c>
      <c r="CE49" s="62">
        <f t="shared" si="40"/>
        <v>261.95434270986397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6.8</v>
      </c>
      <c r="CT49" s="13">
        <f>IF('Données projet'!$A$140&gt;35,CT48+CS49-DB48,IF(A49&lt;'Données projet'!$A$140,$CQ$205^A49,IF(A49='Données projet'!$A$140,'Données projet'!$B$140,CT48+CS49-DB48)))</f>
        <v>158.80000000000007</v>
      </c>
      <c r="CU49" s="18">
        <f>CT49*VLOOKUP('Données projet'!$B$13,Paramètres!$A$1:$I$89,3,0)*VLOOKUP('Données projet'!$B$13,Paramètres!$A$1:$I$89,5,0)</f>
        <v>128.81856000000005</v>
      </c>
      <c r="CV49" s="14">
        <f t="shared" si="41"/>
        <v>33.723218352057046</v>
      </c>
      <c r="CW49" s="22">
        <f t="shared" si="13"/>
        <v>283.09359729649941</v>
      </c>
      <c r="CX49" s="62">
        <f t="shared" si="14"/>
        <v>576.42693062983267</v>
      </c>
      <c r="CY49" s="62">
        <f ca="1">AVERAGE(OFFSET($CX$3,0,0,'Données projet'!$E$13+1,1))-AVERAGE(OFFSET($H$3,0,0,'Données projet'!$E$13+1,1))</f>
        <v>293.51866463276224</v>
      </c>
      <c r="CZ49" s="62">
        <f t="shared" si="42"/>
        <v>232.78663842203713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4.8</v>
      </c>
      <c r="N50" s="14">
        <f>IF('Données projet'!$A$36&gt;35,N49+M50-V49,IF(A50&lt;'Données projet'!$A$36,$K$205^A50,IF(A50='Données projet'!$A$36,'Données projet'!$B$36,N49+M50-V49)))</f>
        <v>130.60000000000008</v>
      </c>
      <c r="O50" s="14">
        <f>N50*VLOOKUP('Données projet'!$B$9,Paramètres!$A$1:$I$89,3,0)*VLOOKUP('Données projet'!$B$9,Paramètres!$A$1:$I$89,5,0)</f>
        <v>114.09216000000009</v>
      </c>
      <c r="P50" s="14">
        <f t="shared" si="33"/>
        <v>30.293070235611612</v>
      </c>
      <c r="Q50" s="22">
        <f t="shared" si="53"/>
        <v>251.47094266035708</v>
      </c>
      <c r="R50" s="62">
        <f t="shared" si="0"/>
        <v>544.80427599369045</v>
      </c>
      <c r="S50" s="62">
        <f ca="1">AVERAGE(OFFSET($R$3,0,0,'Données projet'!$E$9+1,1))-AVERAGE(OFFSET($H$3,0,0,'Données projet'!$E$9+1,1))</f>
        <v>239.16843440041487</v>
      </c>
      <c r="T50" s="62">
        <f t="shared" si="34"/>
        <v>241.82319822554194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2.9644192761885355</v>
      </c>
      <c r="AB50" s="23">
        <f>EXP(-LN(2)/2)*AB49+(1-EXP(-LN(2)/2))/(LN(2)/2)*V50*Y50*VLOOKUP('Données projet'!$B$9,Paramètres!$A$1:$I$89,3,0)*0.475*44/12</f>
        <v>0</v>
      </c>
      <c r="AC50" s="24">
        <f t="shared" si="3"/>
        <v>2.9644192761885355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9.8000000000000007</v>
      </c>
      <c r="AI50" s="14">
        <f>IF('Données projet'!$A$62&gt;35,AI49+AH50-AQ49,IF(A50&lt;'Données projet'!$A$62,$AF$205^A50,IF(A50='Données projet'!$A$62,'Données projet'!$B$62,AI49+AH50-AQ49)))</f>
        <v>273.59999999999991</v>
      </c>
      <c r="AJ50" s="14">
        <f>AI50*VLOOKUP('Données projet'!$B$10,Paramètres!$A$1:$I$89,3,0)*VLOOKUP('Données projet'!$B$10,Paramètres!$A$1:$I$89,5,0)</f>
        <v>200.60351999999995</v>
      </c>
      <c r="AK50" s="14">
        <f t="shared" si="35"/>
        <v>49.87677988675906</v>
      </c>
      <c r="AL50" s="22">
        <f t="shared" si="4"/>
        <v>436.25318896943855</v>
      </c>
      <c r="AM50" s="62">
        <f t="shared" si="5"/>
        <v>729.58652230277187</v>
      </c>
      <c r="AN50" s="62">
        <f ca="1">AVERAGE(OFFSET($AM$3,0,0,'Données projet'!$E$10+1,1))-AVERAGE(OFFSET($H$3,0,0,'Données projet'!$E$10+1,1))</f>
        <v>376.5422416541544</v>
      </c>
      <c r="AO50" s="62">
        <f t="shared" si="36"/>
        <v>365.76175372075869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5.5024076745210353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5.5024076745210353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27.5</v>
      </c>
      <c r="BD50" s="13">
        <f>IF('Données projet'!$A$88&gt;35,BD49+BC50-BL49,IF(A50&lt;'Données projet'!$A$88,$BA$205^A50,IF(A50='Données projet'!$A$88,'Données projet'!$B$88,BD49+BC50-BL49)))</f>
        <v>627.5</v>
      </c>
      <c r="BE50" s="14">
        <f>BD50*VLOOKUP('Données projet'!$B$11,Paramètres!$A$1:$I$89,3,0)*VLOOKUP('Données projet'!$B$11,Paramètres!$A$1:$I$89,5,0)</f>
        <v>350.77249999999998</v>
      </c>
      <c r="BF50" s="14">
        <f t="shared" si="37"/>
        <v>81.72155659472017</v>
      </c>
      <c r="BG50" s="22">
        <f t="shared" si="7"/>
        <v>753.26048190247093</v>
      </c>
      <c r="BH50" s="62">
        <f t="shared" si="8"/>
        <v>1046.5938152358042</v>
      </c>
      <c r="BI50" s="62">
        <f ca="1">AVERAGE(OFFSET($BH$3,0,0,'Données projet'!$E$11+1,1))-AVERAGE(OFFSET($H$3,0,0,'Données projet'!$E$11+1,1))</f>
        <v>405.13433810198853</v>
      </c>
      <c r="BJ50" s="62">
        <f t="shared" si="38"/>
        <v>534.74398214162079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5.8981160318934203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0.10620346009120807</v>
      </c>
      <c r="BS50" s="24">
        <f t="shared" si="9"/>
        <v>6.0043194919846279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11</v>
      </c>
      <c r="BY50" s="13">
        <f>IF('Données projet'!$A$114&gt;35,BY49+BX50-CG49,IF(A50&lt;'Données projet'!$A$114,$BV$205^A50,IF(A50='Données projet'!$A$114,'Données projet'!$B$114,BY49+BX50-CG49)))</f>
        <v>198.00000000000003</v>
      </c>
      <c r="BZ50" s="14">
        <f>BY50*VLOOKUP('Données projet'!$B$12,Paramètres!$A$1:$I$89,3,0)*VLOOKUP('Données projet'!$B$12,Paramètres!$A$1:$I$89,5,0)</f>
        <v>166.79520000000002</v>
      </c>
      <c r="CA50" s="14">
        <f t="shared" si="39"/>
        <v>42.371461898472788</v>
      </c>
      <c r="CB50" s="22">
        <f t="shared" si="10"/>
        <v>364.29860280650678</v>
      </c>
      <c r="CC50" s="62">
        <f t="shared" si="11"/>
        <v>657.63193613984004</v>
      </c>
      <c r="CD50" s="62">
        <f ca="1">AVERAGE(OFFSET($CC$3,0,0,'Données projet'!$E$12+1,1))-AVERAGE(OFFSET($H$3,0,0,'Données projet'!$E$12+1,1))</f>
        <v>411.60020200960821</v>
      </c>
      <c r="CE50" s="62">
        <f t="shared" si="40"/>
        <v>261.95434270986397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6.8</v>
      </c>
      <c r="CT50" s="13">
        <f>IF('Données projet'!$A$140&gt;35,CT49+CS50-DB49,IF(A50&lt;'Données projet'!$A$140,$CQ$205^A50,IF(A50='Données projet'!$A$140,'Données projet'!$B$140,CT49+CS50-DB49)))</f>
        <v>165.60000000000008</v>
      </c>
      <c r="CU50" s="18">
        <f>CT50*VLOOKUP('Données projet'!$B$13,Paramètres!$A$1:$I$89,3,0)*VLOOKUP('Données projet'!$B$13,Paramètres!$A$1:$I$89,5,0)</f>
        <v>134.33472000000006</v>
      </c>
      <c r="CV50" s="14">
        <f t="shared" si="41"/>
        <v>34.996065778897297</v>
      </c>
      <c r="CW50" s="22">
        <f t="shared" si="13"/>
        <v>294.91778523157956</v>
      </c>
      <c r="CX50" s="62">
        <f t="shared" si="14"/>
        <v>588.25111856491287</v>
      </c>
      <c r="CY50" s="62">
        <f ca="1">AVERAGE(OFFSET($CX$3,0,0,'Données projet'!$E$13+1,1))-AVERAGE(OFFSET($H$3,0,0,'Données projet'!$E$13+1,1))</f>
        <v>293.51866463276224</v>
      </c>
      <c r="CZ50" s="62">
        <f t="shared" si="42"/>
        <v>232.78663842203713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4.8</v>
      </c>
      <c r="N51" s="14">
        <f>IF('Données projet'!$A$36&gt;35,N50+M51-V50,IF(A51&lt;'Données projet'!$A$36,$K$205^A51,IF(A51='Données projet'!$A$36,'Données projet'!$B$36,N50+M51-V50)))</f>
        <v>135.40000000000009</v>
      </c>
      <c r="O51" s="14">
        <f>N51*VLOOKUP('Données projet'!$B$9,Paramètres!$A$1:$I$89,3,0)*VLOOKUP('Données projet'!$B$9,Paramètres!$A$1:$I$89,5,0)</f>
        <v>118.28544000000009</v>
      </c>
      <c r="P51" s="14">
        <f t="shared" si="33"/>
        <v>31.274772013169596</v>
      </c>
      <c r="Q51" s="22">
        <f t="shared" si="53"/>
        <v>260.48403592293721</v>
      </c>
      <c r="R51" s="62">
        <f t="shared" si="0"/>
        <v>553.81736925627047</v>
      </c>
      <c r="S51" s="62">
        <f ca="1">AVERAGE(OFFSET($R$3,0,0,'Données projet'!$E$9+1,1))-AVERAGE(OFFSET($H$3,0,0,'Données projet'!$E$9+1,1))</f>
        <v>239.16843440041487</v>
      </c>
      <c r="T51" s="62">
        <f t="shared" si="34"/>
        <v>241.82319822554194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2.8833570751891258</v>
      </c>
      <c r="AB51" s="23">
        <f>EXP(-LN(2)/2)*AB50+(1-EXP(-LN(2)/2))/(LN(2)/2)*V51*Y51*VLOOKUP('Données projet'!$B$9,Paramètres!$A$1:$I$89,3,0)*0.475*44/12</f>
        <v>0</v>
      </c>
      <c r="AC51" s="24">
        <f t="shared" si="3"/>
        <v>2.8833570751891258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9.8000000000000007</v>
      </c>
      <c r="AI51" s="14">
        <f>IF('Données projet'!$A$62&gt;35,AI50+AH51-AQ50,IF(A51&lt;'Données projet'!$A$62,$AF$205^A51,IF(A51='Données projet'!$A$62,'Données projet'!$B$62,AI50+AH51-AQ50)))</f>
        <v>283.39999999999992</v>
      </c>
      <c r="AJ51" s="14">
        <f>AI51*VLOOKUP('Données projet'!$B$10,Paramètres!$A$1:$I$89,3,0)*VLOOKUP('Données projet'!$B$10,Paramètres!$A$1:$I$89,5,0)</f>
        <v>207.78887999999992</v>
      </c>
      <c r="AK51" s="14">
        <f t="shared" si="35"/>
        <v>51.452103086551489</v>
      </c>
      <c r="AL51" s="22">
        <f t="shared" si="4"/>
        <v>451.51137887574367</v>
      </c>
      <c r="AM51" s="62">
        <f t="shared" si="5"/>
        <v>744.84471220907699</v>
      </c>
      <c r="AN51" s="62">
        <f ca="1">AVERAGE(OFFSET($AM$3,0,0,'Données projet'!$E$10+1,1))-AVERAGE(OFFSET($H$3,0,0,'Données projet'!$E$10+1,1))</f>
        <v>376.5422416541544</v>
      </c>
      <c r="AO51" s="62">
        <f t="shared" si="36"/>
        <v>365.76175372075869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5.3945088161609682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5.3945088161609682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>
        <f>VLOOKUP(A51,'Données projet'!$A$87:$I$107,2,0)</f>
        <v>655</v>
      </c>
      <c r="BB51" s="13">
        <f>VLOOKUP(A51,'Données projet'!$A$87:$I$107,9,0)</f>
        <v>27.5</v>
      </c>
      <c r="BC51" s="13">
        <f t="array" ref="BC51">INDEX(BB:BB,MIN(IF(ISNUMBER(BB51:BB247),ROW(BB51:BB247),"")))</f>
        <v>27.5</v>
      </c>
      <c r="BD51" s="13">
        <f>IF('Données projet'!$A$88&gt;35,BD50+BC51-BL50,IF(A51&lt;'Données projet'!$A$88,$BA$205^A51,IF(A51='Données projet'!$A$88,'Données projet'!$B$88,BD50+BC51-BL50)))</f>
        <v>655</v>
      </c>
      <c r="BE51" s="14">
        <f>BD51*VLOOKUP('Données projet'!$B$11,Paramètres!$A$1:$I$89,3,0)*VLOOKUP('Données projet'!$B$11,Paramètres!$A$1:$I$89,5,0)</f>
        <v>366.14499999999998</v>
      </c>
      <c r="BF51" s="14">
        <f t="shared" si="37"/>
        <v>84.878158961970371</v>
      </c>
      <c r="BG51" s="22">
        <f t="shared" si="7"/>
        <v>785.53200185876494</v>
      </c>
      <c r="BH51" s="62">
        <f t="shared" si="8"/>
        <v>1078.8653351920982</v>
      </c>
      <c r="BI51" s="62">
        <f ca="1">AVERAGE(OFFSET($BH$3,0,0,'Données projet'!$E$11+1,1))-AVERAGE(OFFSET($H$3,0,0,'Données projet'!$E$11+1,1))</f>
        <v>405.13433810198853</v>
      </c>
      <c r="BJ51" s="62">
        <f t="shared" si="38"/>
        <v>534.74398214162079</v>
      </c>
      <c r="BK51" s="16">
        <f>IF(ISNA(VLOOKUP(A51,'Données projet'!$A$87:$I$107,3,0)),0,VLOOKUP(A51,'Données projet'!$A$87:$I$107,3,0))</f>
        <v>17</v>
      </c>
      <c r="BL51" s="16">
        <f>IF(ISNA(VLOOKUP(A51,'Données projet'!$A$87:$I$107,4,0)),0,VLOOKUP(A51,'Données projet'!$A$87:$I$107,4,0))</f>
        <v>101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5.7824575740035469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7.5097186815968095E-2</v>
      </c>
      <c r="BS51" s="24">
        <f t="shared" si="9"/>
        <v>5.8575547608195153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11</v>
      </c>
      <c r="BY51" s="13">
        <f>IF('Données projet'!$A$114&gt;35,BY50+BX51-CG50,IF(A51&lt;'Données projet'!$A$114,$BV$205^A51,IF(A51='Données projet'!$A$114,'Données projet'!$B$114,BY50+BX51-CG50)))</f>
        <v>209.00000000000003</v>
      </c>
      <c r="BZ51" s="14">
        <f>BY51*VLOOKUP('Données projet'!$B$12,Paramètres!$A$1:$I$89,3,0)*VLOOKUP('Données projet'!$B$12,Paramètres!$A$1:$I$89,5,0)</f>
        <v>176.06160000000006</v>
      </c>
      <c r="CA51" s="14">
        <f t="shared" si="39"/>
        <v>44.444839741138928</v>
      </c>
      <c r="CB51" s="22">
        <f t="shared" si="10"/>
        <v>384.04871588248369</v>
      </c>
      <c r="CC51" s="62">
        <f t="shared" si="11"/>
        <v>677.38204921581701</v>
      </c>
      <c r="CD51" s="62">
        <f ca="1">AVERAGE(OFFSET($CC$3,0,0,'Données projet'!$E$12+1,1))-AVERAGE(OFFSET($H$3,0,0,'Données projet'!$E$12+1,1))</f>
        <v>411.60020200960821</v>
      </c>
      <c r="CE51" s="62">
        <f t="shared" si="40"/>
        <v>261.95434270986397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6.8</v>
      </c>
      <c r="CT51" s="13">
        <f>IF('Données projet'!$A$140&gt;35,CT50+CS51-DB50,IF(A51&lt;'Données projet'!$A$140,$CQ$205^A51,IF(A51='Données projet'!$A$140,'Données projet'!$B$140,CT50+CS51-DB50)))</f>
        <v>172.40000000000009</v>
      </c>
      <c r="CU51" s="18">
        <f>CT51*VLOOKUP('Données projet'!$B$13,Paramètres!$A$1:$I$89,3,0)*VLOOKUP('Données projet'!$B$13,Paramètres!$A$1:$I$89,5,0)</f>
        <v>139.85088000000007</v>
      </c>
      <c r="CV51" s="14">
        <f t="shared" si="41"/>
        <v>36.262842078476233</v>
      </c>
      <c r="CW51" s="22">
        <f t="shared" si="13"/>
        <v>306.73139928667956</v>
      </c>
      <c r="CX51" s="62">
        <f t="shared" si="14"/>
        <v>600.06473262001282</v>
      </c>
      <c r="CY51" s="62">
        <f ca="1">AVERAGE(OFFSET($CX$3,0,0,'Données projet'!$E$13+1,1))-AVERAGE(OFFSET($H$3,0,0,'Données projet'!$E$13+1,1))</f>
        <v>293.51866463276224</v>
      </c>
      <c r="CZ51" s="62">
        <f t="shared" si="42"/>
        <v>232.78663842203713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4.8</v>
      </c>
      <c r="N52" s="14">
        <f>IF('Données projet'!$A$36&gt;35,N51+M52-V51,IF(A52&lt;'Données projet'!$A$36,$K$205^A52,IF(A52='Données projet'!$A$36,'Données projet'!$B$36,N51+M52-V51)))</f>
        <v>140.2000000000001</v>
      </c>
      <c r="O52" s="14">
        <f>N52*VLOOKUP('Données projet'!$B$9,Paramètres!$A$1:$I$89,3,0)*VLOOKUP('Données projet'!$B$9,Paramètres!$A$1:$I$89,5,0)</f>
        <v>122.47872000000011</v>
      </c>
      <c r="P52" s="14">
        <f t="shared" si="33"/>
        <v>32.252430308904032</v>
      </c>
      <c r="Q52" s="22">
        <f t="shared" si="53"/>
        <v>269.49008678800806</v>
      </c>
      <c r="R52" s="62">
        <f t="shared" si="0"/>
        <v>562.82342012134131</v>
      </c>
      <c r="S52" s="62">
        <f ca="1">AVERAGE(OFFSET($R$3,0,0,'Données projet'!$E$9+1,1))-AVERAGE(OFFSET($H$3,0,0,'Données projet'!$E$9+1,1))</f>
        <v>239.16843440041487</v>
      </c>
      <c r="T52" s="62">
        <f t="shared" si="34"/>
        <v>241.82319822554194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2.8045115243389205</v>
      </c>
      <c r="AB52" s="23">
        <f>EXP(-LN(2)/2)*AB51+(1-EXP(-LN(2)/2))/(LN(2)/2)*V52*Y52*VLOOKUP('Données projet'!$B$9,Paramètres!$A$1:$I$89,3,0)*0.475*44/12</f>
        <v>0</v>
      </c>
      <c r="AC52" s="24">
        <f t="shared" si="3"/>
        <v>2.8045115243389205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9.8000000000000007</v>
      </c>
      <c r="AI52" s="14">
        <f>IF('Données projet'!$A$62&gt;35,AI51+AH52-AQ51,IF(A52&lt;'Données projet'!$A$62,$AF$205^A52,IF(A52='Données projet'!$A$62,'Données projet'!$B$62,AI51+AH52-AQ51)))</f>
        <v>293.19999999999993</v>
      </c>
      <c r="AJ52" s="14">
        <f>AI52*VLOOKUP('Données projet'!$B$10,Paramètres!$A$1:$I$89,3,0)*VLOOKUP('Données projet'!$B$10,Paramètres!$A$1:$I$89,5,0)</f>
        <v>214.97423999999995</v>
      </c>
      <c r="AK52" s="14">
        <f t="shared" si="35"/>
        <v>53.021096827639134</v>
      </c>
      <c r="AL52" s="22">
        <f t="shared" si="4"/>
        <v>466.75854497480481</v>
      </c>
      <c r="AM52" s="62">
        <f t="shared" si="5"/>
        <v>760.09187830813812</v>
      </c>
      <c r="AN52" s="62">
        <f ca="1">AVERAGE(OFFSET($AM$3,0,0,'Données projet'!$E$10+1,1))-AVERAGE(OFFSET($H$3,0,0,'Données projet'!$E$10+1,1))</f>
        <v>376.5422416541544</v>
      </c>
      <c r="AO52" s="62">
        <f t="shared" si="36"/>
        <v>365.76175372075869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5.2887257886015364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5.2887257886015364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25</v>
      </c>
      <c r="BD52" s="13">
        <f>IF('Données projet'!$A$88&gt;35,BD51+BC52-BL51,IF(A52&lt;'Données projet'!$A$88,$BA$205^A52,IF(A52='Données projet'!$A$88,'Données projet'!$B$88,BD51+BC52-BL51)))</f>
        <v>579</v>
      </c>
      <c r="BE52" s="14">
        <f>BD52*VLOOKUP('Données projet'!$B$11,Paramètres!$A$1:$I$89,3,0)*VLOOKUP('Données projet'!$B$11,Paramètres!$A$1:$I$89,5,0)</f>
        <v>323.661</v>
      </c>
      <c r="BF52" s="14">
        <f t="shared" si="37"/>
        <v>76.114590855840419</v>
      </c>
      <c r="BG52" s="22">
        <f t="shared" si="7"/>
        <v>696.27582074058864</v>
      </c>
      <c r="BH52" s="62">
        <f t="shared" si="8"/>
        <v>989.6091540739219</v>
      </c>
      <c r="BI52" s="62">
        <f ca="1">AVERAGE(OFFSET($BH$3,0,0,'Données projet'!$E$11+1,1))-AVERAGE(OFFSET($H$3,0,0,'Données projet'!$E$11+1,1))</f>
        <v>405.13433810198853</v>
      </c>
      <c r="BJ52" s="62">
        <f t="shared" si="38"/>
        <v>534.74398214162079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5.6690671079281998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5.3101730045604034E-2</v>
      </c>
      <c r="BS52" s="24">
        <f t="shared" si="9"/>
        <v>5.722168837973804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11</v>
      </c>
      <c r="BY52" s="13">
        <f>IF('Données projet'!$A$114&gt;35,BY51+BX52-CG51,IF(A52&lt;'Données projet'!$A$114,$BV$205^A52,IF(A52='Données projet'!$A$114,'Données projet'!$B$114,BY51+BX52-CG51)))</f>
        <v>220.00000000000003</v>
      </c>
      <c r="BZ52" s="14">
        <f>BY52*VLOOKUP('Données projet'!$B$12,Paramètres!$A$1:$I$89,3,0)*VLOOKUP('Données projet'!$B$12,Paramètres!$A$1:$I$89,5,0)</f>
        <v>185.32800000000006</v>
      </c>
      <c r="CA52" s="14">
        <f t="shared" si="39"/>
        <v>46.505548070897625</v>
      </c>
      <c r="CB52" s="22">
        <f t="shared" si="10"/>
        <v>403.77676289014676</v>
      </c>
      <c r="CC52" s="62">
        <f t="shared" si="11"/>
        <v>697.11009622348001</v>
      </c>
      <c r="CD52" s="62">
        <f ca="1">AVERAGE(OFFSET($CC$3,0,0,'Données projet'!$E$12+1,1))-AVERAGE(OFFSET($H$3,0,0,'Données projet'!$E$12+1,1))</f>
        <v>411.60020200960821</v>
      </c>
      <c r="CE52" s="62">
        <f t="shared" si="40"/>
        <v>261.95434270986397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6.8</v>
      </c>
      <c r="CT52" s="13">
        <f>IF('Données projet'!$A$140&gt;35,CT51+CS52-DB51,IF(A52&lt;'Données projet'!$A$140,$CQ$205^A52,IF(A52='Données projet'!$A$140,'Données projet'!$B$140,CT51+CS52-DB51)))</f>
        <v>179.2000000000001</v>
      </c>
      <c r="CU52" s="18">
        <f>CT52*VLOOKUP('Données projet'!$B$13,Paramètres!$A$1:$I$89,3,0)*VLOOKUP('Données projet'!$B$13,Paramètres!$A$1:$I$89,5,0)</f>
        <v>145.36704000000009</v>
      </c>
      <c r="CV52" s="14">
        <f t="shared" si="41"/>
        <v>37.523814117080832</v>
      </c>
      <c r="CW52" s="22">
        <f t="shared" si="13"/>
        <v>318.5349042539159</v>
      </c>
      <c r="CX52" s="62">
        <f t="shared" si="14"/>
        <v>611.86823758724927</v>
      </c>
      <c r="CY52" s="62">
        <f ca="1">AVERAGE(OFFSET($CX$3,0,0,'Données projet'!$E$13+1,1))-AVERAGE(OFFSET($H$3,0,0,'Données projet'!$E$13+1,1))</f>
        <v>293.51866463276224</v>
      </c>
      <c r="CZ52" s="62">
        <f t="shared" si="42"/>
        <v>232.78663842203713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145</v>
      </c>
      <c r="L53" s="13">
        <f>VLOOKUP(A53,'Données projet'!$A$35:$I$55,9,0)</f>
        <v>4.8</v>
      </c>
      <c r="M53" s="13">
        <f t="array" ref="M53">INDEX(L:L,MIN(IF(ISNUMBER(L53:L249),ROW(L53:L249),"")))</f>
        <v>4.8</v>
      </c>
      <c r="N53" s="14">
        <f>IF('Données projet'!$A$36&gt;35,N52+M53-V52,IF(A53&lt;'Données projet'!$A$36,$K$205^A53,IF(A53='Données projet'!$A$36,'Données projet'!$B$36,N52+M53-V52)))</f>
        <v>145.00000000000011</v>
      </c>
      <c r="O53" s="14">
        <f>N53*VLOOKUP('Données projet'!$B$9,Paramètres!$A$1:$I$89,3,0)*VLOOKUP('Données projet'!$B$9,Paramètres!$A$1:$I$89,5,0)</f>
        <v>126.67200000000012</v>
      </c>
      <c r="P53" s="14">
        <f t="shared" si="33"/>
        <v>33.226199426361376</v>
      </c>
      <c r="Q53" s="22">
        <f t="shared" si="53"/>
        <v>278.48936400091287</v>
      </c>
      <c r="R53" s="62">
        <f t="shared" si="0"/>
        <v>571.82269733424619</v>
      </c>
      <c r="S53" s="62">
        <f ca="1">AVERAGE(OFFSET($R$3,0,0,'Données projet'!$E$9+1,1))-AVERAGE(OFFSET($H$3,0,0,'Données projet'!$E$9+1,1))</f>
        <v>239.16843440041487</v>
      </c>
      <c r="T53" s="62">
        <f t="shared" si="34"/>
        <v>241.82319822554194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16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2.7278220092230216</v>
      </c>
      <c r="AB53" s="23">
        <f>EXP(-LN(2)/2)*AB52+(1-EXP(-LN(2)/2))/(LN(2)/2)*V53*Y53*VLOOKUP('Données projet'!$B$9,Paramètres!$A$1:$I$89,3,0)*0.475*44/12</f>
        <v>0</v>
      </c>
      <c r="AC53" s="24">
        <f t="shared" si="3"/>
        <v>2.7278220092230216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303</v>
      </c>
      <c r="AG53" s="13">
        <f>VLOOKUP(A53,'Données projet'!$A$61:$I$81,9,0)</f>
        <v>9.8000000000000007</v>
      </c>
      <c r="AH53" s="13">
        <f t="array" ref="AH53">INDEX(AG:AG,MIN(IF(ISNUMBER(AG53:AG249),ROW(AG53:AG249),"")))</f>
        <v>9.8000000000000007</v>
      </c>
      <c r="AI53" s="14">
        <f>IF('Données projet'!$A$62&gt;35,AI52+AH53-AQ52,IF(A53&lt;'Données projet'!$A$62,$AF$205^A53,IF(A53='Données projet'!$A$62,'Données projet'!$B$62,AI52+AH53-AQ52)))</f>
        <v>302.99999999999994</v>
      </c>
      <c r="AJ53" s="14">
        <f>AI53*VLOOKUP('Données projet'!$B$10,Paramètres!$A$1:$I$89,3,0)*VLOOKUP('Données projet'!$B$10,Paramètres!$A$1:$I$89,5,0)</f>
        <v>222.15959999999995</v>
      </c>
      <c r="AK53" s="14">
        <f t="shared" si="35"/>
        <v>54.583996923291004</v>
      </c>
      <c r="AL53" s="22">
        <f t="shared" si="4"/>
        <v>481.99509797473166</v>
      </c>
      <c r="AM53" s="62">
        <f t="shared" si="5"/>
        <v>775.32843130806498</v>
      </c>
      <c r="AN53" s="62">
        <f ca="1">AVERAGE(OFFSET($AM$3,0,0,'Données projet'!$E$10+1,1))-AVERAGE(OFFSET($H$3,0,0,'Données projet'!$E$10+1,1))</f>
        <v>376.5422416541544</v>
      </c>
      <c r="AO53" s="62">
        <f t="shared" si="36"/>
        <v>365.76175372075869</v>
      </c>
      <c r="AP53" s="16">
        <f>IF(ISNA(VLOOKUP(A53,'Données projet'!$A$61:$I$81,3,0)),0,VLOOKUP(A53,'Données projet'!$A$61:$I$81,3,0))</f>
        <v>9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5.1850171016912698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5.1850171016912698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604</v>
      </c>
      <c r="BB53" s="13">
        <f>VLOOKUP(A53,'Données projet'!$A$87:$I$107,9,0)</f>
        <v>25</v>
      </c>
      <c r="BC53" s="13">
        <f t="array" ref="BC53">INDEX(BB:BB,MIN(IF(ISNUMBER(BB53:BB249),ROW(BB53:BB249),"")))</f>
        <v>25</v>
      </c>
      <c r="BD53" s="13">
        <f>IF('Données projet'!$A$88&gt;35,BD52+BC53-BL52,IF(A53&lt;'Données projet'!$A$88,$BA$205^A53,IF(A53='Données projet'!$A$88,'Données projet'!$B$88,BD52+BC53-BL52)))</f>
        <v>604</v>
      </c>
      <c r="BE53" s="14">
        <f>BD53*VLOOKUP('Données projet'!$B$11,Paramètres!$A$1:$I$89,3,0)*VLOOKUP('Données projet'!$B$11,Paramètres!$A$1:$I$89,5,0)</f>
        <v>337.63599999999997</v>
      </c>
      <c r="BF53" s="14">
        <f t="shared" si="37"/>
        <v>79.0113308976659</v>
      </c>
      <c r="BG53" s="22">
        <f t="shared" si="7"/>
        <v>725.66076798010135</v>
      </c>
      <c r="BH53" s="62">
        <f t="shared" si="8"/>
        <v>1018.9941013134346</v>
      </c>
      <c r="BI53" s="62">
        <f ca="1">AVERAGE(OFFSET($BH$3,0,0,'Données projet'!$E$11+1,1))-AVERAGE(OFFSET($H$3,0,0,'Données projet'!$E$11+1,1))</f>
        <v>405.13433810198853</v>
      </c>
      <c r="BJ53" s="62">
        <f t="shared" si="38"/>
        <v>534.74398214162079</v>
      </c>
      <c r="BK53" s="16">
        <f>IF(ISNA(VLOOKUP(A53,'Données projet'!$A$87:$I$107,3,0)),0,VLOOKUP(A53,'Données projet'!$A$87:$I$107,3,0))</f>
        <v>18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5.5579001597312354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3.7548593407984047E-2</v>
      </c>
      <c r="BS53" s="24">
        <f t="shared" si="9"/>
        <v>5.5954487531392196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231</v>
      </c>
      <c r="BW53" s="13">
        <f>VLOOKUP(A53,'Données projet'!$A$113:$I$133,9,0)</f>
        <v>11</v>
      </c>
      <c r="BX53" s="13">
        <f t="array" ref="BX53">INDEX(BW:BW,MIN(IF(ISNUMBER(BW53:BW249),ROW(BW53:BW249),"")))</f>
        <v>11</v>
      </c>
      <c r="BY53" s="13">
        <f>IF('Données projet'!$A$114&gt;35,BY52+BX53-CG52,IF(A53&lt;'Données projet'!$A$114,$BV$205^A53,IF(A53='Données projet'!$A$114,'Données projet'!$B$114,BY52+BX53-CG52)))</f>
        <v>231.00000000000003</v>
      </c>
      <c r="BZ53" s="14">
        <f>BY53*VLOOKUP('Données projet'!$B$12,Paramètres!$A$1:$I$89,3,0)*VLOOKUP('Données projet'!$B$12,Paramètres!$A$1:$I$89,5,0)</f>
        <v>194.59440000000004</v>
      </c>
      <c r="CA53" s="14">
        <f t="shared" si="39"/>
        <v>48.554292648263456</v>
      </c>
      <c r="CB53" s="22">
        <f t="shared" si="10"/>
        <v>423.48397302905886</v>
      </c>
      <c r="CC53" s="62">
        <f t="shared" si="11"/>
        <v>716.81730636239217</v>
      </c>
      <c r="CD53" s="62">
        <f ca="1">AVERAGE(OFFSET($CC$3,0,0,'Données projet'!$E$12+1,1))-AVERAGE(OFFSET($H$3,0,0,'Données projet'!$E$12+1,1))</f>
        <v>411.60020200960821</v>
      </c>
      <c r="CE53" s="62">
        <f t="shared" si="40"/>
        <v>261.95434270986397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28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186</v>
      </c>
      <c r="CR53" s="13">
        <f>VLOOKUP(A53,'Données projet'!$A$139:$I$159,9,0)</f>
        <v>6.8</v>
      </c>
      <c r="CS53" s="13">
        <f t="array" ref="CS53">INDEX(CR:CR,MIN(IF(ISNUMBER(CR53:CR249),ROW(CR53:CR249),"")))</f>
        <v>6.8</v>
      </c>
      <c r="CT53" s="13">
        <f>IF('Données projet'!$A$140&gt;35,CT52+CS53-DB52,IF(A53&lt;'Données projet'!$A$140,$CQ$205^A53,IF(A53='Données projet'!$A$140,'Données projet'!$B$140,CT52+CS53-DB52)))</f>
        <v>186.00000000000011</v>
      </c>
      <c r="CU53" s="18">
        <f>CT53*VLOOKUP('Données projet'!$B$13,Paramètres!$A$1:$I$89,3,0)*VLOOKUP('Données projet'!$B$13,Paramètres!$A$1:$I$89,5,0)</f>
        <v>150.8832000000001</v>
      </c>
      <c r="CV53" s="14">
        <f t="shared" si="41"/>
        <v>38.779227360583235</v>
      </c>
      <c r="CW53" s="22">
        <f t="shared" si="13"/>
        <v>330.32872765301596</v>
      </c>
      <c r="CX53" s="62">
        <f t="shared" si="14"/>
        <v>623.66206098634927</v>
      </c>
      <c r="CY53" s="62">
        <f ca="1">AVERAGE(OFFSET($CX$3,0,0,'Données projet'!$E$13+1,1))-AVERAGE(OFFSET($H$3,0,0,'Données projet'!$E$13+1,1))</f>
        <v>293.51866463276224</v>
      </c>
      <c r="CZ53" s="62">
        <f t="shared" si="42"/>
        <v>232.78663842203713</v>
      </c>
      <c r="DA53" s="16">
        <f>IF(ISNA(VLOOKUP(A53,'Données projet'!$A$139:$I$159,3,0)),0,VLOOKUP(A53,'Données projet'!$A$139:$I$159,3,0))</f>
        <v>8</v>
      </c>
      <c r="DB53" s="16">
        <f>IF(ISNA(VLOOKUP(A53,'Données projet'!$A$139:$I$159,4,0)),0,VLOOKUP(A53,'Données projet'!$A$139:$I$159,4,0))</f>
        <v>17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4.4000000000000004</v>
      </c>
      <c r="N54" s="14">
        <f>IF('Données projet'!$A$36&gt;35,N53+M54-V53,IF(A54&lt;'Données projet'!$A$36,$K$205^A54,IF(A54='Données projet'!$A$36,'Données projet'!$B$36,N53+M54-V53)))</f>
        <v>133.40000000000012</v>
      </c>
      <c r="O54" s="14">
        <f>N54*VLOOKUP('Données projet'!$B$9,Paramètres!$A$1:$I$89,3,0)*VLOOKUP('Données projet'!$B$9,Paramètres!$A$1:$I$89,5,0)</f>
        <v>116.53824000000013</v>
      </c>
      <c r="P54" s="14">
        <f t="shared" si="33"/>
        <v>30.866230258957888</v>
      </c>
      <c r="Q54" s="22">
        <f t="shared" si="53"/>
        <v>256.72945236768516</v>
      </c>
      <c r="R54" s="62">
        <f t="shared" si="0"/>
        <v>550.06278570101847</v>
      </c>
      <c r="S54" s="62">
        <f ca="1">AVERAGE(OFFSET($R$3,0,0,'Données projet'!$E$9+1,1))-AVERAGE(OFFSET($H$3,0,0,'Données projet'!$E$9+1,1))</f>
        <v>239.16843440041487</v>
      </c>
      <c r="T54" s="62">
        <f t="shared" si="34"/>
        <v>241.82319822554194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2.653229572930893</v>
      </c>
      <c r="AB54" s="23">
        <f>EXP(-LN(2)/2)*AB53+(1-EXP(-LN(2)/2))/(LN(2)/2)*V54*Y54*VLOOKUP('Données projet'!$B$9,Paramètres!$A$1:$I$89,3,0)*0.475*44/12</f>
        <v>0</v>
      </c>
      <c r="AC54" s="24">
        <f t="shared" si="3"/>
        <v>2.653229572930893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8.4</v>
      </c>
      <c r="AI54" s="14">
        <f>IF('Données projet'!$A$62&gt;35,AI53+AH54-AQ53,IF(A54&lt;'Données projet'!$A$62,$AF$205^A54,IF(A54='Données projet'!$A$62,'Données projet'!$B$62,AI53+AH54-AQ53)))</f>
        <v>290.39999999999992</v>
      </c>
      <c r="AJ54" s="14">
        <f>AI54*VLOOKUP('Données projet'!$B$10,Paramètres!$A$1:$I$89,3,0)*VLOOKUP('Données projet'!$B$10,Paramètres!$A$1:$I$89,5,0)</f>
        <v>212.92127999999991</v>
      </c>
      <c r="AK54" s="14">
        <f t="shared" si="35"/>
        <v>52.57344469809297</v>
      </c>
      <c r="AL54" s="22">
        <f t="shared" si="4"/>
        <v>462.4033121825118</v>
      </c>
      <c r="AM54" s="62">
        <f t="shared" si="5"/>
        <v>755.73664551584511</v>
      </c>
      <c r="AN54" s="62">
        <f ca="1">AVERAGE(OFFSET($AM$3,0,0,'Données projet'!$E$10+1,1))-AVERAGE(OFFSET($H$3,0,0,'Données projet'!$E$10+1,1))</f>
        <v>376.5422416541544</v>
      </c>
      <c r="AO54" s="62">
        <f t="shared" si="36"/>
        <v>365.76175372075869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5.0833420788752601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5.0833420788752601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26</v>
      </c>
      <c r="BD54" s="13">
        <f>IF('Données projet'!$A$88&gt;35,BD53+BC54-BL53,IF(A54&lt;'Données projet'!$A$88,$BA$205^A54,IF(A54='Données projet'!$A$88,'Données projet'!$B$88,BD53+BC54-BL53)))</f>
        <v>630</v>
      </c>
      <c r="BE54" s="14">
        <f>BD54*VLOOKUP('Données projet'!$B$11,Paramètres!$A$1:$I$89,3,0)*VLOOKUP('Données projet'!$B$11,Paramètres!$A$1:$I$89,5,0)</f>
        <v>352.16999999999996</v>
      </c>
      <c r="BF54" s="14">
        <f t="shared" si="37"/>
        <v>82.009175912878362</v>
      </c>
      <c r="BG54" s="22">
        <f t="shared" si="7"/>
        <v>756.19539804826309</v>
      </c>
      <c r="BH54" s="62">
        <f t="shared" si="8"/>
        <v>1049.5287313815963</v>
      </c>
      <c r="BI54" s="62">
        <f ca="1">AVERAGE(OFFSET($BH$3,0,0,'Données projet'!$E$11+1,1))-AVERAGE(OFFSET($H$3,0,0,'Données projet'!$E$11+1,1))</f>
        <v>405.13433810198853</v>
      </c>
      <c r="BJ54" s="62">
        <f t="shared" si="38"/>
        <v>534.74398214162079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5.4489131275832703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2.6550865022802017E-2</v>
      </c>
      <c r="BS54" s="24">
        <f t="shared" si="9"/>
        <v>5.4754639926060724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10.199999999999999</v>
      </c>
      <c r="BY54" s="13">
        <f>IF('Données projet'!$A$114&gt;35,BY53+BX54-CG53,IF(A54&lt;'Données projet'!$A$114,$BV$205^A54,IF(A54='Données projet'!$A$114,'Données projet'!$B$114,BY53+BX54-CG53)))</f>
        <v>213.20000000000002</v>
      </c>
      <c r="BZ54" s="14">
        <f>BY54*VLOOKUP('Données projet'!$B$12,Paramètres!$A$1:$I$89,3,0)*VLOOKUP('Données projet'!$B$12,Paramètres!$A$1:$I$89,5,0)</f>
        <v>179.59968000000003</v>
      </c>
      <c r="CA54" s="14">
        <f t="shared" si="39"/>
        <v>45.233110804333748</v>
      </c>
      <c r="CB54" s="22">
        <f t="shared" si="10"/>
        <v>391.58377731754803</v>
      </c>
      <c r="CC54" s="62">
        <f t="shared" si="11"/>
        <v>684.91711065088134</v>
      </c>
      <c r="CD54" s="62">
        <f ca="1">AVERAGE(OFFSET($CC$3,0,0,'Données projet'!$E$12+1,1))-AVERAGE(OFFSET($H$3,0,0,'Données projet'!$E$12+1,1))</f>
        <v>411.60020200960821</v>
      </c>
      <c r="CE54" s="62">
        <f t="shared" si="40"/>
        <v>261.95434270986397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6.6</v>
      </c>
      <c r="CT54" s="13">
        <f>IF('Données projet'!$A$140&gt;35,CT53+CS54-DB53,IF(A54&lt;'Données projet'!$A$140,$CQ$205^A54,IF(A54='Données projet'!$A$140,'Données projet'!$B$140,CT53+CS54-DB53)))</f>
        <v>175.60000000000011</v>
      </c>
      <c r="CU54" s="18">
        <f>CT54*VLOOKUP('Données projet'!$B$13,Paramètres!$A$1:$I$89,3,0)*VLOOKUP('Données projet'!$B$13,Paramètres!$A$1:$I$89,5,0)</f>
        <v>142.44672000000008</v>
      </c>
      <c r="CV54" s="14">
        <f t="shared" si="41"/>
        <v>36.856948248588338</v>
      </c>
      <c r="CW54" s="22">
        <f t="shared" si="13"/>
        <v>312.28722219962481</v>
      </c>
      <c r="CX54" s="62">
        <f t="shared" si="14"/>
        <v>605.62055553295818</v>
      </c>
      <c r="CY54" s="62">
        <f ca="1">AVERAGE(OFFSET($CX$3,0,0,'Données projet'!$E$13+1,1))-AVERAGE(OFFSET($H$3,0,0,'Données projet'!$E$13+1,1))</f>
        <v>293.51866463276224</v>
      </c>
      <c r="CZ54" s="62">
        <f t="shared" si="42"/>
        <v>232.78663842203713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4.4000000000000004</v>
      </c>
      <c r="N55" s="14">
        <f>IF('Données projet'!$A$36&gt;35,N54+M55-V54,IF(A55&lt;'Données projet'!$A$36,$K$205^A55,IF(A55='Données projet'!$A$36,'Données projet'!$B$36,N54+M55-V54)))</f>
        <v>137.80000000000013</v>
      </c>
      <c r="O55" s="14">
        <f>N55*VLOOKUP('Données projet'!$B$9,Paramètres!$A$1:$I$89,3,0)*VLOOKUP('Données projet'!$B$9,Paramètres!$A$1:$I$89,5,0)</f>
        <v>120.38208000000013</v>
      </c>
      <c r="P55" s="14">
        <f t="shared" si="33"/>
        <v>31.76409668560358</v>
      </c>
      <c r="Q55" s="22">
        <f t="shared" si="53"/>
        <v>264.98792439409311</v>
      </c>
      <c r="R55" s="62">
        <f t="shared" si="0"/>
        <v>558.32125772742643</v>
      </c>
      <c r="S55" s="62">
        <f ca="1">AVERAGE(OFFSET($R$3,0,0,'Données projet'!$E$9+1,1))-AVERAGE(OFFSET($H$3,0,0,'Données projet'!$E$9+1,1))</f>
        <v>239.16843440041487</v>
      </c>
      <c r="T55" s="62">
        <f t="shared" si="34"/>
        <v>241.82319822554194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2.5806768707318186</v>
      </c>
      <c r="AB55" s="23">
        <f>EXP(-LN(2)/2)*AB54+(1-EXP(-LN(2)/2))/(LN(2)/2)*V55*Y55*VLOOKUP('Données projet'!$B$9,Paramètres!$A$1:$I$89,3,0)*0.475*44/12</f>
        <v>0</v>
      </c>
      <c r="AC55" s="24">
        <f t="shared" si="3"/>
        <v>2.5806768707318186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8.4</v>
      </c>
      <c r="AI55" s="14">
        <f>IF('Données projet'!$A$62&gt;35,AI54+AH55-AQ54,IF(A55&lt;'Données projet'!$A$62,$AF$205^A55,IF(A55='Données projet'!$A$62,'Données projet'!$B$62,AI54+AH55-AQ54)))</f>
        <v>298.7999999999999</v>
      </c>
      <c r="AJ55" s="14">
        <f>AI55*VLOOKUP('Données projet'!$B$10,Paramètres!$A$1:$I$89,3,0)*VLOOKUP('Données projet'!$B$10,Paramètres!$A$1:$I$89,5,0)</f>
        <v>219.08015999999992</v>
      </c>
      <c r="AK55" s="14">
        <f t="shared" si="35"/>
        <v>53.914914316401685</v>
      </c>
      <c r="AL55" s="22">
        <f t="shared" si="4"/>
        <v>475.46642110106609</v>
      </c>
      <c r="AM55" s="62">
        <f t="shared" si="5"/>
        <v>768.79975443439935</v>
      </c>
      <c r="AN55" s="62">
        <f ca="1">AVERAGE(OFFSET($AM$3,0,0,'Données projet'!$E$10+1,1))-AVERAGE(OFFSET($H$3,0,0,'Données projet'!$E$10+1,1))</f>
        <v>376.5422416541544</v>
      </c>
      <c r="AO55" s="62">
        <f t="shared" si="36"/>
        <v>365.76175372075869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4.9836608412410319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4.9836608412410319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>
        <f>VLOOKUP(A55,'Données projet'!$A$87:$I$107,2,0)</f>
        <v>656</v>
      </c>
      <c r="BB55" s="13">
        <f>VLOOKUP(A55,'Données projet'!$A$87:$I$107,9,0)</f>
        <v>26</v>
      </c>
      <c r="BC55" s="13">
        <f t="array" ref="BC55">INDEX(BB:BB,MIN(IF(ISNUMBER(BB55:BB251),ROW(BB55:BB251),"")))</f>
        <v>26</v>
      </c>
      <c r="BD55" s="13">
        <f>IF('Données projet'!$A$88&gt;35,BD54+BC55-BL54,IF(A55&lt;'Données projet'!$A$88,$BA$205^A55,IF(A55='Données projet'!$A$88,'Données projet'!$B$88,BD54+BC55-BL54)))</f>
        <v>656</v>
      </c>
      <c r="BE55" s="14">
        <f>BD55*VLOOKUP('Données projet'!$B$11,Paramètres!$A$1:$I$89,3,0)*VLOOKUP('Données projet'!$B$11,Paramètres!$A$1:$I$89,5,0)</f>
        <v>366.70400000000001</v>
      </c>
      <c r="BF55" s="14">
        <f t="shared" si="37"/>
        <v>84.992650078103338</v>
      </c>
      <c r="BG55" s="22">
        <f t="shared" si="7"/>
        <v>786.7049988860299</v>
      </c>
      <c r="BH55" s="62">
        <f t="shared" si="8"/>
        <v>1080.0383322193632</v>
      </c>
      <c r="BI55" s="62">
        <f ca="1">AVERAGE(OFFSET($BH$3,0,0,'Données projet'!$E$11+1,1))-AVERAGE(OFFSET($H$3,0,0,'Données projet'!$E$11+1,1))</f>
        <v>405.13433810198853</v>
      </c>
      <c r="BJ55" s="62">
        <f t="shared" si="38"/>
        <v>534.74398214162079</v>
      </c>
      <c r="BK55" s="16">
        <f>IF(ISNA(VLOOKUP(A55,'Données projet'!$A$87:$I$107,3,0)),0,VLOOKUP(A55,'Données projet'!$A$87:$I$107,3,0))</f>
        <v>19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5.3420632646602009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1.8774296703992024E-2</v>
      </c>
      <c r="BS55" s="24">
        <f t="shared" si="9"/>
        <v>5.3608375613641925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10.199999999999999</v>
      </c>
      <c r="BY55" s="13">
        <f>IF('Données projet'!$A$114&gt;35,BY54+BX55-CG54,IF(A55&lt;'Données projet'!$A$114,$BV$205^A55,IF(A55='Données projet'!$A$114,'Données projet'!$B$114,BY54+BX55-CG54)))</f>
        <v>223.4</v>
      </c>
      <c r="BZ55" s="14">
        <f>BY55*VLOOKUP('Données projet'!$B$12,Paramètres!$A$1:$I$89,3,0)*VLOOKUP('Données projet'!$B$12,Paramètres!$A$1:$I$89,5,0)</f>
        <v>188.19216000000003</v>
      </c>
      <c r="CA55" s="14">
        <f t="shared" si="39"/>
        <v>47.140042972585213</v>
      </c>
      <c r="CB55" s="22">
        <f t="shared" si="10"/>
        <v>409.870253510586</v>
      </c>
      <c r="CC55" s="62">
        <f t="shared" si="11"/>
        <v>703.20358684391931</v>
      </c>
      <c r="CD55" s="62">
        <f ca="1">AVERAGE(OFFSET($CC$3,0,0,'Données projet'!$E$12+1,1))-AVERAGE(OFFSET($H$3,0,0,'Données projet'!$E$12+1,1))</f>
        <v>411.60020200960821</v>
      </c>
      <c r="CE55" s="62">
        <f t="shared" si="40"/>
        <v>261.95434270986397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6.6</v>
      </c>
      <c r="CT55" s="13">
        <f>IF('Données projet'!$A$140&gt;35,CT54+CS55-DB54,IF(A55&lt;'Données projet'!$A$140,$CQ$205^A55,IF(A55='Données projet'!$A$140,'Données projet'!$B$140,CT54+CS55-DB54)))</f>
        <v>182.2000000000001</v>
      </c>
      <c r="CU55" s="18">
        <f>CT55*VLOOKUP('Données projet'!$B$13,Paramètres!$A$1:$I$89,3,0)*VLOOKUP('Données projet'!$B$13,Paramètres!$A$1:$I$89,5,0)</f>
        <v>147.8006400000001</v>
      </c>
      <c r="CV55" s="14">
        <f t="shared" si="41"/>
        <v>38.078344307505901</v>
      </c>
      <c r="CW55" s="22">
        <f t="shared" si="13"/>
        <v>323.73923100223965</v>
      </c>
      <c r="CX55" s="62">
        <f t="shared" si="14"/>
        <v>617.07256433557291</v>
      </c>
      <c r="CY55" s="62">
        <f ca="1">AVERAGE(OFFSET($CX$3,0,0,'Données projet'!$E$13+1,1))-AVERAGE(OFFSET($H$3,0,0,'Données projet'!$E$13+1,1))</f>
        <v>293.51866463276224</v>
      </c>
      <c r="CZ55" s="62">
        <f t="shared" si="42"/>
        <v>232.78663842203713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4.4000000000000004</v>
      </c>
      <c r="N56" s="14">
        <f>IF('Données projet'!$A$36&gt;35,N55+M56-V55,IF(A56&lt;'Données projet'!$A$36,$K$205^A56,IF(A56='Données projet'!$A$36,'Données projet'!$B$36,N55+M56-V55)))</f>
        <v>142.20000000000013</v>
      </c>
      <c r="O56" s="14">
        <f>N56*VLOOKUP('Données projet'!$B$9,Paramètres!$A$1:$I$89,3,0)*VLOOKUP('Données projet'!$B$9,Paramètres!$A$1:$I$89,5,0)</f>
        <v>124.22592000000012</v>
      </c>
      <c r="P56" s="14">
        <f t="shared" si="33"/>
        <v>32.658631616020024</v>
      </c>
      <c r="Q56" s="22">
        <f t="shared" si="53"/>
        <v>273.24059406456837</v>
      </c>
      <c r="R56" s="62">
        <f t="shared" si="0"/>
        <v>566.57392739790168</v>
      </c>
      <c r="S56" s="62">
        <f ca="1">AVERAGE(OFFSET($R$3,0,0,'Données projet'!$E$9+1,1))-AVERAGE(OFFSET($H$3,0,0,'Données projet'!$E$9+1,1))</f>
        <v>239.16843440041487</v>
      </c>
      <c r="T56" s="62">
        <f t="shared" si="34"/>
        <v>241.82319822554194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2.5101081259897584</v>
      </c>
      <c r="AB56" s="23">
        <f>EXP(-LN(2)/2)*AB55+(1-EXP(-LN(2)/2))/(LN(2)/2)*V56*Y56*VLOOKUP('Données projet'!$B$9,Paramètres!$A$1:$I$89,3,0)*0.475*44/12</f>
        <v>0</v>
      </c>
      <c r="AC56" s="24">
        <f t="shared" si="3"/>
        <v>2.5101081259897584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8.4</v>
      </c>
      <c r="AI56" s="14">
        <f>IF('Données projet'!$A$62&gt;35,AI55+AH56-AQ55,IF(A56&lt;'Données projet'!$A$62,$AF$205^A56,IF(A56='Données projet'!$A$62,'Données projet'!$B$62,AI55+AH56-AQ55)))</f>
        <v>307.19999999999987</v>
      </c>
      <c r="AJ56" s="14">
        <f>AI56*VLOOKUP('Données projet'!$B$10,Paramètres!$A$1:$I$89,3,0)*VLOOKUP('Données projet'!$B$10,Paramètres!$A$1:$I$89,5,0)</f>
        <v>225.2390399999999</v>
      </c>
      <c r="AK56" s="14">
        <f t="shared" si="35"/>
        <v>55.252000822487368</v>
      </c>
      <c r="AL56" s="22">
        <f t="shared" si="4"/>
        <v>488.5218960991653</v>
      </c>
      <c r="AM56" s="62">
        <f t="shared" si="5"/>
        <v>781.85522943249862</v>
      </c>
      <c r="AN56" s="62">
        <f ca="1">AVERAGE(OFFSET($AM$3,0,0,'Données projet'!$E$10+1,1))-AVERAGE(OFFSET($H$3,0,0,'Données projet'!$E$10+1,1))</f>
        <v>376.5422416541544</v>
      </c>
      <c r="AO56" s="62">
        <f t="shared" si="36"/>
        <v>365.76175372075869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4.8859342918772599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4.8859342918772599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26</v>
      </c>
      <c r="BD56" s="13">
        <f>IF('Données projet'!$A$88&gt;35,BD55+BC56-BL55,IF(A56&lt;'Données projet'!$A$88,$BA$205^A56,IF(A56='Données projet'!$A$88,'Données projet'!$B$88,BD55+BC56-BL55)))</f>
        <v>682</v>
      </c>
      <c r="BE56" s="14">
        <f>BD56*VLOOKUP('Données projet'!$B$11,Paramètres!$A$1:$I$89,3,0)*VLOOKUP('Données projet'!$B$11,Paramètres!$A$1:$I$89,5,0)</f>
        <v>381.238</v>
      </c>
      <c r="BF56" s="14">
        <f t="shared" si="37"/>
        <v>87.96238814247404</v>
      </c>
      <c r="BG56" s="22">
        <f t="shared" si="7"/>
        <v>817.1906760148089</v>
      </c>
      <c r="BH56" s="62">
        <f t="shared" si="8"/>
        <v>1110.5240093481423</v>
      </c>
      <c r="BI56" s="62">
        <f ca="1">AVERAGE(OFFSET($BH$3,0,0,'Données projet'!$E$11+1,1))-AVERAGE(OFFSET($H$3,0,0,'Données projet'!$E$11+1,1))</f>
        <v>405.13433810198853</v>
      </c>
      <c r="BJ56" s="62">
        <f t="shared" si="38"/>
        <v>534.74398214162079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5.2373086623770719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1.3275432511401009E-2</v>
      </c>
      <c r="BS56" s="24">
        <f t="shared" si="9"/>
        <v>5.250584094888473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10.199999999999999</v>
      </c>
      <c r="BY56" s="13">
        <f>IF('Données projet'!$A$114&gt;35,BY55+BX56-CG55,IF(A56&lt;'Données projet'!$A$114,$BV$205^A56,IF(A56='Données projet'!$A$114,'Données projet'!$B$114,BY55+BX56-CG55)))</f>
        <v>233.6</v>
      </c>
      <c r="BZ56" s="14">
        <f>BY56*VLOOKUP('Données projet'!$B$12,Paramètres!$A$1:$I$89,3,0)*VLOOKUP('Données projet'!$B$12,Paramètres!$A$1:$I$89,5,0)</f>
        <v>196.78464000000002</v>
      </c>
      <c r="CA56" s="14">
        <f t="shared" si="39"/>
        <v>49.036863746442876</v>
      </c>
      <c r="CB56" s="22">
        <f t="shared" si="10"/>
        <v>428.1391190250547</v>
      </c>
      <c r="CC56" s="62">
        <f t="shared" si="11"/>
        <v>721.47245235838795</v>
      </c>
      <c r="CD56" s="62">
        <f ca="1">AVERAGE(OFFSET($CC$3,0,0,'Données projet'!$E$12+1,1))-AVERAGE(OFFSET($H$3,0,0,'Données projet'!$E$12+1,1))</f>
        <v>411.60020200960821</v>
      </c>
      <c r="CE56" s="62">
        <f t="shared" si="40"/>
        <v>261.95434270986397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6.6</v>
      </c>
      <c r="CT56" s="13">
        <f>IF('Données projet'!$A$140&gt;35,CT55+CS56-DB55,IF(A56&lt;'Données projet'!$A$140,$CQ$205^A56,IF(A56='Données projet'!$A$140,'Données projet'!$B$140,CT55+CS56-DB55)))</f>
        <v>188.8000000000001</v>
      </c>
      <c r="CU56" s="18">
        <f>CT56*VLOOKUP('Données projet'!$B$13,Paramètres!$A$1:$I$89,3,0)*VLOOKUP('Données projet'!$B$13,Paramètres!$A$1:$I$89,5,0)</f>
        <v>153.15456000000009</v>
      </c>
      <c r="CV56" s="14">
        <f t="shared" si="41"/>
        <v>39.294600046811276</v>
      </c>
      <c r="CW56" s="22">
        <f t="shared" si="13"/>
        <v>335.18228708152975</v>
      </c>
      <c r="CX56" s="62">
        <f t="shared" si="14"/>
        <v>628.51562041486306</v>
      </c>
      <c r="CY56" s="62">
        <f ca="1">AVERAGE(OFFSET($CX$3,0,0,'Données projet'!$E$13+1,1))-AVERAGE(OFFSET($H$3,0,0,'Données projet'!$E$13+1,1))</f>
        <v>293.51866463276224</v>
      </c>
      <c r="CZ56" s="62">
        <f t="shared" si="42"/>
        <v>232.78663842203713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4.4000000000000004</v>
      </c>
      <c r="N57" s="14">
        <f>IF('Données projet'!$A$36&gt;35,N56+M57-V56,IF(A57&lt;'Données projet'!$A$36,$K$205^A57,IF(A57='Données projet'!$A$36,'Données projet'!$B$36,N56+M57-V56)))</f>
        <v>146.60000000000014</v>
      </c>
      <c r="O57" s="14">
        <f>N57*VLOOKUP('Données projet'!$B$9,Paramètres!$A$1:$I$89,3,0)*VLOOKUP('Données projet'!$B$9,Paramètres!$A$1:$I$89,5,0)</f>
        <v>128.06976000000014</v>
      </c>
      <c r="P57" s="14">
        <f t="shared" si="33"/>
        <v>33.54994996369139</v>
      </c>
      <c r="Q57" s="22">
        <f t="shared" si="53"/>
        <v>281.48766152009608</v>
      </c>
      <c r="R57" s="62">
        <f t="shared" si="0"/>
        <v>574.8209948534294</v>
      </c>
      <c r="S57" s="62">
        <f ca="1">AVERAGE(OFFSET($R$3,0,0,'Données projet'!$E$9+1,1))-AVERAGE(OFFSET($H$3,0,0,'Données projet'!$E$9+1,1))</f>
        <v>239.16843440041487</v>
      </c>
      <c r="T57" s="62">
        <f t="shared" si="34"/>
        <v>241.82319822554194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2.441469087283719</v>
      </c>
      <c r="AB57" s="23">
        <f>EXP(-LN(2)/2)*AB56+(1-EXP(-LN(2)/2))/(LN(2)/2)*V57*Y57*VLOOKUP('Données projet'!$B$9,Paramètres!$A$1:$I$89,3,0)*0.475*44/12</f>
        <v>0</v>
      </c>
      <c r="AC57" s="24">
        <f t="shared" si="3"/>
        <v>2.441469087283719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8.4</v>
      </c>
      <c r="AI57" s="14">
        <f>IF('Données projet'!$A$62&gt;35,AI56+AH57-AQ56,IF(A57&lt;'Données projet'!$A$62,$AF$205^A57,IF(A57='Données projet'!$A$62,'Données projet'!$B$62,AI56+AH57-AQ56)))</f>
        <v>315.59999999999985</v>
      </c>
      <c r="AJ57" s="14">
        <f>AI57*VLOOKUP('Données projet'!$B$10,Paramètres!$A$1:$I$89,3,0)*VLOOKUP('Données projet'!$B$10,Paramètres!$A$1:$I$89,5,0)</f>
        <v>231.39791999999986</v>
      </c>
      <c r="AK57" s="14">
        <f t="shared" si="35"/>
        <v>56.584837838715806</v>
      </c>
      <c r="AL57" s="22">
        <f t="shared" si="4"/>
        <v>501.5699699024297</v>
      </c>
      <c r="AM57" s="62">
        <f t="shared" si="5"/>
        <v>794.90330323576302</v>
      </c>
      <c r="AN57" s="62">
        <f ca="1">AVERAGE(OFFSET($AM$3,0,0,'Données projet'!$E$10+1,1))-AVERAGE(OFFSET($H$3,0,0,'Données projet'!$E$10+1,1))</f>
        <v>376.5422416541544</v>
      </c>
      <c r="AO57" s="62">
        <f t="shared" si="36"/>
        <v>365.76175372075869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4.7901241005392023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4.7901241005392023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>
        <f>VLOOKUP(A57,'Données projet'!$A$87:$I$107,2,0)</f>
        <v>708</v>
      </c>
      <c r="BB57" s="13">
        <f>VLOOKUP(A57,'Données projet'!$A$87:$I$107,9,0)</f>
        <v>26</v>
      </c>
      <c r="BC57" s="13">
        <f t="array" ref="BC57">INDEX(BB:BB,MIN(IF(ISNUMBER(BB57:BB253),ROW(BB57:BB253),"")))</f>
        <v>26</v>
      </c>
      <c r="BD57" s="13">
        <f>IF('Données projet'!$A$88&gt;35,BD56+BC57-BL56,IF(A57&lt;'Données projet'!$A$88,$BA$205^A57,IF(A57='Données projet'!$A$88,'Données projet'!$B$88,BD56+BC57-BL56)))</f>
        <v>708</v>
      </c>
      <c r="BE57" s="14">
        <f>BD57*VLOOKUP('Données projet'!$B$11,Paramètres!$A$1:$I$89,3,0)*VLOOKUP('Données projet'!$B$11,Paramètres!$A$1:$I$89,5,0)</f>
        <v>395.77199999999999</v>
      </c>
      <c r="BF57" s="14">
        <f t="shared" si="37"/>
        <v>90.918973716712117</v>
      </c>
      <c r="BG57" s="22">
        <f t="shared" si="7"/>
        <v>847.65344588994014</v>
      </c>
      <c r="BH57" s="62">
        <f t="shared" si="8"/>
        <v>1140.9867792232735</v>
      </c>
      <c r="BI57" s="62">
        <f ca="1">AVERAGE(OFFSET($BH$3,0,0,'Données projet'!$E$11+1,1))-AVERAGE(OFFSET($H$3,0,0,'Données projet'!$E$11+1,1))</f>
        <v>405.13433810198853</v>
      </c>
      <c r="BJ57" s="62">
        <f t="shared" si="38"/>
        <v>534.74398214162079</v>
      </c>
      <c r="BK57" s="16">
        <f>IF(ISNA(VLOOKUP(A57,'Données projet'!$A$87:$I$107,3,0)),0,VLOOKUP(A57,'Données projet'!$A$87:$I$107,3,0))</f>
        <v>20</v>
      </c>
      <c r="BL57" s="16">
        <f>IF(ISNA(VLOOKUP(A57,'Données projet'!$A$87:$I$107,4,0)),0,VLOOKUP(A57,'Données projet'!$A$87:$I$107,4,0))</f>
        <v>708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5.1346082339507166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9.3871483519960119E-3</v>
      </c>
      <c r="BS57" s="24">
        <f t="shared" si="9"/>
        <v>5.1439953823027125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10.199999999999999</v>
      </c>
      <c r="BY57" s="13">
        <f>IF('Données projet'!$A$114&gt;35,BY56+BX57-CG56,IF(A57&lt;'Données projet'!$A$114,$BV$205^A57,IF(A57='Données projet'!$A$114,'Données projet'!$B$114,BY56+BX57-CG56)))</f>
        <v>243.79999999999998</v>
      </c>
      <c r="BZ57" s="14">
        <f>BY57*VLOOKUP('Données projet'!$B$12,Paramètres!$A$1:$I$89,3,0)*VLOOKUP('Données projet'!$B$12,Paramètres!$A$1:$I$89,5,0)</f>
        <v>205.37711999999999</v>
      </c>
      <c r="CA57" s="14">
        <f t="shared" si="39"/>
        <v>50.924065093909938</v>
      </c>
      <c r="CB57" s="22">
        <f t="shared" si="10"/>
        <v>446.39123070522641</v>
      </c>
      <c r="CC57" s="62">
        <f t="shared" si="11"/>
        <v>739.72456403855972</v>
      </c>
      <c r="CD57" s="62">
        <f ca="1">AVERAGE(OFFSET($CC$3,0,0,'Données projet'!$E$12+1,1))-AVERAGE(OFFSET($H$3,0,0,'Données projet'!$E$12+1,1))</f>
        <v>411.60020200960821</v>
      </c>
      <c r="CE57" s="62">
        <f t="shared" si="40"/>
        <v>261.95434270986397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6.6</v>
      </c>
      <c r="CT57" s="13">
        <f>IF('Données projet'!$A$140&gt;35,CT56+CS57-DB56,IF(A57&lt;'Données projet'!$A$140,$CQ$205^A57,IF(A57='Données projet'!$A$140,'Données projet'!$B$140,CT56+CS57-DB56)))</f>
        <v>195.40000000000009</v>
      </c>
      <c r="CU57" s="18">
        <f>CT57*VLOOKUP('Données projet'!$B$13,Paramètres!$A$1:$I$89,3,0)*VLOOKUP('Données projet'!$B$13,Paramètres!$A$1:$I$89,5,0)</f>
        <v>158.50848000000008</v>
      </c>
      <c r="CV57" s="14">
        <f t="shared" si="41"/>
        <v>40.50591575151762</v>
      </c>
      <c r="CW57" s="22">
        <f t="shared" si="13"/>
        <v>346.61673926722665</v>
      </c>
      <c r="CX57" s="62">
        <f t="shared" si="14"/>
        <v>639.95007260055991</v>
      </c>
      <c r="CY57" s="62">
        <f ca="1">AVERAGE(OFFSET($CX$3,0,0,'Données projet'!$E$13+1,1))-AVERAGE(OFFSET($H$3,0,0,'Données projet'!$E$13+1,1))</f>
        <v>293.51866463276224</v>
      </c>
      <c r="CZ57" s="62">
        <f t="shared" si="42"/>
        <v>232.78663842203713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151</v>
      </c>
      <c r="L58" s="13">
        <f>VLOOKUP(A58,'Données projet'!$A$35:$I$55,9,0)</f>
        <v>4.4000000000000004</v>
      </c>
      <c r="M58" s="13">
        <f t="array" ref="M58">INDEX(L:L,MIN(IF(ISNUMBER(L58:L254),ROW(L58:L254),"")))</f>
        <v>4.4000000000000004</v>
      </c>
      <c r="N58" s="14">
        <f>IF('Données projet'!$A$36&gt;35,N57+M58-V57,IF(A58&lt;'Données projet'!$A$36,$K$205^A58,IF(A58='Données projet'!$A$36,'Données projet'!$B$36,N57+M58-V57)))</f>
        <v>151.00000000000014</v>
      </c>
      <c r="O58" s="14">
        <f>N58*VLOOKUP('Données projet'!$B$9,Paramètres!$A$1:$I$89,3,0)*VLOOKUP('Données projet'!$B$9,Paramètres!$A$1:$I$89,5,0)</f>
        <v>131.91360000000014</v>
      </c>
      <c r="P58" s="14">
        <f t="shared" si="33"/>
        <v>34.438159352116038</v>
      </c>
      <c r="Q58" s="22">
        <f t="shared" si="53"/>
        <v>289.72931420493563</v>
      </c>
      <c r="R58" s="62">
        <f t="shared" si="0"/>
        <v>583.06264753826895</v>
      </c>
      <c r="S58" s="62">
        <f ca="1">AVERAGE(OFFSET($R$3,0,0,'Données projet'!$E$9+1,1))-AVERAGE(OFFSET($H$3,0,0,'Données projet'!$E$9+1,1))</f>
        <v>239.16843440041487</v>
      </c>
      <c r="T58" s="62">
        <f t="shared" si="34"/>
        <v>241.82319822554194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14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2.3747069867006663</v>
      </c>
      <c r="AB58" s="23">
        <f>EXP(-LN(2)/2)*AB57+(1-EXP(-LN(2)/2))/(LN(2)/2)*V58*Y58*VLOOKUP('Données projet'!$B$9,Paramètres!$A$1:$I$89,3,0)*0.475*44/12</f>
        <v>0</v>
      </c>
      <c r="AC58" s="24">
        <f t="shared" si="3"/>
        <v>2.3747069867006663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324</v>
      </c>
      <c r="AG58" s="13">
        <f>VLOOKUP(A58,'Données projet'!$A$61:$I$81,9,0)</f>
        <v>8.4</v>
      </c>
      <c r="AH58" s="13">
        <f t="array" ref="AH58">INDEX(AG:AG,MIN(IF(ISNUMBER(AG58:AG254),ROW(AG58:AG254),"")))</f>
        <v>8.4</v>
      </c>
      <c r="AI58" s="14">
        <f>IF('Données projet'!$A$62&gt;35,AI57+AH58-AQ57,IF(A58&lt;'Données projet'!$A$62,$AF$205^A58,IF(A58='Données projet'!$A$62,'Données projet'!$B$62,AI57+AH58-AQ57)))</f>
        <v>323.99999999999983</v>
      </c>
      <c r="AJ58" s="14">
        <f>AI58*VLOOKUP('Données projet'!$B$10,Paramètres!$A$1:$I$89,3,0)*VLOOKUP('Données projet'!$B$10,Paramètres!$A$1:$I$89,5,0)</f>
        <v>237.55679999999987</v>
      </c>
      <c r="AK58" s="14">
        <f t="shared" si="35"/>
        <v>57.913551469467308</v>
      </c>
      <c r="AL58" s="22">
        <f t="shared" si="4"/>
        <v>514.61086214265526</v>
      </c>
      <c r="AM58" s="62">
        <f t="shared" si="5"/>
        <v>807.94419547598864</v>
      </c>
      <c r="AN58" s="62">
        <f ca="1">AVERAGE(OFFSET($AM$3,0,0,'Données projet'!$E$10+1,1))-AVERAGE(OFFSET($H$3,0,0,'Données projet'!$E$10+1,1))</f>
        <v>376.5422416541544</v>
      </c>
      <c r="AO58" s="62">
        <f t="shared" si="36"/>
        <v>365.76175372075869</v>
      </c>
      <c r="AP58" s="16">
        <f>IF(ISNA(VLOOKUP(A58,'Données projet'!$A$61:$I$81,3,0)),0,VLOOKUP(A58,'Données projet'!$A$61:$I$81,3,0))</f>
        <v>10</v>
      </c>
      <c r="AQ58" s="16">
        <f>IF(ISNA(VLOOKUP(A58,'Données projet'!$A$61:$I$81,4,0)),0,VLOOKUP(A58,'Données projet'!$A$61:$I$81,4,0))</f>
        <v>18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4.6961926886148371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4.6961926886148371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projet'!$B$11,Paramètres!$A$1:$I$89,3,0)*VLOOKUP('Données projet'!$B$11,Paramètres!$A$1:$I$89,5,0)</f>
        <v>0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405.13433810198853</v>
      </c>
      <c r="BJ58" s="62">
        <f t="shared" si="38"/>
        <v>534.74398214162079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5.0339216982847264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6.6377162557005043E-3</v>
      </c>
      <c r="BS58" s="24">
        <f t="shared" si="9"/>
        <v>5.0405594145404269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254</v>
      </c>
      <c r="BW58" s="13">
        <f>VLOOKUP(A58,'Données projet'!$A$113:$I$133,9,0)</f>
        <v>10.199999999999999</v>
      </c>
      <c r="BX58" s="13">
        <f t="array" ref="BX58">INDEX(BW:BW,MIN(IF(ISNUMBER(BW58:BW254),ROW(BW58:BW254),"")))</f>
        <v>10.199999999999999</v>
      </c>
      <c r="BY58" s="13">
        <f>IF('Données projet'!$A$114&gt;35,BY57+BX58-CG57,IF(A58&lt;'Données projet'!$A$114,$BV$205^A58,IF(A58='Données projet'!$A$114,'Données projet'!$B$114,BY57+BX58-CG57)))</f>
        <v>253.99999999999997</v>
      </c>
      <c r="BZ58" s="14">
        <f>BY58*VLOOKUP('Données projet'!$B$12,Paramètres!$A$1:$I$89,3,0)*VLOOKUP('Données projet'!$B$12,Paramètres!$A$1:$I$89,5,0)</f>
        <v>213.96960000000001</v>
      </c>
      <c r="CA58" s="14">
        <f t="shared" si="39"/>
        <v>52.802095488627479</v>
      </c>
      <c r="CB58" s="22">
        <f t="shared" si="10"/>
        <v>464.62736964269283</v>
      </c>
      <c r="CC58" s="62">
        <f t="shared" si="11"/>
        <v>757.96070297602614</v>
      </c>
      <c r="CD58" s="62">
        <f ca="1">AVERAGE(OFFSET($CC$3,0,0,'Données projet'!$E$12+1,1))-AVERAGE(OFFSET($H$3,0,0,'Données projet'!$E$12+1,1))</f>
        <v>411.60020200960821</v>
      </c>
      <c r="CE58" s="62">
        <f t="shared" si="40"/>
        <v>261.95434270986397</v>
      </c>
      <c r="CF58" s="16">
        <f>IF(ISNA(VLOOKUP(A58,'Données projet'!$A$113:$I$133,3,0)),0,VLOOKUP(A58,'Données projet'!$A$113:$I$133,3,0))</f>
        <v>8</v>
      </c>
      <c r="CG58" s="16">
        <f>IF(ISNA(VLOOKUP(A58,'Données projet'!$A$113:$I$133,4,0)),0,VLOOKUP(A58,'Données projet'!$A$113:$I$133,4,0))</f>
        <v>28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202</v>
      </c>
      <c r="CR58" s="13">
        <f>VLOOKUP(A58,'Données projet'!$A$139:$I$159,9,0)</f>
        <v>6.6</v>
      </c>
      <c r="CS58" s="13">
        <f t="array" ref="CS58">INDEX(CR:CR,MIN(IF(ISNUMBER(CR58:CR254),ROW(CR58:CR254),"")))</f>
        <v>6.6</v>
      </c>
      <c r="CT58" s="13">
        <f>IF('Données projet'!$A$140&gt;35,CT57+CS58-DB57,IF(A58&lt;'Données projet'!$A$140,$CQ$205^A58,IF(A58='Données projet'!$A$140,'Données projet'!$B$140,CT57+CS58-DB57)))</f>
        <v>202.00000000000009</v>
      </c>
      <c r="CU58" s="18">
        <f>CT58*VLOOKUP('Données projet'!$B$13,Paramètres!$A$1:$I$89,3,0)*VLOOKUP('Données projet'!$B$13,Paramètres!$A$1:$I$89,5,0)</f>
        <v>163.86240000000009</v>
      </c>
      <c r="CV58" s="14">
        <f t="shared" si="41"/>
        <v>41.71247740902912</v>
      </c>
      <c r="CW58" s="22">
        <f t="shared" si="13"/>
        <v>358.04291148739253</v>
      </c>
      <c r="CX58" s="62">
        <f t="shared" si="14"/>
        <v>651.37624482072579</v>
      </c>
      <c r="CY58" s="62">
        <f ca="1">AVERAGE(OFFSET($CX$3,0,0,'Données projet'!$E$13+1,1))-AVERAGE(OFFSET($H$3,0,0,'Données projet'!$E$13+1,1))</f>
        <v>293.51866463276224</v>
      </c>
      <c r="CZ58" s="62">
        <f t="shared" si="42"/>
        <v>232.78663842203713</v>
      </c>
      <c r="DA58" s="16">
        <f>IF(ISNA(VLOOKUP(A58,'Données projet'!$A$139:$I$159,3,0)),0,VLOOKUP(A58,'Données projet'!$A$139:$I$159,3,0))</f>
        <v>9</v>
      </c>
      <c r="DB58" s="16">
        <f>IF(ISNA(VLOOKUP(A58,'Données projet'!$A$139:$I$159,4,0)),0,VLOOKUP(A58,'Données projet'!$A$139:$I$159,4,0))</f>
        <v>17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3.8</v>
      </c>
      <c r="N59" s="14">
        <f>IF('Données projet'!$A$36&gt;35,N58+M59-V58,IF(A59&lt;'Données projet'!$A$36,$K$205^A59,IF(A59='Données projet'!$A$36,'Données projet'!$B$36,N58+M59-V58)))</f>
        <v>140.80000000000015</v>
      </c>
      <c r="O59" s="14">
        <f>N59*VLOOKUP('Données projet'!$B$9,Paramètres!$A$1:$I$89,3,0)*VLOOKUP('Données projet'!$B$9,Paramètres!$A$1:$I$89,5,0)</f>
        <v>123.00288000000016</v>
      </c>
      <c r="P59" s="14">
        <f t="shared" si="33"/>
        <v>32.374361095906195</v>
      </c>
      <c r="Q59" s="22">
        <f t="shared" si="53"/>
        <v>270.61536157537017</v>
      </c>
      <c r="R59" s="62">
        <f t="shared" si="0"/>
        <v>563.94869490870349</v>
      </c>
      <c r="S59" s="62">
        <f ca="1">AVERAGE(OFFSET($R$3,0,0,'Données projet'!$E$9+1,1))-AVERAGE(OFFSET($H$3,0,0,'Données projet'!$E$9+1,1))</f>
        <v>239.16843440041487</v>
      </c>
      <c r="T59" s="62">
        <f t="shared" si="34"/>
        <v>241.82319822554194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2.3097704992689234</v>
      </c>
      <c r="AB59" s="23">
        <f>EXP(-LN(2)/2)*AB58+(1-EXP(-LN(2)/2))/(LN(2)/2)*V59*Y59*VLOOKUP('Données projet'!$B$9,Paramètres!$A$1:$I$89,3,0)*0.475*44/12</f>
        <v>0</v>
      </c>
      <c r="AC59" s="24">
        <f t="shared" si="3"/>
        <v>2.3097704992689234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7.4</v>
      </c>
      <c r="AI59" s="14">
        <f>IF('Données projet'!$A$62&gt;35,AI58+AH59-AQ58,IF(A59&lt;'Données projet'!$A$62,$AF$205^A59,IF(A59='Données projet'!$A$62,'Données projet'!$B$62,AI58+AH59-AQ58)))</f>
        <v>313.39999999999981</v>
      </c>
      <c r="AJ59" s="14">
        <f>AI59*VLOOKUP('Données projet'!$B$10,Paramètres!$A$1:$I$89,3,0)*VLOOKUP('Données projet'!$B$10,Paramètres!$A$1:$I$89,5,0)</f>
        <v>229.78487999999984</v>
      </c>
      <c r="AK59" s="14">
        <f t="shared" si="35"/>
        <v>56.236165024777975</v>
      </c>
      <c r="AL59" s="22">
        <f t="shared" si="4"/>
        <v>498.15332008482136</v>
      </c>
      <c r="AM59" s="62">
        <f t="shared" si="5"/>
        <v>791.48665341815467</v>
      </c>
      <c r="AN59" s="62">
        <f ca="1">AVERAGE(OFFSET($AM$3,0,0,'Données projet'!$E$10+1,1))-AVERAGE(OFFSET($H$3,0,0,'Données projet'!$E$10+1,1))</f>
        <v>376.5422416541544</v>
      </c>
      <c r="AO59" s="62">
        <f t="shared" si="36"/>
        <v>365.76175372075869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4.6041032143858045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4.6041032143858045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projet'!$B$11,Paramètres!$A$1:$I$89,3,0)*VLOOKUP('Données projet'!$B$11,Paramètres!$A$1:$I$89,5,0)</f>
        <v>0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405.13433810198853</v>
      </c>
      <c r="BJ59" s="62">
        <f t="shared" si="38"/>
        <v>534.74398214162079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4.9352095641704228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4.6935741759980059E-3</v>
      </c>
      <c r="BS59" s="24">
        <f t="shared" si="9"/>
        <v>4.9399031383464207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9.4</v>
      </c>
      <c r="BY59" s="13">
        <f>IF('Données projet'!$A$114&gt;35,BY58+BX59-CG58,IF(A59&lt;'Données projet'!$A$114,$BV$205^A59,IF(A59='Données projet'!$A$114,'Données projet'!$B$114,BY58+BX59-CG58)))</f>
        <v>235.39999999999998</v>
      </c>
      <c r="BZ59" s="14">
        <f>BY59*VLOOKUP('Données projet'!$B$12,Paramètres!$A$1:$I$89,3,0)*VLOOKUP('Données projet'!$B$12,Paramètres!$A$1:$I$89,5,0)</f>
        <v>198.30096</v>
      </c>
      <c r="CA59" s="14">
        <f t="shared" si="39"/>
        <v>49.3705849564736</v>
      </c>
      <c r="CB59" s="22">
        <f t="shared" si="10"/>
        <v>431.36127413252484</v>
      </c>
      <c r="CC59" s="62">
        <f t="shared" si="11"/>
        <v>724.6946074658581</v>
      </c>
      <c r="CD59" s="62">
        <f ca="1">AVERAGE(OFFSET($CC$3,0,0,'Données projet'!$E$12+1,1))-AVERAGE(OFFSET($H$3,0,0,'Données projet'!$E$12+1,1))</f>
        <v>411.60020200960821</v>
      </c>
      <c r="CE59" s="62">
        <f t="shared" si="40"/>
        <v>261.95434270986397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6.2</v>
      </c>
      <c r="CT59" s="13">
        <f>IF('Données projet'!$A$140&gt;35,CT58+CS59-DB58,IF(A59&lt;'Données projet'!$A$140,$CQ$205^A59,IF(A59='Données projet'!$A$140,'Données projet'!$B$140,CT58+CS59-DB58)))</f>
        <v>191.20000000000007</v>
      </c>
      <c r="CU59" s="18">
        <f>CT59*VLOOKUP('Données projet'!$B$13,Paramètres!$A$1:$I$89,3,0)*VLOOKUP('Données projet'!$B$13,Paramètres!$A$1:$I$89,5,0)</f>
        <v>155.10144000000005</v>
      </c>
      <c r="CV59" s="14">
        <f t="shared" si="41"/>
        <v>39.735639985781326</v>
      </c>
      <c r="CW59" s="22">
        <f t="shared" si="13"/>
        <v>339.34124764190256</v>
      </c>
      <c r="CX59" s="62">
        <f t="shared" si="14"/>
        <v>632.67458097523581</v>
      </c>
      <c r="CY59" s="62">
        <f ca="1">AVERAGE(OFFSET($CX$3,0,0,'Données projet'!$E$13+1,1))-AVERAGE(OFFSET($H$3,0,0,'Données projet'!$E$13+1,1))</f>
        <v>293.51866463276224</v>
      </c>
      <c r="CZ59" s="62">
        <f t="shared" si="42"/>
        <v>232.78663842203713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3.8</v>
      </c>
      <c r="N60" s="14">
        <f>IF('Données projet'!$A$36&gt;35,N59+M60-V59,IF(A60&lt;'Données projet'!$A$36,$K$205^A60,IF(A60='Données projet'!$A$36,'Données projet'!$B$36,N59+M60-V59)))</f>
        <v>144.60000000000016</v>
      </c>
      <c r="O60" s="14">
        <f>N60*VLOOKUP('Données projet'!$B$9,Paramètres!$A$1:$I$89,3,0)*VLOOKUP('Données projet'!$B$9,Paramètres!$A$1:$I$89,5,0)</f>
        <v>126.32256000000015</v>
      </c>
      <c r="P60" s="14">
        <f t="shared" si="33"/>
        <v>33.145196976032793</v>
      </c>
      <c r="Q60" s="22">
        <f t="shared" si="53"/>
        <v>277.73967673325734</v>
      </c>
      <c r="R60" s="62">
        <f t="shared" si="0"/>
        <v>571.07301006659065</v>
      </c>
      <c r="S60" s="62">
        <f ca="1">AVERAGE(OFFSET($R$3,0,0,'Données projet'!$E$9+1,1))-AVERAGE(OFFSET($H$3,0,0,'Données projet'!$E$9+1,1))</f>
        <v>239.16843440041487</v>
      </c>
      <c r="T60" s="62">
        <f t="shared" si="34"/>
        <v>241.82319822554194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2.2466097035008632</v>
      </c>
      <c r="AB60" s="23">
        <f>EXP(-LN(2)/2)*AB59+(1-EXP(-LN(2)/2))/(LN(2)/2)*V60*Y60*VLOOKUP('Données projet'!$B$9,Paramètres!$A$1:$I$89,3,0)*0.475*44/12</f>
        <v>0</v>
      </c>
      <c r="AC60" s="24">
        <f t="shared" si="3"/>
        <v>2.2466097035008632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7.4</v>
      </c>
      <c r="AI60" s="14">
        <f>IF('Données projet'!$A$62&gt;35,AI59+AH60-AQ59,IF(A60&lt;'Données projet'!$A$62,$AF$205^A60,IF(A60='Données projet'!$A$62,'Données projet'!$B$62,AI59+AH60-AQ59)))</f>
        <v>320.79999999999978</v>
      </c>
      <c r="AJ60" s="14">
        <f>AI60*VLOOKUP('Données projet'!$B$10,Paramètres!$A$1:$I$89,3,0)*VLOOKUP('Données projet'!$B$10,Paramètres!$A$1:$I$89,5,0)</f>
        <v>235.21055999999984</v>
      </c>
      <c r="AK60" s="14">
        <f t="shared" si="35"/>
        <v>57.407853322119394</v>
      </c>
      <c r="AL60" s="22">
        <f t="shared" si="4"/>
        <v>509.64373653602433</v>
      </c>
      <c r="AM60" s="62">
        <f t="shared" si="5"/>
        <v>802.97706986935759</v>
      </c>
      <c r="AN60" s="62">
        <f ca="1">AVERAGE(OFFSET($AM$3,0,0,'Données projet'!$E$10+1,1))-AVERAGE(OFFSET($H$3,0,0,'Données projet'!$E$10+1,1))</f>
        <v>376.5422416541544</v>
      </c>
      <c r="AO60" s="62">
        <f t="shared" si="36"/>
        <v>365.76175372075869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4.5138195585773708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4.5138195585773708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projet'!$B$11,Paramètres!$A$1:$I$89,3,0)*VLOOKUP('Données projet'!$B$11,Paramètres!$A$1:$I$89,5,0)</f>
        <v>0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405.13433810198853</v>
      </c>
      <c r="BJ60" s="62">
        <f t="shared" si="38"/>
        <v>534.74398214162079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4.8384331147976445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3.3188581278502521E-3</v>
      </c>
      <c r="BS60" s="24">
        <f t="shared" si="9"/>
        <v>4.8417519729254943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9.4</v>
      </c>
      <c r="BY60" s="13">
        <f>IF('Données projet'!$A$114&gt;35,BY59+BX60-CG59,IF(A60&lt;'Données projet'!$A$114,$BV$205^A60,IF(A60='Données projet'!$A$114,'Données projet'!$B$114,BY59+BX60-CG59)))</f>
        <v>244.79999999999998</v>
      </c>
      <c r="BZ60" s="14">
        <f>BY60*VLOOKUP('Données projet'!$B$12,Paramètres!$A$1:$I$89,3,0)*VLOOKUP('Données projet'!$B$12,Paramètres!$A$1:$I$89,5,0)</f>
        <v>206.21952000000002</v>
      </c>
      <c r="CA60" s="14">
        <f t="shared" si="39"/>
        <v>51.108584284640322</v>
      </c>
      <c r="CB60" s="22">
        <f t="shared" si="10"/>
        <v>448.1797816290819</v>
      </c>
      <c r="CC60" s="62">
        <f t="shared" si="11"/>
        <v>741.51311496241522</v>
      </c>
      <c r="CD60" s="62">
        <f ca="1">AVERAGE(OFFSET($CC$3,0,0,'Données projet'!$E$12+1,1))-AVERAGE(OFFSET($H$3,0,0,'Données projet'!$E$12+1,1))</f>
        <v>411.60020200960821</v>
      </c>
      <c r="CE60" s="62">
        <f t="shared" si="40"/>
        <v>261.95434270986397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6.2</v>
      </c>
      <c r="CT60" s="13">
        <f>IF('Données projet'!$A$140&gt;35,CT59+CS60-DB59,IF(A60&lt;'Données projet'!$A$140,$CQ$205^A60,IF(A60='Données projet'!$A$140,'Données projet'!$B$140,CT59+CS60-DB59)))</f>
        <v>197.40000000000006</v>
      </c>
      <c r="CU60" s="18">
        <f>CT60*VLOOKUP('Données projet'!$B$13,Paramètres!$A$1:$I$89,3,0)*VLOOKUP('Données projet'!$B$13,Paramètres!$A$1:$I$89,5,0)</f>
        <v>160.13088000000008</v>
      </c>
      <c r="CV60" s="14">
        <f t="shared" si="41"/>
        <v>40.872034351060222</v>
      </c>
      <c r="CW60" s="22">
        <f t="shared" si="13"/>
        <v>350.08007582809665</v>
      </c>
      <c r="CX60" s="62">
        <f t="shared" si="14"/>
        <v>643.41340916142997</v>
      </c>
      <c r="CY60" s="62">
        <f ca="1">AVERAGE(OFFSET($CX$3,0,0,'Données projet'!$E$13+1,1))-AVERAGE(OFFSET($H$3,0,0,'Données projet'!$E$13+1,1))</f>
        <v>293.51866463276224</v>
      </c>
      <c r="CZ60" s="62">
        <f t="shared" si="42"/>
        <v>232.78663842203713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3.8</v>
      </c>
      <c r="N61" s="14">
        <f>IF('Données projet'!$A$36&gt;35,N60+M61-V60,IF(A61&lt;'Données projet'!$A$36,$K$205^A61,IF(A61='Données projet'!$A$36,'Données projet'!$B$36,N60+M61-V60)))</f>
        <v>148.40000000000018</v>
      </c>
      <c r="O61" s="14">
        <f>N61*VLOOKUP('Données projet'!$B$9,Paramètres!$A$1:$I$89,3,0)*VLOOKUP('Données projet'!$B$9,Paramètres!$A$1:$I$89,5,0)</f>
        <v>129.64224000000019</v>
      </c>
      <c r="P61" s="14">
        <f t="shared" si="33"/>
        <v>33.913678246253248</v>
      </c>
      <c r="Q61" s="22">
        <f t="shared" si="53"/>
        <v>284.85989094555805</v>
      </c>
      <c r="R61" s="62">
        <f t="shared" si="0"/>
        <v>578.19322427889142</v>
      </c>
      <c r="S61" s="62">
        <f ca="1">AVERAGE(OFFSET($R$3,0,0,'Données projet'!$E$9+1,1))-AVERAGE(OFFSET($H$3,0,0,'Données projet'!$E$9+1,1))</f>
        <v>239.16843440041487</v>
      </c>
      <c r="T61" s="62">
        <f t="shared" si="34"/>
        <v>241.82319822554194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2.1851760430145624</v>
      </c>
      <c r="AB61" s="23">
        <f>EXP(-LN(2)/2)*AB60+(1-EXP(-LN(2)/2))/(LN(2)/2)*V61*Y61*VLOOKUP('Données projet'!$B$9,Paramètres!$A$1:$I$89,3,0)*0.475*44/12</f>
        <v>0</v>
      </c>
      <c r="AC61" s="24">
        <f t="shared" si="3"/>
        <v>2.1851760430145624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7.4</v>
      </c>
      <c r="AI61" s="14">
        <f>IF('Données projet'!$A$62&gt;35,AI60+AH61-AQ60,IF(A61&lt;'Données projet'!$A$62,$AF$205^A61,IF(A61='Données projet'!$A$62,'Données projet'!$B$62,AI60+AH61-AQ60)))</f>
        <v>328.19999999999976</v>
      </c>
      <c r="AJ61" s="14">
        <f>AI61*VLOOKUP('Données projet'!$B$10,Paramètres!$A$1:$I$89,3,0)*VLOOKUP('Données projet'!$B$10,Paramètres!$A$1:$I$89,5,0)</f>
        <v>240.63623999999982</v>
      </c>
      <c r="AK61" s="14">
        <f t="shared" si="35"/>
        <v>58.576399517863109</v>
      </c>
      <c r="AL61" s="22">
        <f t="shared" si="4"/>
        <v>521.12868049361134</v>
      </c>
      <c r="AM61" s="62">
        <f t="shared" si="5"/>
        <v>814.46201382694471</v>
      </c>
      <c r="AN61" s="62">
        <f ca="1">AVERAGE(OFFSET($AM$3,0,0,'Données projet'!$E$10+1,1))-AVERAGE(OFFSET($H$3,0,0,'Données projet'!$E$10+1,1))</f>
        <v>376.5422416541544</v>
      </c>
      <c r="AO61" s="62">
        <f t="shared" si="36"/>
        <v>365.76175372075869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4.4253063101917478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4.4253063101917478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projet'!$B$11,Paramètres!$A$1:$I$89,3,0)*VLOOKUP('Données projet'!$B$11,Paramètres!$A$1:$I$89,5,0)</f>
        <v>0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405.13433810198853</v>
      </c>
      <c r="BJ61" s="62">
        <f t="shared" si="38"/>
        <v>534.74398214162079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4.7435543925692603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2.346787087999003E-3</v>
      </c>
      <c r="BS61" s="24">
        <f t="shared" si="9"/>
        <v>4.7459011796572597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9.4</v>
      </c>
      <c r="BY61" s="13">
        <f>IF('Données projet'!$A$114&gt;35,BY60+BX61-CG60,IF(A61&lt;'Données projet'!$A$114,$BV$205^A61,IF(A61='Données projet'!$A$114,'Données projet'!$B$114,BY60+BX61-CG60)))</f>
        <v>254.2</v>
      </c>
      <c r="BZ61" s="14">
        <f>BY61*VLOOKUP('Données projet'!$B$12,Paramètres!$A$1:$I$89,3,0)*VLOOKUP('Données projet'!$B$12,Paramètres!$A$1:$I$89,5,0)</f>
        <v>214.13808</v>
      </c>
      <c r="CA61" s="14">
        <f t="shared" si="39"/>
        <v>52.838830759579693</v>
      </c>
      <c r="CB61" s="22">
        <f t="shared" si="10"/>
        <v>464.98478623960131</v>
      </c>
      <c r="CC61" s="62">
        <f t="shared" si="11"/>
        <v>758.31811957293462</v>
      </c>
      <c r="CD61" s="62">
        <f ca="1">AVERAGE(OFFSET($CC$3,0,0,'Données projet'!$E$12+1,1))-AVERAGE(OFFSET($H$3,0,0,'Données projet'!$E$12+1,1))</f>
        <v>411.60020200960821</v>
      </c>
      <c r="CE61" s="62">
        <f t="shared" si="40"/>
        <v>261.95434270986397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6.2</v>
      </c>
      <c r="CT61" s="13">
        <f>IF('Données projet'!$A$140&gt;35,CT60+CS61-DB60,IF(A61&lt;'Données projet'!$A$140,$CQ$205^A61,IF(A61='Données projet'!$A$140,'Données projet'!$B$140,CT60+CS61-DB60)))</f>
        <v>203.60000000000005</v>
      </c>
      <c r="CU61" s="18">
        <f>CT61*VLOOKUP('Données projet'!$B$13,Paramètres!$A$1:$I$89,3,0)*VLOOKUP('Données projet'!$B$13,Paramètres!$A$1:$I$89,5,0)</f>
        <v>165.16032000000004</v>
      </c>
      <c r="CV61" s="14">
        <f t="shared" si="41"/>
        <v>42.004281006119641</v>
      </c>
      <c r="CW61" s="22">
        <f t="shared" si="13"/>
        <v>360.81168008565845</v>
      </c>
      <c r="CX61" s="62">
        <f t="shared" si="14"/>
        <v>654.14501341899177</v>
      </c>
      <c r="CY61" s="62">
        <f ca="1">AVERAGE(OFFSET($CX$3,0,0,'Données projet'!$E$13+1,1))-AVERAGE(OFFSET($H$3,0,0,'Données projet'!$E$13+1,1))</f>
        <v>293.51866463276224</v>
      </c>
      <c r="CZ61" s="62">
        <f t="shared" si="42"/>
        <v>232.78663842203713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3.8</v>
      </c>
      <c r="N62" s="14">
        <f>IF('Données projet'!$A$36&gt;35,N61+M62-V61,IF(A62&lt;'Données projet'!$A$36,$K$205^A62,IF(A62='Données projet'!$A$36,'Données projet'!$B$36,N61+M62-V61)))</f>
        <v>152.20000000000019</v>
      </c>
      <c r="O62" s="14">
        <f>N62*VLOOKUP('Données projet'!$B$9,Paramètres!$A$1:$I$89,3,0)*VLOOKUP('Données projet'!$B$9,Paramètres!$A$1:$I$89,5,0)</f>
        <v>132.96192000000019</v>
      </c>
      <c r="P62" s="14">
        <f t="shared" si="33"/>
        <v>34.679872132599179</v>
      </c>
      <c r="Q62" s="22">
        <f t="shared" si="53"/>
        <v>291.97612129761052</v>
      </c>
      <c r="R62" s="62">
        <f t="shared" si="0"/>
        <v>585.30945463094383</v>
      </c>
      <c r="S62" s="62">
        <f ca="1">AVERAGE(OFFSET($R$3,0,0,'Données projet'!$E$9+1,1))-AVERAGE(OFFSET($H$3,0,0,'Données projet'!$E$9+1,1))</f>
        <v>239.16843440041487</v>
      </c>
      <c r="T62" s="62">
        <f t="shared" si="34"/>
        <v>241.82319822554194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2.1254222892049155</v>
      </c>
      <c r="AB62" s="23">
        <f>EXP(-LN(2)/2)*AB61+(1-EXP(-LN(2)/2))/(LN(2)/2)*V62*Y62*VLOOKUP('Données projet'!$B$9,Paramètres!$A$1:$I$89,3,0)*0.475*44/12</f>
        <v>0</v>
      </c>
      <c r="AC62" s="24">
        <f t="shared" si="3"/>
        <v>2.1254222892049155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7.4</v>
      </c>
      <c r="AI62" s="14">
        <f>IF('Données projet'!$A$62&gt;35,AI61+AH62-AQ61,IF(A62&lt;'Données projet'!$A$62,$AF$205^A62,IF(A62='Données projet'!$A$62,'Données projet'!$B$62,AI61+AH62-AQ61)))</f>
        <v>335.59999999999974</v>
      </c>
      <c r="AJ62" s="14">
        <f>AI62*VLOOKUP('Données projet'!$B$10,Paramètres!$A$1:$I$89,3,0)*VLOOKUP('Données projet'!$B$10,Paramètres!$A$1:$I$89,5,0)</f>
        <v>246.06191999999979</v>
      </c>
      <c r="AK62" s="14">
        <f t="shared" si="35"/>
        <v>59.741882613953308</v>
      </c>
      <c r="AL62" s="22">
        <f t="shared" si="4"/>
        <v>532.60828955263503</v>
      </c>
      <c r="AM62" s="62">
        <f t="shared" si="5"/>
        <v>825.9416228859684</v>
      </c>
      <c r="AN62" s="62">
        <f ca="1">AVERAGE(OFFSET($AM$3,0,0,'Données projet'!$E$10+1,1))-AVERAGE(OFFSET($H$3,0,0,'Données projet'!$E$10+1,1))</f>
        <v>376.5422416541544</v>
      </c>
      <c r="AO62" s="62">
        <f t="shared" si="36"/>
        <v>365.76175372075869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4.338528752619216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4.338528752619216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projet'!$B$11,Paramètres!$A$1:$I$89,3,0)*VLOOKUP('Données projet'!$B$11,Paramètres!$A$1:$I$89,5,0)</f>
        <v>0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405.13433810198853</v>
      </c>
      <c r="BJ62" s="62">
        <f t="shared" si="38"/>
        <v>534.74398214162079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4.6505361842134683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1.6594290639251261E-3</v>
      </c>
      <c r="BS62" s="24">
        <f t="shared" si="9"/>
        <v>4.6521956132773932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9.4</v>
      </c>
      <c r="BY62" s="13">
        <f>IF('Données projet'!$A$114&gt;35,BY61+BX62-CG61,IF(A62&lt;'Données projet'!$A$114,$BV$205^A62,IF(A62='Données projet'!$A$114,'Données projet'!$B$114,BY61+BX62-CG61)))</f>
        <v>263.59999999999997</v>
      </c>
      <c r="BZ62" s="14">
        <f>BY62*VLOOKUP('Données projet'!$B$12,Paramètres!$A$1:$I$89,3,0)*VLOOKUP('Données projet'!$B$12,Paramètres!$A$1:$I$89,5,0)</f>
        <v>222.05663999999999</v>
      </c>
      <c r="CA62" s="14">
        <f t="shared" si="39"/>
        <v>54.561643903321311</v>
      </c>
      <c r="CB62" s="22">
        <f t="shared" si="10"/>
        <v>481.77684446495124</v>
      </c>
      <c r="CC62" s="62">
        <f t="shared" si="11"/>
        <v>775.11017779828455</v>
      </c>
      <c r="CD62" s="62">
        <f ca="1">AVERAGE(OFFSET($CC$3,0,0,'Données projet'!$E$12+1,1))-AVERAGE(OFFSET($H$3,0,0,'Données projet'!$E$12+1,1))</f>
        <v>411.60020200960821</v>
      </c>
      <c r="CE62" s="62">
        <f t="shared" si="40"/>
        <v>261.95434270986397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6.2</v>
      </c>
      <c r="CT62" s="13">
        <f>IF('Données projet'!$A$140&gt;35,CT61+CS62-DB61,IF(A62&lt;'Données projet'!$A$140,$CQ$205^A62,IF(A62='Données projet'!$A$140,'Données projet'!$B$140,CT61+CS62-DB61)))</f>
        <v>209.80000000000004</v>
      </c>
      <c r="CU62" s="18">
        <f>CT62*VLOOKUP('Données projet'!$B$13,Paramètres!$A$1:$I$89,3,0)*VLOOKUP('Données projet'!$B$13,Paramètres!$A$1:$I$89,5,0)</f>
        <v>170.18976000000004</v>
      </c>
      <c r="CV62" s="14">
        <f t="shared" si="41"/>
        <v>43.13252075296586</v>
      </c>
      <c r="CW62" s="22">
        <f t="shared" si="13"/>
        <v>371.53630564474889</v>
      </c>
      <c r="CX62" s="62">
        <f t="shared" si="14"/>
        <v>664.86963897808221</v>
      </c>
      <c r="CY62" s="62">
        <f ca="1">AVERAGE(OFFSET($CX$3,0,0,'Données projet'!$E$13+1,1))-AVERAGE(OFFSET($H$3,0,0,'Données projet'!$E$13+1,1))</f>
        <v>293.51866463276224</v>
      </c>
      <c r="CZ62" s="62">
        <f t="shared" si="42"/>
        <v>232.78663842203713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156</v>
      </c>
      <c r="L63" s="13">
        <f>VLOOKUP(A63,'Données projet'!$A$35:$I$55,9,0)</f>
        <v>3.8</v>
      </c>
      <c r="M63" s="13">
        <f t="array" ref="M63">INDEX(L:L,MIN(IF(ISNUMBER(L63:L259),ROW(L63:L259),"")))</f>
        <v>3.8</v>
      </c>
      <c r="N63" s="14">
        <f>IF('Données projet'!$A$36&gt;35,N62+M63-V62,IF(A63&lt;'Données projet'!$A$36,$K$205^A63,IF(A63='Données projet'!$A$36,'Données projet'!$B$36,N62+M63-V62)))</f>
        <v>156.0000000000002</v>
      </c>
      <c r="O63" s="14">
        <f>N63*VLOOKUP('Données projet'!$B$9,Paramètres!$A$1:$I$89,3,0)*VLOOKUP('Données projet'!$B$9,Paramètres!$A$1:$I$89,5,0)</f>
        <v>136.28160000000017</v>
      </c>
      <c r="P63" s="14">
        <f t="shared" si="33"/>
        <v>35.443842312892308</v>
      </c>
      <c r="Q63" s="22">
        <f t="shared" si="53"/>
        <v>299.0884786949544</v>
      </c>
      <c r="R63" s="62">
        <f t="shared" si="0"/>
        <v>592.42181202828772</v>
      </c>
      <c r="S63" s="62">
        <f ca="1">AVERAGE(OFFSET($R$3,0,0,'Données projet'!$E$9+1,1))-AVERAGE(OFFSET($H$3,0,0,'Données projet'!$E$9+1,1))</f>
        <v>239.16843440041487</v>
      </c>
      <c r="T63" s="62">
        <f t="shared" si="34"/>
        <v>241.82319822554194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13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2.0673025049355065</v>
      </c>
      <c r="AB63" s="23">
        <f>EXP(-LN(2)/2)*AB62+(1-EXP(-LN(2)/2))/(LN(2)/2)*V63*Y63*VLOOKUP('Données projet'!$B$9,Paramètres!$A$1:$I$89,3,0)*0.475*44/12</f>
        <v>0</v>
      </c>
      <c r="AC63" s="24">
        <f t="shared" si="3"/>
        <v>2.0673025049355065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343</v>
      </c>
      <c r="AG63" s="13">
        <f>VLOOKUP(A63,'Données projet'!$A$61:$I$81,9,0)</f>
        <v>7.4</v>
      </c>
      <c r="AH63" s="13">
        <f t="array" ref="AH63">INDEX(AG:AG,MIN(IF(ISNUMBER(AG63:AG259),ROW(AG63:AG259),"")))</f>
        <v>7.4</v>
      </c>
      <c r="AI63" s="14">
        <f>IF('Données projet'!$A$62&gt;35,AI62+AH63-AQ62,IF(A63&lt;'Données projet'!$A$62,$AF$205^A63,IF(A63='Données projet'!$A$62,'Données projet'!$B$62,AI62+AH63-AQ62)))</f>
        <v>342.99999999999972</v>
      </c>
      <c r="AJ63" s="14">
        <f>AI63*VLOOKUP('Données projet'!$B$10,Paramètres!$A$1:$I$89,3,0)*VLOOKUP('Données projet'!$B$10,Paramètres!$A$1:$I$89,5,0)</f>
        <v>251.48759999999979</v>
      </c>
      <c r="AK63" s="14">
        <f t="shared" si="35"/>
        <v>60.904377929400603</v>
      </c>
      <c r="AL63" s="22">
        <f t="shared" si="4"/>
        <v>544.08269489370571</v>
      </c>
      <c r="AM63" s="62">
        <f t="shared" si="5"/>
        <v>837.41602822703908</v>
      </c>
      <c r="AN63" s="62">
        <f ca="1">AVERAGE(OFFSET($AM$3,0,0,'Données projet'!$E$10+1,1))-AVERAGE(OFFSET($H$3,0,0,'Données projet'!$E$10+1,1))</f>
        <v>376.5422416541544</v>
      </c>
      <c r="AO63" s="62">
        <f t="shared" si="36"/>
        <v>365.76175372075869</v>
      </c>
      <c r="AP63" s="16">
        <f>IF(ISNA(VLOOKUP(A63,'Données projet'!$A$61:$I$81,3,0)),0,VLOOKUP(A63,'Données projet'!$A$61:$I$81,3,0))</f>
        <v>11</v>
      </c>
      <c r="AQ63" s="16">
        <f>IF(ISNA(VLOOKUP(A63,'Données projet'!$A$61:$I$81,4,0)),0,VLOOKUP(A63,'Données projet'!$A$61:$I$81,4,0))</f>
        <v>17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4.2534528500215973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4.2534528500215973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projet'!$B$11,Paramètres!$A$1:$I$89,3,0)*VLOOKUP('Données projet'!$B$11,Paramètres!$A$1:$I$89,5,0)</f>
        <v>0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405.13433810198853</v>
      </c>
      <c r="BJ63" s="62">
        <f t="shared" si="38"/>
        <v>534.74398214162079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4.5593420061880288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1.1733935439995015E-3</v>
      </c>
      <c r="BS63" s="24">
        <f t="shared" si="9"/>
        <v>4.5605153997320285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273</v>
      </c>
      <c r="BW63" s="13">
        <f>VLOOKUP(A63,'Données projet'!$A$113:$I$133,9,0)</f>
        <v>9.4</v>
      </c>
      <c r="BX63" s="13">
        <f t="array" ref="BX63">INDEX(BW:BW,MIN(IF(ISNUMBER(BW63:BW259),ROW(BW63:BW259),"")))</f>
        <v>9.4</v>
      </c>
      <c r="BY63" s="13">
        <f>IF('Données projet'!$A$114&gt;35,BY62+BX63-CG62,IF(A63&lt;'Données projet'!$A$114,$BV$205^A63,IF(A63='Données projet'!$A$114,'Données projet'!$B$114,BY62+BX63-CG62)))</f>
        <v>272.99999999999994</v>
      </c>
      <c r="BZ63" s="14">
        <f>BY63*VLOOKUP('Données projet'!$B$12,Paramètres!$A$1:$I$89,3,0)*VLOOKUP('Données projet'!$B$12,Paramètres!$A$1:$I$89,5,0)</f>
        <v>229.9752</v>
      </c>
      <c r="CA63" s="14">
        <f t="shared" si="39"/>
        <v>56.277319157664316</v>
      </c>
      <c r="CB63" s="22">
        <f t="shared" si="10"/>
        <v>498.55647086626527</v>
      </c>
      <c r="CC63" s="62">
        <f t="shared" si="11"/>
        <v>791.88980419959853</v>
      </c>
      <c r="CD63" s="62">
        <f ca="1">AVERAGE(OFFSET($CC$3,0,0,'Données projet'!$E$12+1,1))-AVERAGE(OFFSET($H$3,0,0,'Données projet'!$E$12+1,1))</f>
        <v>411.60020200960821</v>
      </c>
      <c r="CE63" s="62">
        <f t="shared" si="40"/>
        <v>261.95434270986397</v>
      </c>
      <c r="CF63" s="16">
        <f>IF(ISNA(VLOOKUP(A63,'Données projet'!$A$113:$I$133,3,0)),0,VLOOKUP(A63,'Données projet'!$A$113:$I$133,3,0))</f>
        <v>9</v>
      </c>
      <c r="CG63" s="16">
        <f>IF(ISNA(VLOOKUP(A63,'Données projet'!$A$113:$I$133,4,0)),0,VLOOKUP(A63,'Données projet'!$A$113:$I$133,4,0))</f>
        <v>28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216</v>
      </c>
      <c r="CR63" s="13">
        <f>VLOOKUP(A63,'Données projet'!$A$139:$I$159,9,0)</f>
        <v>6.2</v>
      </c>
      <c r="CS63" s="13">
        <f t="array" ref="CS63">INDEX(CR:CR,MIN(IF(ISNUMBER(CR63:CR259),ROW(CR63:CR259),"")))</f>
        <v>6.2</v>
      </c>
      <c r="CT63" s="13">
        <f>IF('Données projet'!$A$140&gt;35,CT62+CS63-DB62,IF(A63&lt;'Données projet'!$A$140,$CQ$205^A63,IF(A63='Données projet'!$A$140,'Données projet'!$B$140,CT62+CS63-DB62)))</f>
        <v>216.00000000000003</v>
      </c>
      <c r="CU63" s="18">
        <f>CT63*VLOOKUP('Données projet'!$B$13,Paramètres!$A$1:$I$89,3,0)*VLOOKUP('Données projet'!$B$13,Paramètres!$A$1:$I$89,5,0)</f>
        <v>175.21920000000003</v>
      </c>
      <c r="CV63" s="14">
        <f t="shared" si="41"/>
        <v>44.256885598570207</v>
      </c>
      <c r="CW63" s="22">
        <f t="shared" si="13"/>
        <v>382.25418241750987</v>
      </c>
      <c r="CX63" s="62">
        <f t="shared" si="14"/>
        <v>675.58751575084318</v>
      </c>
      <c r="CY63" s="62">
        <f ca="1">AVERAGE(OFFSET($CX$3,0,0,'Données projet'!$E$13+1,1))-AVERAGE(OFFSET($H$3,0,0,'Données projet'!$E$13+1,1))</f>
        <v>293.51866463276224</v>
      </c>
      <c r="CZ63" s="62">
        <f t="shared" si="42"/>
        <v>232.78663842203713</v>
      </c>
      <c r="DA63" s="16">
        <f>IF(ISNA(VLOOKUP(A63,'Données projet'!$A$139:$I$159,3,0)),0,VLOOKUP(A63,'Données projet'!$A$139:$I$159,3,0))</f>
        <v>10</v>
      </c>
      <c r="DB63" s="16">
        <f>IF(ISNA(VLOOKUP(A63,'Données projet'!$A$139:$I$159,4,0)),0,VLOOKUP(A63,'Données projet'!$A$139:$I$159,4,0))</f>
        <v>17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3.4</v>
      </c>
      <c r="N64" s="14">
        <f>IF('Données projet'!$A$36&gt;35,N63+M64-V63,IF(A64&lt;'Données projet'!$A$36,$K$205^A64,IF(A64='Données projet'!$A$36,'Données projet'!$B$36,N63+M64-V63)))</f>
        <v>146.4000000000002</v>
      </c>
      <c r="O64" s="14">
        <f>N64*VLOOKUP('Données projet'!$B$9,Paramètres!$A$1:$I$89,3,0)*VLOOKUP('Données projet'!$B$9,Paramètres!$A$1:$I$89,5,0)</f>
        <v>127.89504000000019</v>
      </c>
      <c r="P64" s="14">
        <f t="shared" si="33"/>
        <v>33.509503727991941</v>
      </c>
      <c r="Q64" s="22">
        <f t="shared" si="53"/>
        <v>281.11291365958624</v>
      </c>
      <c r="R64" s="62">
        <f t="shared" si="0"/>
        <v>574.44624699291955</v>
      </c>
      <c r="S64" s="62">
        <f ca="1">AVERAGE(OFFSET($R$3,0,0,'Données projet'!$E$9+1,1))-AVERAGE(OFFSET($H$3,0,0,'Données projet'!$E$9+1,1))</f>
        <v>239.16843440041487</v>
      </c>
      <c r="T64" s="62">
        <f t="shared" si="34"/>
        <v>241.82319822554194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2.0107720092233312</v>
      </c>
      <c r="AB64" s="23">
        <f>EXP(-LN(2)/2)*AB63+(1-EXP(-LN(2)/2))/(LN(2)/2)*V64*Y64*VLOOKUP('Données projet'!$B$9,Paramètres!$A$1:$I$89,3,0)*0.475*44/12</f>
        <v>0</v>
      </c>
      <c r="AC64" s="24">
        <f t="shared" si="3"/>
        <v>2.0107720092233312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6</v>
      </c>
      <c r="AI64" s="14">
        <f>IF('Données projet'!$A$62&gt;35,AI63+AH64-AQ63,IF(A64&lt;'Données projet'!$A$62,$AF$205^A64,IF(A64='Données projet'!$A$62,'Données projet'!$B$62,AI63+AH64-AQ63)))</f>
        <v>331.99999999999972</v>
      </c>
      <c r="AJ64" s="14">
        <f>AI64*VLOOKUP('Données projet'!$B$10,Paramètres!$A$1:$I$89,3,0)*VLOOKUP('Données projet'!$B$10,Paramètres!$A$1:$I$89,5,0)</f>
        <v>243.42239999999978</v>
      </c>
      <c r="AK64" s="14">
        <f t="shared" si="35"/>
        <v>59.175268615646175</v>
      </c>
      <c r="AL64" s="22">
        <f t="shared" si="4"/>
        <v>527.02427283891677</v>
      </c>
      <c r="AM64" s="62">
        <f t="shared" si="5"/>
        <v>820.35760617225014</v>
      </c>
      <c r="AN64" s="62">
        <f ca="1">AVERAGE(OFFSET($AM$3,0,0,'Données projet'!$E$10+1,1))-AVERAGE(OFFSET($H$3,0,0,'Données projet'!$E$10+1,1))</f>
        <v>376.5422416541544</v>
      </c>
      <c r="AO64" s="62">
        <f t="shared" si="36"/>
        <v>365.76175372075869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4.1700452339827416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4.1700452339827416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405.13433810198853</v>
      </c>
      <c r="BJ64" s="62">
        <f t="shared" si="38"/>
        <v>534.74398214162079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4.4699360903707115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8.2971453196256303E-4</v>
      </c>
      <c r="BS64" s="24">
        <f t="shared" si="9"/>
        <v>4.4707658049026744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8.8000000000000007</v>
      </c>
      <c r="BY64" s="13">
        <f>IF('Données projet'!$A$114&gt;35,BY63+BX64-CG63,IF(A64&lt;'Données projet'!$A$114,$BV$205^A64,IF(A64='Données projet'!$A$114,'Données projet'!$B$114,BY63+BX64-CG63)))</f>
        <v>253.79999999999995</v>
      </c>
      <c r="BZ64" s="14">
        <f>BY64*VLOOKUP('Données projet'!$B$12,Paramètres!$A$1:$I$89,3,0)*VLOOKUP('Données projet'!$B$12,Paramètres!$A$1:$I$89,5,0)</f>
        <v>213.80112</v>
      </c>
      <c r="CA64" s="14">
        <f t="shared" si="39"/>
        <v>52.765356850602878</v>
      </c>
      <c r="CB64" s="22">
        <f t="shared" si="10"/>
        <v>464.2699471814667</v>
      </c>
      <c r="CC64" s="62">
        <f t="shared" si="11"/>
        <v>757.60328051479996</v>
      </c>
      <c r="CD64" s="62">
        <f ca="1">AVERAGE(OFFSET($CC$3,0,0,'Données projet'!$E$12+1,1))-AVERAGE(OFFSET($H$3,0,0,'Données projet'!$E$12+1,1))</f>
        <v>411.60020200960821</v>
      </c>
      <c r="CE64" s="62">
        <f t="shared" si="40"/>
        <v>261.95434270986397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6</v>
      </c>
      <c r="CT64" s="13">
        <f>IF('Données projet'!$A$140&gt;35,CT63+CS64-DB63,IF(A64&lt;'Données projet'!$A$140,$CQ$205^A64,IF(A64='Données projet'!$A$140,'Données projet'!$B$140,CT63+CS64-DB63)))</f>
        <v>205.00000000000003</v>
      </c>
      <c r="CU64" s="18">
        <f>CT64*VLOOKUP('Données projet'!$B$13,Paramètres!$A$1:$I$89,3,0)*VLOOKUP('Données projet'!$B$13,Paramètres!$A$1:$I$89,5,0)</f>
        <v>166.29600000000005</v>
      </c>
      <c r="CV64" s="14">
        <f t="shared" si="41"/>
        <v>42.259390211399776</v>
      </c>
      <c r="CW64" s="22">
        <f t="shared" si="13"/>
        <v>363.2339712848547</v>
      </c>
      <c r="CX64" s="62">
        <f t="shared" si="14"/>
        <v>656.56730461818802</v>
      </c>
      <c r="CY64" s="62">
        <f ca="1">AVERAGE(OFFSET($CX$3,0,0,'Données projet'!$E$13+1,1))-AVERAGE(OFFSET($H$3,0,0,'Données projet'!$E$13+1,1))</f>
        <v>293.51866463276224</v>
      </c>
      <c r="CZ64" s="62">
        <f t="shared" si="42"/>
        <v>232.78663842203713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3.4</v>
      </c>
      <c r="N65" s="14">
        <f>IF('Données projet'!$A$36&gt;35,N64+M65-V64,IF(A65&lt;'Données projet'!$A$36,$K$205^A65,IF(A65='Données projet'!$A$36,'Données projet'!$B$36,N64+M65-V64)))</f>
        <v>149.80000000000021</v>
      </c>
      <c r="O65" s="14">
        <f>N65*VLOOKUP('Données projet'!$B$9,Paramètres!$A$1:$I$89,3,0)*VLOOKUP('Données projet'!$B$9,Paramètres!$A$1:$I$89,5,0)</f>
        <v>130.86528000000018</v>
      </c>
      <c r="P65" s="14">
        <f t="shared" si="33"/>
        <v>34.196222873367319</v>
      </c>
      <c r="Q65" s="22">
        <f t="shared" si="53"/>
        <v>287.48211750444835</v>
      </c>
      <c r="R65" s="62">
        <f t="shared" si="0"/>
        <v>580.81545083778167</v>
      </c>
      <c r="S65" s="62">
        <f ca="1">AVERAGE(OFFSET($R$3,0,0,'Données projet'!$E$9+1,1))-AVERAGE(OFFSET($H$3,0,0,'Données projet'!$E$9+1,1))</f>
        <v>239.16843440041487</v>
      </c>
      <c r="T65" s="62">
        <f t="shared" si="34"/>
        <v>241.82319822554194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1.955787342889215</v>
      </c>
      <c r="AB65" s="23">
        <f>EXP(-LN(2)/2)*AB64+(1-EXP(-LN(2)/2))/(LN(2)/2)*V65*Y65*VLOOKUP('Données projet'!$B$9,Paramètres!$A$1:$I$89,3,0)*0.475*44/12</f>
        <v>0</v>
      </c>
      <c r="AC65" s="24">
        <f t="shared" si="3"/>
        <v>1.955787342889215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6</v>
      </c>
      <c r="AI65" s="14">
        <f>IF('Données projet'!$A$62&gt;35,AI64+AH65-AQ64,IF(A65&lt;'Données projet'!$A$62,$AF$205^A65,IF(A65='Données projet'!$A$62,'Données projet'!$B$62,AI64+AH65-AQ64)))</f>
        <v>337.99999999999972</v>
      </c>
      <c r="AJ65" s="14">
        <f>AI65*VLOOKUP('Données projet'!$B$10,Paramètres!$A$1:$I$89,3,0)*VLOOKUP('Données projet'!$B$10,Paramètres!$A$1:$I$89,5,0)</f>
        <v>247.82159999999982</v>
      </c>
      <c r="AK65" s="14">
        <f t="shared" si="35"/>
        <v>60.119231945607517</v>
      </c>
      <c r="AL65" s="22">
        <f t="shared" si="4"/>
        <v>536.330282305266</v>
      </c>
      <c r="AM65" s="62">
        <f t="shared" si="5"/>
        <v>829.66361563859937</v>
      </c>
      <c r="AN65" s="62">
        <f ca="1">AVERAGE(OFFSET($AM$3,0,0,'Données projet'!$E$10+1,1))-AVERAGE(OFFSET($H$3,0,0,'Données projet'!$E$10+1,1))</f>
        <v>376.5422416541544</v>
      </c>
      <c r="AO65" s="62">
        <f t="shared" si="36"/>
        <v>365.76175372075869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4.088273190420785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4.088273190420785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405.13433810198853</v>
      </c>
      <c r="BJ65" s="62">
        <f t="shared" si="38"/>
        <v>534.74398214162079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4.3822833700303478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5.8669677199975074E-4</v>
      </c>
      <c r="BS65" s="24">
        <f t="shared" si="9"/>
        <v>4.3828700668023473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8.8000000000000007</v>
      </c>
      <c r="BY65" s="13">
        <f>IF('Données projet'!$A$114&gt;35,BY64+BX65-CG64,IF(A65&lt;'Données projet'!$A$114,$BV$205^A65,IF(A65='Données projet'!$A$114,'Données projet'!$B$114,BY64+BX65-CG64)))</f>
        <v>262.59999999999997</v>
      </c>
      <c r="BZ65" s="14">
        <f>BY65*VLOOKUP('Données projet'!$B$12,Paramètres!$A$1:$I$89,3,0)*VLOOKUP('Données projet'!$B$12,Paramètres!$A$1:$I$89,5,0)</f>
        <v>221.21424000000002</v>
      </c>
      <c r="CA65" s="14">
        <f t="shared" si="39"/>
        <v>54.378710185570377</v>
      </c>
      <c r="CB65" s="22">
        <f t="shared" si="10"/>
        <v>479.99105490653511</v>
      </c>
      <c r="CC65" s="62">
        <f t="shared" si="11"/>
        <v>773.32438823986843</v>
      </c>
      <c r="CD65" s="62">
        <f ca="1">AVERAGE(OFFSET($CC$3,0,0,'Données projet'!$E$12+1,1))-AVERAGE(OFFSET($H$3,0,0,'Données projet'!$E$12+1,1))</f>
        <v>411.60020200960821</v>
      </c>
      <c r="CE65" s="62">
        <f t="shared" si="40"/>
        <v>261.95434270986397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6</v>
      </c>
      <c r="CT65" s="13">
        <f>IF('Données projet'!$A$140&gt;35,CT64+CS65-DB64,IF(A65&lt;'Données projet'!$A$140,$CQ$205^A65,IF(A65='Données projet'!$A$140,'Données projet'!$B$140,CT64+CS65-DB64)))</f>
        <v>211.00000000000003</v>
      </c>
      <c r="CU65" s="18">
        <f>CT65*VLOOKUP('Données projet'!$B$13,Paramètres!$A$1:$I$89,3,0)*VLOOKUP('Données projet'!$B$13,Paramètres!$A$1:$I$89,5,0)</f>
        <v>171.16320000000002</v>
      </c>
      <c r="CV65" s="14">
        <f t="shared" si="41"/>
        <v>43.350438209113896</v>
      </c>
      <c r="CW65" s="22">
        <f t="shared" si="13"/>
        <v>373.61125321420673</v>
      </c>
      <c r="CX65" s="62">
        <f t="shared" si="14"/>
        <v>666.94458654753998</v>
      </c>
      <c r="CY65" s="62">
        <f ca="1">AVERAGE(OFFSET($CX$3,0,0,'Données projet'!$E$13+1,1))-AVERAGE(OFFSET($H$3,0,0,'Données projet'!$E$13+1,1))</f>
        <v>293.51866463276224</v>
      </c>
      <c r="CZ65" s="62">
        <f t="shared" si="42"/>
        <v>232.78663842203713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3.4</v>
      </c>
      <c r="N66" s="14">
        <f>IF('Données projet'!$A$36&gt;35,N65+M66-V65,IF(A66&lt;'Données projet'!$A$36,$K$205^A66,IF(A66='Données projet'!$A$36,'Données projet'!$B$36,N65+M66-V65)))</f>
        <v>153.20000000000022</v>
      </c>
      <c r="O66" s="14">
        <f>N66*VLOOKUP('Données projet'!$B$9,Paramètres!$A$1:$I$89,3,0)*VLOOKUP('Données projet'!$B$9,Paramètres!$A$1:$I$89,5,0)</f>
        <v>133.8355200000002</v>
      </c>
      <c r="P66" s="14">
        <f t="shared" si="33"/>
        <v>34.881129989958623</v>
      </c>
      <c r="Q66" s="22">
        <f t="shared" si="53"/>
        <v>293.84816539917824</v>
      </c>
      <c r="R66" s="62">
        <f t="shared" si="0"/>
        <v>587.1814987325115</v>
      </c>
      <c r="S66" s="62">
        <f ca="1">AVERAGE(OFFSET($R$3,0,0,'Données projet'!$E$9+1,1))-AVERAGE(OFFSET($H$3,0,0,'Données projet'!$E$9+1,1))</f>
        <v>239.16843440041487</v>
      </c>
      <c r="T66" s="62">
        <f t="shared" si="34"/>
        <v>241.82319822554194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1.9023062351475231</v>
      </c>
      <c r="AB66" s="23">
        <f>EXP(-LN(2)/2)*AB65+(1-EXP(-LN(2)/2))/(LN(2)/2)*V66*Y66*VLOOKUP('Données projet'!$B$9,Paramètres!$A$1:$I$89,3,0)*0.475*44/12</f>
        <v>0</v>
      </c>
      <c r="AC66" s="24">
        <f t="shared" si="3"/>
        <v>1.9023062351475231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6</v>
      </c>
      <c r="AI66" s="14">
        <f>IF('Données projet'!$A$62&gt;35,AI65+AH66-AQ65,IF(A66&lt;'Données projet'!$A$62,$AF$205^A66,IF(A66='Données projet'!$A$62,'Données projet'!$B$62,AI65+AH66-AQ65)))</f>
        <v>343.99999999999972</v>
      </c>
      <c r="AJ66" s="14">
        <f>AI66*VLOOKUP('Données projet'!$B$10,Paramètres!$A$1:$I$89,3,0)*VLOOKUP('Données projet'!$B$10,Paramètres!$A$1:$I$89,5,0)</f>
        <v>252.2207999999998</v>
      </c>
      <c r="AK66" s="14">
        <f t="shared" si="35"/>
        <v>61.061246695931573</v>
      </c>
      <c r="AL66" s="22">
        <f t="shared" si="4"/>
        <v>545.63289799541383</v>
      </c>
      <c r="AM66" s="62">
        <f t="shared" si="5"/>
        <v>838.9662313287472</v>
      </c>
      <c r="AN66" s="62">
        <f ca="1">AVERAGE(OFFSET($AM$3,0,0,'Données projet'!$E$10+1,1))-AVERAGE(OFFSET($H$3,0,0,'Données projet'!$E$10+1,1))</f>
        <v>376.5422416541544</v>
      </c>
      <c r="AO66" s="62">
        <f t="shared" si="36"/>
        <v>365.76175372075869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4.0081046467570571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4.0081046467570571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405.13433810198853</v>
      </c>
      <c r="BJ66" s="62">
        <f t="shared" si="38"/>
        <v>534.74398214162079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4.2963494660729786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4.1485726598128152E-4</v>
      </c>
      <c r="BS66" s="24">
        <f t="shared" si="9"/>
        <v>4.2967643233389596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8.8000000000000007</v>
      </c>
      <c r="BY66" s="13">
        <f>IF('Données projet'!$A$114&gt;35,BY65+BX66-CG65,IF(A66&lt;'Données projet'!$A$114,$BV$205^A66,IF(A66='Données projet'!$A$114,'Données projet'!$B$114,BY65+BX66-CG65)))</f>
        <v>271.39999999999998</v>
      </c>
      <c r="BZ66" s="14">
        <f>BY66*VLOOKUP('Données projet'!$B$12,Paramètres!$A$1:$I$89,3,0)*VLOOKUP('Données projet'!$B$12,Paramètres!$A$1:$I$89,5,0)</f>
        <v>228.62735999999998</v>
      </c>
      <c r="CA66" s="14">
        <f t="shared" si="39"/>
        <v>55.985781352428695</v>
      </c>
      <c r="CB66" s="22">
        <f t="shared" si="10"/>
        <v>495.70122118881324</v>
      </c>
      <c r="CC66" s="62">
        <f t="shared" si="11"/>
        <v>789.03455452214655</v>
      </c>
      <c r="CD66" s="62">
        <f ca="1">AVERAGE(OFFSET($CC$3,0,0,'Données projet'!$E$12+1,1))-AVERAGE(OFFSET($H$3,0,0,'Données projet'!$E$12+1,1))</f>
        <v>411.60020200960821</v>
      </c>
      <c r="CE66" s="62">
        <f t="shared" si="40"/>
        <v>261.95434270986397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6</v>
      </c>
      <c r="CT66" s="13">
        <f>IF('Données projet'!$A$140&gt;35,CT65+CS66-DB65,IF(A66&lt;'Données projet'!$A$140,$CQ$205^A66,IF(A66='Données projet'!$A$140,'Données projet'!$B$140,CT65+CS66-DB65)))</f>
        <v>217.00000000000003</v>
      </c>
      <c r="CU66" s="18">
        <f>CT66*VLOOKUP('Données projet'!$B$13,Paramètres!$A$1:$I$89,3,0)*VLOOKUP('Données projet'!$B$13,Paramètres!$A$1:$I$89,5,0)</f>
        <v>176.03040000000004</v>
      </c>
      <c r="CV66" s="14">
        <f t="shared" si="41"/>
        <v>44.437880346232944</v>
      </c>
      <c r="CW66" s="22">
        <f t="shared" si="13"/>
        <v>383.98225493635573</v>
      </c>
      <c r="CX66" s="62">
        <f t="shared" si="14"/>
        <v>677.31558826968899</v>
      </c>
      <c r="CY66" s="62">
        <f ca="1">AVERAGE(OFFSET($CX$3,0,0,'Données projet'!$E$13+1,1))-AVERAGE(OFFSET($H$3,0,0,'Données projet'!$E$13+1,1))</f>
        <v>293.51866463276224</v>
      </c>
      <c r="CZ66" s="62">
        <f t="shared" si="42"/>
        <v>232.78663842203713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3.4</v>
      </c>
      <c r="N67" s="14">
        <f>IF('Données projet'!$A$36&gt;35,N66+M67-V66,IF(A67&lt;'Données projet'!$A$36,$K$205^A67,IF(A67='Données projet'!$A$36,'Données projet'!$B$36,N66+M67-V66)))</f>
        <v>156.60000000000022</v>
      </c>
      <c r="O67" s="14">
        <f>N67*VLOOKUP('Données projet'!$B$9,Paramètres!$A$1:$I$89,3,0)*VLOOKUP('Données projet'!$B$9,Paramètres!$A$1:$I$89,5,0)</f>
        <v>136.80576000000019</v>
      </c>
      <c r="P67" s="14">
        <f t="shared" si="33"/>
        <v>35.56426992299734</v>
      </c>
      <c r="Q67" s="22">
        <f t="shared" ref="Q67:Q98" si="54">(O67+P67)*0.475*44/12</f>
        <v>300.21113544922065</v>
      </c>
      <c r="R67" s="62">
        <f t="shared" ref="R67:R130" si="55">Q67+(I67+J67)*44/12</f>
        <v>593.54446878255396</v>
      </c>
      <c r="S67" s="62">
        <f ca="1">AVERAGE(OFFSET($R$3,0,0,'Données projet'!$E$9+1,1))-AVERAGE(OFFSET($H$3,0,0,'Données projet'!$E$9+1,1))</f>
        <v>239.16843440041487</v>
      </c>
      <c r="T67" s="62">
        <f t="shared" si="34"/>
        <v>241.82319822554194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1.8502875711094768</v>
      </c>
      <c r="AB67" s="23">
        <f>EXP(-LN(2)/2)*AB66+(1-EXP(-LN(2)/2))/(LN(2)/2)*V67*Y67*VLOOKUP('Données projet'!$B$9,Paramètres!$A$1:$I$89,3,0)*0.475*44/12</f>
        <v>0</v>
      </c>
      <c r="AC67" s="24">
        <f t="shared" si="3"/>
        <v>1.8502875711094768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6</v>
      </c>
      <c r="AI67" s="14">
        <f>IF('Données projet'!$A$62&gt;35,AI66+AH67-AQ66,IF(A67&lt;'Données projet'!$A$62,$AF$205^A67,IF(A67='Données projet'!$A$62,'Données projet'!$B$62,AI66+AH67-AQ66)))</f>
        <v>349.99999999999972</v>
      </c>
      <c r="AJ67" s="14">
        <f>AI67*VLOOKUP('Données projet'!$B$10,Paramètres!$A$1:$I$89,3,0)*VLOOKUP('Données projet'!$B$10,Paramètres!$A$1:$I$89,5,0)</f>
        <v>256.61999999999978</v>
      </c>
      <c r="AK67" s="14">
        <f t="shared" si="35"/>
        <v>62.001350774926514</v>
      </c>
      <c r="AL67" s="22">
        <f t="shared" si="4"/>
        <v>554.9321859329965</v>
      </c>
      <c r="AM67" s="62">
        <f t="shared" si="5"/>
        <v>848.26551926632987</v>
      </c>
      <c r="AN67" s="62">
        <f ca="1">AVERAGE(OFFSET($AM$3,0,0,'Données projet'!$E$10+1,1))-AVERAGE(OFFSET($H$3,0,0,'Données projet'!$E$10+1,1))</f>
        <v>376.5422416541544</v>
      </c>
      <c r="AO67" s="62">
        <f t="shared" si="36"/>
        <v>365.76175372075869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3.9295081593365913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3.9295081593365913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405.13433810198853</v>
      </c>
      <c r="BJ67" s="62">
        <f t="shared" si="38"/>
        <v>534.74398214162079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4.2121006735577078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2.9334838599987537E-4</v>
      </c>
      <c r="BS67" s="24">
        <f t="shared" si="9"/>
        <v>4.2123940219437079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8.8000000000000007</v>
      </c>
      <c r="BY67" s="13">
        <f>IF('Données projet'!$A$114&gt;35,BY66+BX67-CG66,IF(A67&lt;'Données projet'!$A$114,$BV$205^A67,IF(A67='Données projet'!$A$114,'Données projet'!$B$114,BY66+BX67-CG66)))</f>
        <v>280.2</v>
      </c>
      <c r="BZ67" s="14">
        <f>BY67*VLOOKUP('Données projet'!$B$12,Paramètres!$A$1:$I$89,3,0)*VLOOKUP('Données projet'!$B$12,Paramètres!$A$1:$I$89,5,0)</f>
        <v>236.04048</v>
      </c>
      <c r="CA67" s="14">
        <f t="shared" si="39"/>
        <v>57.586797409506879</v>
      </c>
      <c r="CB67" s="22">
        <f t="shared" si="10"/>
        <v>511.40084148822439</v>
      </c>
      <c r="CC67" s="62">
        <f t="shared" si="11"/>
        <v>804.73417482155764</v>
      </c>
      <c r="CD67" s="62">
        <f ca="1">AVERAGE(OFFSET($CC$3,0,0,'Données projet'!$E$12+1,1))-AVERAGE(OFFSET($H$3,0,0,'Données projet'!$E$12+1,1))</f>
        <v>411.60020200960821</v>
      </c>
      <c r="CE67" s="62">
        <f t="shared" si="40"/>
        <v>261.95434270986397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6</v>
      </c>
      <c r="CT67" s="13">
        <f>IF('Données projet'!$A$140&gt;35,CT66+CS67-DB66,IF(A67&lt;'Données projet'!$A$140,$CQ$205^A67,IF(A67='Données projet'!$A$140,'Données projet'!$B$140,CT66+CS67-DB66)))</f>
        <v>223.00000000000003</v>
      </c>
      <c r="CU67" s="18">
        <f>CT67*VLOOKUP('Données projet'!$B$13,Paramètres!$A$1:$I$89,3,0)*VLOOKUP('Données projet'!$B$13,Paramètres!$A$1:$I$89,5,0)</f>
        <v>180.89760000000004</v>
      </c>
      <c r="CV67" s="14">
        <f t="shared" si="41"/>
        <v>45.521827778957686</v>
      </c>
      <c r="CW67" s="22">
        <f t="shared" si="13"/>
        <v>394.3471700483513</v>
      </c>
      <c r="CX67" s="62">
        <f t="shared" si="14"/>
        <v>687.68050338168462</v>
      </c>
      <c r="CY67" s="62">
        <f ca="1">AVERAGE(OFFSET($CX$3,0,0,'Données projet'!$E$13+1,1))-AVERAGE(OFFSET($H$3,0,0,'Données projet'!$E$13+1,1))</f>
        <v>293.51866463276224</v>
      </c>
      <c r="CZ67" s="62">
        <f t="shared" si="42"/>
        <v>232.78663842203713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160</v>
      </c>
      <c r="L68" s="13">
        <f>VLOOKUP(A68,'Données projet'!$A$35:$I$55,9,0)</f>
        <v>3.4</v>
      </c>
      <c r="M68" s="13">
        <f t="array" ref="M68">INDEX(L:L,MIN(IF(ISNUMBER(L68:L264),ROW(L68:L264),"")))</f>
        <v>3.4</v>
      </c>
      <c r="N68" s="14">
        <f>IF('Données projet'!$A$36&gt;35,N67+M68-V67,IF(A68&lt;'Données projet'!$A$36,$K$205^A68,IF(A68='Données projet'!$A$36,'Données projet'!$B$36,N67+M68-V67)))</f>
        <v>160.00000000000023</v>
      </c>
      <c r="O68" s="14">
        <f>N68*VLOOKUP('Données projet'!$B$9,Paramètres!$A$1:$I$89,3,0)*VLOOKUP('Données projet'!$B$9,Paramètres!$A$1:$I$89,5,0)</f>
        <v>139.77600000000021</v>
      </c>
      <c r="P68" s="14">
        <f t="shared" si="33"/>
        <v>36.245685459195357</v>
      </c>
      <c r="Q68" s="22">
        <f t="shared" si="54"/>
        <v>306.5711021747656</v>
      </c>
      <c r="R68" s="62">
        <f t="shared" si="55"/>
        <v>599.90443550809891</v>
      </c>
      <c r="S68" s="62">
        <f ca="1">AVERAGE(OFFSET($R$3,0,0,'Données projet'!$E$9+1,1))-AVERAGE(OFFSET($H$3,0,0,'Données projet'!$E$9+1,1))</f>
        <v>239.16843440041487</v>
      </c>
      <c r="T68" s="62">
        <f t="shared" si="34"/>
        <v>241.82319822554194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11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1.7996913601750937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1.7996913601750937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356</v>
      </c>
      <c r="AG68" s="13">
        <f>VLOOKUP(A68,'Données projet'!$A$61:$I$81,9,0)</f>
        <v>6</v>
      </c>
      <c r="AH68" s="13">
        <f t="array" ref="AH68">INDEX(AG:AG,MIN(IF(ISNUMBER(AG68:AG264),ROW(AG68:AG264),"")))</f>
        <v>6</v>
      </c>
      <c r="AI68" s="14">
        <f>IF('Données projet'!$A$62&gt;35,AI67+AH68-AQ67,IF(A68&lt;'Données projet'!$A$62,$AF$205^A68,IF(A68='Données projet'!$A$62,'Données projet'!$B$62,AI67+AH68-AQ67)))</f>
        <v>355.99999999999972</v>
      </c>
      <c r="AJ68" s="14">
        <f>AI68*VLOOKUP('Données projet'!$B$10,Paramètres!$A$1:$I$89,3,0)*VLOOKUP('Données projet'!$B$10,Paramètres!$A$1:$I$89,5,0)</f>
        <v>261.01919999999978</v>
      </c>
      <c r="AK68" s="14">
        <f t="shared" si="35"/>
        <v>62.939580716713571</v>
      </c>
      <c r="AL68" s="22">
        <f t="shared" ref="AL68:AL131" si="58">(AJ68+AK68)*0.475*44/12</f>
        <v>564.22820974827573</v>
      </c>
      <c r="AM68" s="62">
        <f t="shared" ref="AM68:AM131" si="59">AL68+(AD68+AE68)*44/12</f>
        <v>857.56154308160899</v>
      </c>
      <c r="AN68" s="62">
        <f ca="1">AVERAGE(OFFSET($AM$3,0,0,'Données projet'!$E$10+1,1))-AVERAGE(OFFSET($H$3,0,0,'Données projet'!$E$10+1,1))</f>
        <v>376.5422416541544</v>
      </c>
      <c r="AO68" s="62">
        <f t="shared" si="36"/>
        <v>365.76175372075869</v>
      </c>
      <c r="AP68" s="16">
        <f>IF(ISNA(VLOOKUP(A68,'Données projet'!$A$61:$I$81,3,0)),0,VLOOKUP(A68,'Données projet'!$A$61:$I$81,3,0))</f>
        <v>12</v>
      </c>
      <c r="AQ68" s="16">
        <f>IF(ISNA(VLOOKUP(A68,'Données projet'!$A$61:$I$81,4,0)),0,VLOOKUP(A68,'Données projet'!$A$61:$I$81,4,0))</f>
        <v>16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3.852452901095317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3.852452901095317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405.13433810198853</v>
      </c>
      <c r="BJ68" s="62">
        <f t="shared" si="38"/>
        <v>534.74398214162079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4.1295039484769713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2.0742863299064076E-4</v>
      </c>
      <c r="BS68" s="24">
        <f t="shared" ref="BS68:BS131" si="63">SUM(BP68:BR68)</f>
        <v>4.1297113771099623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289</v>
      </c>
      <c r="BW68" s="13">
        <f>VLOOKUP(A68,'Données projet'!$A$113:$I$133,9,0)</f>
        <v>8.8000000000000007</v>
      </c>
      <c r="BX68" s="13">
        <f t="array" ref="BX68">INDEX(BW:BW,MIN(IF(ISNUMBER(BW68:BW264),ROW(BW68:BW264),"")))</f>
        <v>8.8000000000000007</v>
      </c>
      <c r="BY68" s="13">
        <f>IF('Données projet'!$A$114&gt;35,BY67+BX68-CG67,IF(A68&lt;'Données projet'!$A$114,$BV$205^A68,IF(A68='Données projet'!$A$114,'Données projet'!$B$114,BY67+BX68-CG67)))</f>
        <v>289</v>
      </c>
      <c r="BZ68" s="14">
        <f>BY68*VLOOKUP('Données projet'!$B$12,Paramètres!$A$1:$I$89,3,0)*VLOOKUP('Données projet'!$B$12,Paramètres!$A$1:$I$89,5,0)</f>
        <v>243.45360000000002</v>
      </c>
      <c r="CA68" s="14">
        <f t="shared" si="39"/>
        <v>59.181970343065316</v>
      </c>
      <c r="CB68" s="22">
        <f t="shared" ref="CB68:CB131" si="64">(BZ68+CA68)*0.475*44/12</f>
        <v>527.09028501417208</v>
      </c>
      <c r="CC68" s="62">
        <f t="shared" ref="CC68:CC131" si="65">CB68+(BT68+BU68)*44/12</f>
        <v>820.42361834750545</v>
      </c>
      <c r="CD68" s="62">
        <f ca="1">AVERAGE(OFFSET($CC$3,0,0,'Données projet'!$E$12+1,1))-AVERAGE(OFFSET($H$3,0,0,'Données projet'!$E$12+1,1))</f>
        <v>411.60020200960821</v>
      </c>
      <c r="CE68" s="62">
        <f t="shared" si="40"/>
        <v>261.95434270986397</v>
      </c>
      <c r="CF68" s="16">
        <f>IF(ISNA(VLOOKUP(A68,'Données projet'!$A$113:$I$133,3,0)),0,VLOOKUP(A68,'Données projet'!$A$113:$I$133,3,0))</f>
        <v>10</v>
      </c>
      <c r="CG68" s="16">
        <f>IF(ISNA(VLOOKUP(A68,'Données projet'!$A$113:$I$133,4,0)),0,VLOOKUP(A68,'Données projet'!$A$113:$I$133,4,0))</f>
        <v>28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229</v>
      </c>
      <c r="CR68" s="13">
        <f>VLOOKUP(A68,'Données projet'!$A$139:$I$159,9,0)</f>
        <v>6</v>
      </c>
      <c r="CS68" s="13">
        <f t="array" ref="CS68">INDEX(CR:CR,MIN(IF(ISNUMBER(CR68:CR264),ROW(CR68:CR264),"")))</f>
        <v>6</v>
      </c>
      <c r="CT68" s="13">
        <f>IF('Données projet'!$A$140&gt;35,CT67+CS68-DB67,IF(A68&lt;'Données projet'!$A$140,$CQ$205^A68,IF(A68='Données projet'!$A$140,'Données projet'!$B$140,CT67+CS68-DB67)))</f>
        <v>229.00000000000003</v>
      </c>
      <c r="CU68" s="18">
        <f>CT68*VLOOKUP('Données projet'!$B$13,Paramètres!$A$1:$I$89,3,0)*VLOOKUP('Données projet'!$B$13,Paramètres!$A$1:$I$89,5,0)</f>
        <v>185.76480000000004</v>
      </c>
      <c r="CV68" s="14">
        <f t="shared" si="41"/>
        <v>46.602385341463361</v>
      </c>
      <c r="CW68" s="22">
        <f t="shared" ref="CW68:CW131" si="67">(CU68+CV68)*0.475*44/12</f>
        <v>404.7061811363821</v>
      </c>
      <c r="CX68" s="62">
        <f t="shared" ref="CX68:CX131" si="68">CW68+(CO68+CP68)*44/12</f>
        <v>698.03951446971541</v>
      </c>
      <c r="CY68" s="62">
        <f ca="1">AVERAGE(OFFSET($CX$3,0,0,'Données projet'!$E$13+1,1))-AVERAGE(OFFSET($H$3,0,0,'Données projet'!$E$13+1,1))</f>
        <v>293.51866463276224</v>
      </c>
      <c r="CZ68" s="62">
        <f t="shared" si="42"/>
        <v>232.78663842203713</v>
      </c>
      <c r="DA68" s="16">
        <f>IF(ISNA(VLOOKUP(A68,'Données projet'!$A$139:$I$159,3,0)),0,VLOOKUP(A68,'Données projet'!$A$139:$I$159,3,0))</f>
        <v>11</v>
      </c>
      <c r="DB68" s="16">
        <f>IF(ISNA(VLOOKUP(A68,'Données projet'!$A$139:$I$159,4,0)),0,VLOOKUP(A68,'Données projet'!$A$139:$I$159,4,0))</f>
        <v>17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2.8</v>
      </c>
      <c r="N69" s="14">
        <f>IF('Données projet'!$A$36&gt;35,N68+M69-V68,IF(A69&lt;'Données projet'!$A$36,$K$205^A69,IF(A69='Données projet'!$A$36,'Données projet'!$B$36,N68+M69-V68)))</f>
        <v>151.80000000000024</v>
      </c>
      <c r="O69" s="14">
        <f>N69*VLOOKUP('Données projet'!$B$9,Paramètres!$A$1:$I$89,3,0)*VLOOKUP('Données projet'!$B$9,Paramètres!$A$1:$I$89,5,0)</f>
        <v>132.61248000000023</v>
      </c>
      <c r="P69" s="14">
        <f t="shared" ref="P69:P132" si="87">EXP(-1.0587+0.8836*LN(O69)+0.284)</f>
        <v>34.599325938965521</v>
      </c>
      <c r="Q69" s="22">
        <f t="shared" si="54"/>
        <v>291.22722867703203</v>
      </c>
      <c r="R69" s="62">
        <f t="shared" si="55"/>
        <v>584.5605620103654</v>
      </c>
      <c r="S69" s="62">
        <f ca="1">AVERAGE(OFFSET($R$3,0,0,'Données projet'!$E$9+1,1))-AVERAGE(OFFSET($H$3,0,0,'Données projet'!$E$9+1,1))</f>
        <v>239.16843440041487</v>
      </c>
      <c r="T69" s="62">
        <f t="shared" ref="T69:T132" si="88">$T$3</f>
        <v>241.82319822554194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1.7504787052894504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1.7504787052894504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5.2</v>
      </c>
      <c r="AI69" s="14">
        <f>IF('Données projet'!$A$62&gt;35,AI68+AH69-AQ68,IF(A69&lt;'Données projet'!$A$62,$AF$205^A69,IF(A69='Données projet'!$A$62,'Données projet'!$B$62,AI68+AH69-AQ68)))</f>
        <v>345.1999999999997</v>
      </c>
      <c r="AJ69" s="14">
        <f>AI69*VLOOKUP('Données projet'!$B$10,Paramètres!$A$1:$I$89,3,0)*VLOOKUP('Données projet'!$B$10,Paramètres!$A$1:$I$89,5,0)</f>
        <v>253.1006399999998</v>
      </c>
      <c r="AK69" s="14">
        <f t="shared" ref="AK69:AK132" si="89">EXP(-1.0587+0.8836*LN(AJ69)+0.284)</f>
        <v>61.249419177028884</v>
      </c>
      <c r="AL69" s="22">
        <f t="shared" si="58"/>
        <v>547.4930197333249</v>
      </c>
      <c r="AM69" s="62">
        <f t="shared" si="59"/>
        <v>840.82635306665816</v>
      </c>
      <c r="AN69" s="62">
        <f ca="1">AVERAGE(OFFSET($AM$3,0,0,'Données projet'!$E$10+1,1))-AVERAGE(OFFSET($H$3,0,0,'Données projet'!$E$10+1,1))</f>
        <v>376.5422416541544</v>
      </c>
      <c r="AO69" s="62">
        <f t="shared" ref="AO69:AO132" si="90">$AO$3</f>
        <v>365.76175372075869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3.7769086494690876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3.7769086494690876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405.13433810198853</v>
      </c>
      <c r="BJ69" s="62">
        <f t="shared" ref="BJ69:BJ132" si="92">$BJ$3</f>
        <v>534.74398214162079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4.0485268947960407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1.4667419299993769E-4</v>
      </c>
      <c r="BS69" s="24">
        <f t="shared" si="63"/>
        <v>4.0486735689890407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8.1999999999999993</v>
      </c>
      <c r="BY69" s="13">
        <f>IF('Données projet'!$A$114&gt;35,BY68+BX69-CG68,IF(A69&lt;'Données projet'!$A$114,$BV$205^A69,IF(A69='Données projet'!$A$114,'Données projet'!$B$114,BY68+BX69-CG68)))</f>
        <v>269.2</v>
      </c>
      <c r="BZ69" s="14">
        <f>BY69*VLOOKUP('Données projet'!$B$12,Paramètres!$A$1:$I$89,3,0)*VLOOKUP('Données projet'!$B$12,Paramètres!$A$1:$I$89,5,0)</f>
        <v>226.77408</v>
      </c>
      <c r="CA69" s="14">
        <f t="shared" ref="CA69:CA132" si="93">EXP(-1.0587+0.8836*LN(BZ69)+0.284)</f>
        <v>55.584589827360034</v>
      </c>
      <c r="CB69" s="22">
        <f t="shared" si="64"/>
        <v>491.77468328265195</v>
      </c>
      <c r="CC69" s="62">
        <f t="shared" si="65"/>
        <v>785.10801661598521</v>
      </c>
      <c r="CD69" s="62">
        <f ca="1">AVERAGE(OFFSET($CC$3,0,0,'Données projet'!$E$12+1,1))-AVERAGE(OFFSET($H$3,0,0,'Données projet'!$E$12+1,1))</f>
        <v>411.60020200960821</v>
      </c>
      <c r="CE69" s="62">
        <f t="shared" ref="CE69:CE132" si="94">$CE$3</f>
        <v>261.95434270986397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5.8</v>
      </c>
      <c r="CT69" s="13">
        <f>IF('Données projet'!$A$140&gt;35,CT68+CS69-DB68,IF(A69&lt;'Données projet'!$A$140,$CQ$205^A69,IF(A69='Données projet'!$A$140,'Données projet'!$B$140,CT68+CS69-DB68)))</f>
        <v>217.80000000000004</v>
      </c>
      <c r="CU69" s="18">
        <f>CT69*VLOOKUP('Données projet'!$B$13,Paramètres!$A$1:$I$89,3,0)*VLOOKUP('Données projet'!$B$13,Paramètres!$A$1:$I$89,5,0)</f>
        <v>176.67936000000006</v>
      </c>
      <c r="CV69" s="14">
        <f t="shared" ref="CV69:CV132" si="95">EXP(-1.0587+0.8836*LN(CU69)+0.284)</f>
        <v>44.5826062365838</v>
      </c>
      <c r="CW69" s="22">
        <f t="shared" si="67"/>
        <v>385.36459119538358</v>
      </c>
      <c r="CX69" s="62">
        <f t="shared" si="68"/>
        <v>678.69792452871684</v>
      </c>
      <c r="CY69" s="62">
        <f ca="1">AVERAGE(OFFSET($CX$3,0,0,'Données projet'!$E$13+1,1))-AVERAGE(OFFSET($H$3,0,0,'Données projet'!$E$13+1,1))</f>
        <v>293.51866463276224</v>
      </c>
      <c r="CZ69" s="62">
        <f t="shared" ref="CZ69:CZ132" si="96">$CZ$3</f>
        <v>232.78663842203713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2.8</v>
      </c>
      <c r="N70" s="14">
        <f>IF('Données projet'!$A$36&gt;35,N69+M70-V69,IF(A70&lt;'Données projet'!$A$36,$K$205^A70,IF(A70='Données projet'!$A$36,'Données projet'!$B$36,N69+M70-V69)))</f>
        <v>154.60000000000025</v>
      </c>
      <c r="O70" s="14">
        <f>N70*VLOOKUP('Données projet'!$B$9,Paramètres!$A$1:$I$89,3,0)*VLOOKUP('Données projet'!$B$9,Paramètres!$A$1:$I$89,5,0)</f>
        <v>135.05856000000023</v>
      </c>
      <c r="P70" s="14">
        <f t="shared" si="87"/>
        <v>35.162634438808944</v>
      </c>
      <c r="Q70" s="22">
        <f t="shared" si="54"/>
        <v>296.46858031425933</v>
      </c>
      <c r="R70" s="62">
        <f t="shared" si="55"/>
        <v>589.80191364759264</v>
      </c>
      <c r="S70" s="62">
        <f ca="1">AVERAGE(OFFSET($R$3,0,0,'Données projet'!$E$9+1,1))-AVERAGE(OFFSET($H$3,0,0,'Données projet'!$E$9+1,1))</f>
        <v>239.16843440041487</v>
      </c>
      <c r="T70" s="62">
        <f t="shared" si="88"/>
        <v>241.82319822554194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1.702611773039636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1.702611773039636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5.2</v>
      </c>
      <c r="AI70" s="14">
        <f>IF('Données projet'!$A$62&gt;35,AI69+AH70-AQ69,IF(A70&lt;'Données projet'!$A$62,$AF$205^A70,IF(A70='Données projet'!$A$62,'Données projet'!$B$62,AI69+AH70-AQ69)))</f>
        <v>350.39999999999969</v>
      </c>
      <c r="AJ70" s="14">
        <f>AI70*VLOOKUP('Données projet'!$B$10,Paramètres!$A$1:$I$89,3,0)*VLOOKUP('Données projet'!$B$10,Paramètres!$A$1:$I$89,5,0)</f>
        <v>256.91327999999976</v>
      </c>
      <c r="AK70" s="14">
        <f t="shared" si="89"/>
        <v>62.063957347667916</v>
      </c>
      <c r="AL70" s="22">
        <f t="shared" si="58"/>
        <v>555.55202171385451</v>
      </c>
      <c r="AM70" s="62">
        <f t="shared" si="59"/>
        <v>848.88535504718789</v>
      </c>
      <c r="AN70" s="62">
        <f ca="1">AVERAGE(OFFSET($AM$3,0,0,'Données projet'!$E$10+1,1))-AVERAGE(OFFSET($H$3,0,0,'Données projet'!$E$10+1,1))</f>
        <v>376.5422416541544</v>
      </c>
      <c r="AO70" s="62">
        <f t="shared" si="90"/>
        <v>365.76175372075869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3.7028457745398047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3.7028457745398047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405.13433810198853</v>
      </c>
      <c r="BJ70" s="62">
        <f t="shared" si="92"/>
        <v>534.74398214162079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3.9691377517466675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1.0371431649532038E-4</v>
      </c>
      <c r="BS70" s="24">
        <f t="shared" si="63"/>
        <v>3.969241466063163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8.1999999999999993</v>
      </c>
      <c r="BY70" s="13">
        <f>IF('Données projet'!$A$114&gt;35,BY69+BX70-CG69,IF(A70&lt;'Données projet'!$A$114,$BV$205^A70,IF(A70='Données projet'!$A$114,'Données projet'!$B$114,BY69+BX70-CG69)))</f>
        <v>277.39999999999998</v>
      </c>
      <c r="BZ70" s="14">
        <f>BY70*VLOOKUP('Données projet'!$B$12,Paramètres!$A$1:$I$89,3,0)*VLOOKUP('Données projet'!$B$12,Paramètres!$A$1:$I$89,5,0)</f>
        <v>233.68176</v>
      </c>
      <c r="CA70" s="14">
        <f t="shared" si="93"/>
        <v>57.078026837098335</v>
      </c>
      <c r="CB70" s="22">
        <f t="shared" si="64"/>
        <v>506.40662874127952</v>
      </c>
      <c r="CC70" s="62">
        <f t="shared" si="65"/>
        <v>799.73996207461278</v>
      </c>
      <c r="CD70" s="62">
        <f ca="1">AVERAGE(OFFSET($CC$3,0,0,'Données projet'!$E$12+1,1))-AVERAGE(OFFSET($H$3,0,0,'Données projet'!$E$12+1,1))</f>
        <v>411.60020200960821</v>
      </c>
      <c r="CE70" s="62">
        <f t="shared" si="94"/>
        <v>261.95434270986397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5.8</v>
      </c>
      <c r="CT70" s="13">
        <f>IF('Données projet'!$A$140&gt;35,CT69+CS70-DB69,IF(A70&lt;'Données projet'!$A$140,$CQ$205^A70,IF(A70='Données projet'!$A$140,'Données projet'!$B$140,CT69+CS70-DB69)))</f>
        <v>223.60000000000005</v>
      </c>
      <c r="CU70" s="18">
        <f>CT70*VLOOKUP('Données projet'!$B$13,Paramètres!$A$1:$I$89,3,0)*VLOOKUP('Données projet'!$B$13,Paramètres!$A$1:$I$89,5,0)</f>
        <v>181.38432000000006</v>
      </c>
      <c r="CV70" s="14">
        <f t="shared" si="95"/>
        <v>45.630034401501952</v>
      </c>
      <c r="CW70" s="22">
        <f t="shared" si="67"/>
        <v>395.38333391594932</v>
      </c>
      <c r="CX70" s="62">
        <f t="shared" si="68"/>
        <v>688.71666724928264</v>
      </c>
      <c r="CY70" s="62">
        <f ca="1">AVERAGE(OFFSET($CX$3,0,0,'Données projet'!$E$13+1,1))-AVERAGE(OFFSET($H$3,0,0,'Données projet'!$E$13+1,1))</f>
        <v>293.51866463276224</v>
      </c>
      <c r="CZ70" s="62">
        <f t="shared" si="96"/>
        <v>232.78663842203713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2.8</v>
      </c>
      <c r="N71" s="14">
        <f>IF('Données projet'!$A$36&gt;35,N70+M71-V70,IF(A71&lt;'Données projet'!$A$36,$K$205^A71,IF(A71='Données projet'!$A$36,'Données projet'!$B$36,N70+M71-V70)))</f>
        <v>157.40000000000026</v>
      </c>
      <c r="O71" s="14">
        <f>N71*VLOOKUP('Données projet'!$B$9,Paramètres!$A$1:$I$89,3,0)*VLOOKUP('Données projet'!$B$9,Paramètres!$A$1:$I$89,5,0)</f>
        <v>137.50464000000025</v>
      </c>
      <c r="P71" s="14">
        <f t="shared" si="87"/>
        <v>35.724756582112391</v>
      </c>
      <c r="Q71" s="22">
        <f t="shared" si="54"/>
        <v>301.70786571384616</v>
      </c>
      <c r="R71" s="62">
        <f t="shared" si="55"/>
        <v>595.04119904717948</v>
      </c>
      <c r="S71" s="62">
        <f ca="1">AVERAGE(OFFSET($R$3,0,0,'Données projet'!$E$9+1,1))-AVERAGE(OFFSET($H$3,0,0,'Données projet'!$E$9+1,1))</f>
        <v>239.16843440041487</v>
      </c>
      <c r="T71" s="62">
        <f t="shared" si="88"/>
        <v>241.82319822554194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1.6560537645694053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1.6560537645694053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5.2</v>
      </c>
      <c r="AI71" s="14">
        <f>IF('Données projet'!$A$62&gt;35,AI70+AH71-AQ70,IF(A71&lt;'Données projet'!$A$62,$AF$205^A71,IF(A71='Données projet'!$A$62,'Données projet'!$B$62,AI70+AH71-AQ70)))</f>
        <v>355.59999999999968</v>
      </c>
      <c r="AJ71" s="14">
        <f>AI71*VLOOKUP('Données projet'!$B$10,Paramètres!$A$1:$I$89,3,0)*VLOOKUP('Données projet'!$B$10,Paramètres!$A$1:$I$89,5,0)</f>
        <v>260.72591999999975</v>
      </c>
      <c r="AK71" s="14">
        <f t="shared" si="89"/>
        <v>62.877089647292053</v>
      </c>
      <c r="AL71" s="22">
        <f t="shared" si="58"/>
        <v>563.60857513569988</v>
      </c>
      <c r="AM71" s="62">
        <f t="shared" si="59"/>
        <v>856.94190846903325</v>
      </c>
      <c r="AN71" s="62">
        <f ca="1">AVERAGE(OFFSET($AM$3,0,0,'Données projet'!$E$10+1,1))-AVERAGE(OFFSET($H$3,0,0,'Données projet'!$E$10+1,1))</f>
        <v>376.5422416541544</v>
      </c>
      <c r="AO71" s="62">
        <f t="shared" si="90"/>
        <v>365.76175372075869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3.630235227413992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3.630235227413992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405.13433810198853</v>
      </c>
      <c r="BJ71" s="62">
        <f t="shared" si="92"/>
        <v>534.74398214162079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3.8913053813698966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7.3337096499968843E-5</v>
      </c>
      <c r="BS71" s="24">
        <f t="shared" si="63"/>
        <v>3.8913787184663966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8.1999999999999993</v>
      </c>
      <c r="BY71" s="13">
        <f>IF('Données projet'!$A$114&gt;35,BY70+BX71-CG70,IF(A71&lt;'Données projet'!$A$114,$BV$205^A71,IF(A71='Données projet'!$A$114,'Données projet'!$B$114,BY70+BX71-CG70)))</f>
        <v>285.59999999999997</v>
      </c>
      <c r="BZ71" s="14">
        <f>BY71*VLOOKUP('Données projet'!$B$12,Paramètres!$A$1:$I$89,3,0)*VLOOKUP('Données projet'!$B$12,Paramètres!$A$1:$I$89,5,0)</f>
        <v>240.58944</v>
      </c>
      <c r="CA71" s="14">
        <f t="shared" si="93"/>
        <v>58.56633325847811</v>
      </c>
      <c r="CB71" s="22">
        <f t="shared" si="64"/>
        <v>521.02963842518272</v>
      </c>
      <c r="CC71" s="62">
        <f t="shared" si="65"/>
        <v>814.3629717585161</v>
      </c>
      <c r="CD71" s="62">
        <f ca="1">AVERAGE(OFFSET($CC$3,0,0,'Données projet'!$E$12+1,1))-AVERAGE(OFFSET($H$3,0,0,'Données projet'!$E$12+1,1))</f>
        <v>411.60020200960821</v>
      </c>
      <c r="CE71" s="62">
        <f t="shared" si="94"/>
        <v>261.95434270986397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5.8</v>
      </c>
      <c r="CT71" s="13">
        <f>IF('Données projet'!$A$140&gt;35,CT70+CS71-DB70,IF(A71&lt;'Données projet'!$A$140,$CQ$205^A71,IF(A71='Données projet'!$A$140,'Données projet'!$B$140,CT70+CS71-DB70)))</f>
        <v>229.40000000000006</v>
      </c>
      <c r="CU71" s="18">
        <f>CT71*VLOOKUP('Données projet'!$B$13,Paramètres!$A$1:$I$89,3,0)*VLOOKUP('Données projet'!$B$13,Paramètres!$A$1:$I$89,5,0)</f>
        <v>186.08928000000006</v>
      </c>
      <c r="CV71" s="14">
        <f t="shared" si="95"/>
        <v>46.674304440658808</v>
      </c>
      <c r="CW71" s="22">
        <f t="shared" si="67"/>
        <v>405.39657623414746</v>
      </c>
      <c r="CX71" s="62">
        <f t="shared" si="68"/>
        <v>698.72990956748072</v>
      </c>
      <c r="CY71" s="62">
        <f ca="1">AVERAGE(OFFSET($CX$3,0,0,'Données projet'!$E$13+1,1))-AVERAGE(OFFSET($H$3,0,0,'Données projet'!$E$13+1,1))</f>
        <v>293.51866463276224</v>
      </c>
      <c r="CZ71" s="62">
        <f t="shared" si="96"/>
        <v>232.78663842203713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2.8</v>
      </c>
      <c r="N72" s="14">
        <f>IF('Données projet'!$A$36&gt;35,N71+M72-V71,IF(A72&lt;'Données projet'!$A$36,$K$205^A72,IF(A72='Données projet'!$A$36,'Données projet'!$B$36,N71+M72-V71)))</f>
        <v>160.20000000000027</v>
      </c>
      <c r="O72" s="14">
        <f>N72*VLOOKUP('Données projet'!$B$9,Paramètres!$A$1:$I$89,3,0)*VLOOKUP('Données projet'!$B$9,Paramètres!$A$1:$I$89,5,0)</f>
        <v>139.95072000000025</v>
      </c>
      <c r="P72" s="14">
        <f t="shared" si="87"/>
        <v>36.285715907711982</v>
      </c>
      <c r="Q72" s="22">
        <f t="shared" si="54"/>
        <v>306.94512587259879</v>
      </c>
      <c r="R72" s="62">
        <f t="shared" si="55"/>
        <v>600.27845920593211</v>
      </c>
      <c r="S72" s="62">
        <f ca="1">AVERAGE(OFFSET($R$3,0,0,'Données projet'!$E$9+1,1))-AVERAGE(OFFSET($H$3,0,0,'Données projet'!$E$9+1,1))</f>
        <v>239.16843440041487</v>
      </c>
      <c r="T72" s="62">
        <f t="shared" si="88"/>
        <v>241.82319822554194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1.6107688872891723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1.6107688872891723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5.2</v>
      </c>
      <c r="AI72" s="14">
        <f>IF('Données projet'!$A$62&gt;35,AI71+AH72-AQ71,IF(A72&lt;'Données projet'!$A$62,$AF$205^A72,IF(A72='Données projet'!$A$62,'Données projet'!$B$62,AI71+AH72-AQ71)))</f>
        <v>360.79999999999967</v>
      </c>
      <c r="AJ72" s="14">
        <f>AI72*VLOOKUP('Données projet'!$B$10,Paramètres!$A$1:$I$89,3,0)*VLOOKUP('Données projet'!$B$10,Paramètres!$A$1:$I$89,5,0)</f>
        <v>264.53855999999973</v>
      </c>
      <c r="AK72" s="14">
        <f t="shared" si="89"/>
        <v>63.688839009304033</v>
      </c>
      <c r="AL72" s="22">
        <f t="shared" si="58"/>
        <v>571.66271994120405</v>
      </c>
      <c r="AM72" s="62">
        <f t="shared" si="59"/>
        <v>864.99605327453742</v>
      </c>
      <c r="AN72" s="62">
        <f ca="1">AVERAGE(OFFSET($AM$3,0,0,'Données projet'!$E$10+1,1))-AVERAGE(OFFSET($H$3,0,0,'Données projet'!$E$10+1,1))</f>
        <v>376.5422416541544</v>
      </c>
      <c r="AO72" s="62">
        <f t="shared" si="90"/>
        <v>365.76175372075869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3.5590485288292557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3.5590485288292557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405.13433810198853</v>
      </c>
      <c r="BJ72" s="62">
        <f t="shared" si="92"/>
        <v>534.74398214162079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3.8149992563031558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5.185715824766019E-5</v>
      </c>
      <c r="BS72" s="24">
        <f t="shared" si="63"/>
        <v>3.8150511134614034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8.1999999999999993</v>
      </c>
      <c r="BY72" s="13">
        <f>IF('Données projet'!$A$114&gt;35,BY71+BX72-CG71,IF(A72&lt;'Données projet'!$A$114,$BV$205^A72,IF(A72='Données projet'!$A$114,'Données projet'!$B$114,BY71+BX72-CG71)))</f>
        <v>293.79999999999995</v>
      </c>
      <c r="BZ72" s="14">
        <f>BY72*VLOOKUP('Données projet'!$B$12,Paramètres!$A$1:$I$89,3,0)*VLOOKUP('Données projet'!$B$12,Paramètres!$A$1:$I$89,5,0)</f>
        <v>247.49712</v>
      </c>
      <c r="CA72" s="14">
        <f t="shared" si="93"/>
        <v>60.049673316050104</v>
      </c>
      <c r="CB72" s="22">
        <f t="shared" si="64"/>
        <v>535.64399835878714</v>
      </c>
      <c r="CC72" s="62">
        <f t="shared" si="65"/>
        <v>828.97733169212052</v>
      </c>
      <c r="CD72" s="62">
        <f ca="1">AVERAGE(OFFSET($CC$3,0,0,'Données projet'!$E$12+1,1))-AVERAGE(OFFSET($H$3,0,0,'Données projet'!$E$12+1,1))</f>
        <v>411.60020200960821</v>
      </c>
      <c r="CE72" s="62">
        <f t="shared" si="94"/>
        <v>261.95434270986397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5.8</v>
      </c>
      <c r="CT72" s="13">
        <f>IF('Données projet'!$A$140&gt;35,CT71+CS72-DB71,IF(A72&lt;'Données projet'!$A$140,$CQ$205^A72,IF(A72='Données projet'!$A$140,'Données projet'!$B$140,CT71+CS72-DB71)))</f>
        <v>235.20000000000007</v>
      </c>
      <c r="CU72" s="18">
        <f>CT72*VLOOKUP('Données projet'!$B$13,Paramètres!$A$1:$I$89,3,0)*VLOOKUP('Données projet'!$B$13,Paramètres!$A$1:$I$89,5,0)</f>
        <v>190.79424000000009</v>
      </c>
      <c r="CV72" s="14">
        <f t="shared" si="95"/>
        <v>47.715505384501149</v>
      </c>
      <c r="CW72" s="22">
        <f t="shared" si="67"/>
        <v>415.40447321133962</v>
      </c>
      <c r="CX72" s="62">
        <f t="shared" si="68"/>
        <v>708.73780654467294</v>
      </c>
      <c r="CY72" s="62">
        <f ca="1">AVERAGE(OFFSET($CX$3,0,0,'Données projet'!$E$13+1,1))-AVERAGE(OFFSET($H$3,0,0,'Données projet'!$E$13+1,1))</f>
        <v>293.51866463276224</v>
      </c>
      <c r="CZ72" s="62">
        <f t="shared" si="96"/>
        <v>232.78663842203713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163</v>
      </c>
      <c r="L73" s="13">
        <f>VLOOKUP(A73,'Données projet'!$A$35:$I$55,9,0)</f>
        <v>2.8</v>
      </c>
      <c r="M73" s="13">
        <f t="array" ref="M73">INDEX(L:L,MIN(IF(ISNUMBER(L73:L269),ROW(L73:L269),"")))</f>
        <v>2.8</v>
      </c>
      <c r="N73" s="14">
        <f>IF('Données projet'!$A$36&gt;35,N72+M73-V72,IF(A73&lt;'Données projet'!$A$36,$K$205^A73,IF(A73='Données projet'!$A$36,'Données projet'!$B$36,N72+M73-V72)))</f>
        <v>163.00000000000028</v>
      </c>
      <c r="O73" s="14">
        <f>N73*VLOOKUP('Données projet'!$B$9,Paramètres!$A$1:$I$89,3,0)*VLOOKUP('Données projet'!$B$9,Paramètres!$A$1:$I$89,5,0)</f>
        <v>142.39680000000027</v>
      </c>
      <c r="P73" s="14">
        <f t="shared" si="87"/>
        <v>36.845535084477049</v>
      </c>
      <c r="Q73" s="22">
        <f t="shared" si="54"/>
        <v>312.18040027213129</v>
      </c>
      <c r="R73" s="62">
        <f t="shared" si="55"/>
        <v>605.51373360546461</v>
      </c>
      <c r="S73" s="62">
        <f ca="1">AVERAGE(OFFSET($R$3,0,0,'Données projet'!$E$9+1,1))-AVERAGE(OFFSET($H$3,0,0,'Données projet'!$E$9+1,1))</f>
        <v>239.16843440041487</v>
      </c>
      <c r="T73" s="62">
        <f t="shared" si="88"/>
        <v>241.82319822554194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10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1.5667223273595956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1.5667223273595956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366</v>
      </c>
      <c r="AG73" s="13">
        <f>VLOOKUP(A73,'Données projet'!$A$61:$I$81,9,0)</f>
        <v>5.2</v>
      </c>
      <c r="AH73" s="13">
        <f t="array" ref="AH73">INDEX(AG:AG,MIN(IF(ISNUMBER(AG73:AG269),ROW(AG73:AG269),"")))</f>
        <v>5.2</v>
      </c>
      <c r="AI73" s="14">
        <f>IF('Données projet'!$A$62&gt;35,AI72+AH73-AQ72,IF(A73&lt;'Données projet'!$A$62,$AF$205^A73,IF(A73='Données projet'!$A$62,'Données projet'!$B$62,AI72+AH73-AQ72)))</f>
        <v>365.99999999999966</v>
      </c>
      <c r="AJ73" s="14">
        <f>AI73*VLOOKUP('Données projet'!$B$10,Paramètres!$A$1:$I$89,3,0)*VLOOKUP('Données projet'!$B$10,Paramètres!$A$1:$I$89,5,0)</f>
        <v>268.35119999999978</v>
      </c>
      <c r="AK73" s="14">
        <f t="shared" si="89"/>
        <v>64.499227668096069</v>
      </c>
      <c r="AL73" s="22">
        <f t="shared" si="58"/>
        <v>579.71449485526693</v>
      </c>
      <c r="AM73" s="62">
        <f t="shared" si="59"/>
        <v>873.04782818860031</v>
      </c>
      <c r="AN73" s="62">
        <f ca="1">AVERAGE(OFFSET($AM$3,0,0,'Données projet'!$E$10+1,1))-AVERAGE(OFFSET($H$3,0,0,'Données projet'!$E$10+1,1))</f>
        <v>376.5422416541544</v>
      </c>
      <c r="AO73" s="62">
        <f t="shared" si="90"/>
        <v>365.76175372075869</v>
      </c>
      <c r="AP73" s="16">
        <f>IF(ISNA(VLOOKUP(A73,'Données projet'!$A$61:$I$81,3,0)),0,VLOOKUP(A73,'Données projet'!$A$61:$I$81,3,0))</f>
        <v>13</v>
      </c>
      <c r="AQ73" s="16">
        <f>IF(ISNA(VLOOKUP(A73,'Données projet'!$A$61:$I$81,4,0)),0,VLOOKUP(A73,'Données projet'!$A$61:$I$81,4,0))</f>
        <v>15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3.4892577579841673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3.4892577579841673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405.13433810198853</v>
      </c>
      <c r="BJ73" s="62">
        <f t="shared" si="92"/>
        <v>534.74398214162079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3.7401894478068329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3.6668548249984421E-5</v>
      </c>
      <c r="BS73" s="24">
        <f t="shared" si="63"/>
        <v>3.7402261163550827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302</v>
      </c>
      <c r="BW73" s="13">
        <f>VLOOKUP(A73,'Données projet'!$A$113:$I$133,9,0)</f>
        <v>8.1999999999999993</v>
      </c>
      <c r="BX73" s="13">
        <f t="array" ref="BX73">INDEX(BW:BW,MIN(IF(ISNUMBER(BW73:BW269),ROW(BW73:BW269),"")))</f>
        <v>8.1999999999999993</v>
      </c>
      <c r="BY73" s="13">
        <f>IF('Données projet'!$A$114&gt;35,BY72+BX73-CG72,IF(A73&lt;'Données projet'!$A$114,$BV$205^A73,IF(A73='Données projet'!$A$114,'Données projet'!$B$114,BY72+BX73-CG72)))</f>
        <v>301.99999999999994</v>
      </c>
      <c r="BZ73" s="14">
        <f>BY73*VLOOKUP('Données projet'!$B$12,Paramètres!$A$1:$I$89,3,0)*VLOOKUP('Données projet'!$B$12,Paramètres!$A$1:$I$89,5,0)</f>
        <v>254.40479999999999</v>
      </c>
      <c r="CA73" s="14">
        <f t="shared" si="93"/>
        <v>61.52820154571765</v>
      </c>
      <c r="CB73" s="22">
        <f t="shared" si="64"/>
        <v>550.24997769212484</v>
      </c>
      <c r="CC73" s="62">
        <f t="shared" si="65"/>
        <v>843.58331102545822</v>
      </c>
      <c r="CD73" s="62">
        <f ca="1">AVERAGE(OFFSET($CC$3,0,0,'Données projet'!$E$12+1,1))-AVERAGE(OFFSET($H$3,0,0,'Données projet'!$E$12+1,1))</f>
        <v>411.60020200960821</v>
      </c>
      <c r="CE73" s="62">
        <f t="shared" si="94"/>
        <v>261.95434270986397</v>
      </c>
      <c r="CF73" s="16">
        <f>IF(ISNA(VLOOKUP(A73,'Données projet'!$A$113:$I$133,3,0)),0,VLOOKUP(A73,'Données projet'!$A$113:$I$133,3,0))</f>
        <v>11</v>
      </c>
      <c r="CG73" s="16">
        <f>IF(ISNA(VLOOKUP(A73,'Données projet'!$A$113:$I$133,4,0)),0,VLOOKUP(A73,'Données projet'!$A$113:$I$133,4,0))</f>
        <v>28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241</v>
      </c>
      <c r="CR73" s="13">
        <f>VLOOKUP(A73,'Données projet'!$A$139:$I$159,9,0)</f>
        <v>5.8</v>
      </c>
      <c r="CS73" s="13">
        <f t="array" ref="CS73">INDEX(CR:CR,MIN(IF(ISNUMBER(CR73:CR269),ROW(CR73:CR269),"")))</f>
        <v>5.8</v>
      </c>
      <c r="CT73" s="13">
        <f>IF('Données projet'!$A$140&gt;35,CT72+CS73-DB72,IF(A73&lt;'Données projet'!$A$140,$CQ$205^A73,IF(A73='Données projet'!$A$140,'Données projet'!$B$140,CT72+CS73-DB72)))</f>
        <v>241.00000000000009</v>
      </c>
      <c r="CU73" s="18">
        <f>CT73*VLOOKUP('Données projet'!$B$13,Paramètres!$A$1:$I$89,3,0)*VLOOKUP('Données projet'!$B$13,Paramètres!$A$1:$I$89,5,0)</f>
        <v>195.49920000000009</v>
      </c>
      <c r="CV73" s="14">
        <f t="shared" si="95"/>
        <v>48.753721622209305</v>
      </c>
      <c r="CW73" s="22">
        <f t="shared" si="67"/>
        <v>425.40717182534803</v>
      </c>
      <c r="CX73" s="62">
        <f t="shared" si="68"/>
        <v>718.74050515868134</v>
      </c>
      <c r="CY73" s="62">
        <f ca="1">AVERAGE(OFFSET($CX$3,0,0,'Données projet'!$E$13+1,1))-AVERAGE(OFFSET($H$3,0,0,'Données projet'!$E$13+1,1))</f>
        <v>293.51866463276224</v>
      </c>
      <c r="CZ73" s="62">
        <f t="shared" si="96"/>
        <v>232.78663842203713</v>
      </c>
      <c r="DA73" s="16">
        <f>IF(ISNA(VLOOKUP(A73,'Données projet'!$A$139:$I$159,3,0)),0,VLOOKUP(A73,'Données projet'!$A$139:$I$159,3,0))</f>
        <v>12</v>
      </c>
      <c r="DB73" s="16">
        <f>IF(ISNA(VLOOKUP(A73,'Données projet'!$A$139:$I$159,4,0)),0,VLOOKUP(A73,'Données projet'!$A$139:$I$159,4,0))</f>
        <v>17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2.6</v>
      </c>
      <c r="N74" s="14">
        <f>IF('Données projet'!$A$36&gt;35,N73+M74-V73,IF(A74&lt;'Données projet'!$A$36,$K$205^A74,IF(A74='Données projet'!$A$36,'Données projet'!$B$36,N73+M74-V73)))</f>
        <v>155.60000000000028</v>
      </c>
      <c r="O74" s="14">
        <f>N74*VLOOKUP('Données projet'!$B$9,Paramètres!$A$1:$I$89,3,0)*VLOOKUP('Données projet'!$B$9,Paramètres!$A$1:$I$89,5,0)</f>
        <v>135.93216000000027</v>
      </c>
      <c r="P74" s="14">
        <f t="shared" si="87"/>
        <v>35.363527294509744</v>
      </c>
      <c r="Q74" s="22">
        <f t="shared" si="54"/>
        <v>298.33998870460488</v>
      </c>
      <c r="R74" s="62">
        <f t="shared" si="55"/>
        <v>591.67332203793819</v>
      </c>
      <c r="S74" s="62">
        <f ca="1">AVERAGE(OFFSET($R$3,0,0,'Données projet'!$E$9+1,1))-AVERAGE(OFFSET($H$3,0,0,'Données projet'!$E$9+1,1))</f>
        <v>239.16843440041487</v>
      </c>
      <c r="T74" s="62">
        <f t="shared" si="88"/>
        <v>241.82319822554194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1.5238802229276009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1.5238802229276009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4.8</v>
      </c>
      <c r="AI74" s="14">
        <f>IF('Données projet'!$A$62&gt;35,AI73+AH74-AQ73,IF(A74&lt;'Données projet'!$A$62,$AF$205^A74,IF(A74='Données projet'!$A$62,'Données projet'!$B$62,AI73+AH74-AQ73)))</f>
        <v>355.79999999999967</v>
      </c>
      <c r="AJ74" s="14">
        <f>AI74*VLOOKUP('Données projet'!$B$10,Paramètres!$A$1:$I$89,3,0)*VLOOKUP('Données projet'!$B$10,Paramètres!$A$1:$I$89,5,0)</f>
        <v>260.87255999999974</v>
      </c>
      <c r="AK74" s="14">
        <f t="shared" si="89"/>
        <v>62.908336204200786</v>
      </c>
      <c r="AL74" s="22">
        <f t="shared" si="58"/>
        <v>563.9183942223159</v>
      </c>
      <c r="AM74" s="62">
        <f t="shared" si="59"/>
        <v>857.25172755564927</v>
      </c>
      <c r="AN74" s="62">
        <f ca="1">AVERAGE(OFFSET($AM$3,0,0,'Données projet'!$E$10+1,1))-AVERAGE(OFFSET($H$3,0,0,'Données projet'!$E$10+1,1))</f>
        <v>376.5422416541544</v>
      </c>
      <c r="AO74" s="62">
        <f t="shared" si="90"/>
        <v>365.76175372075869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3.4208355415871843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3.4208355415871843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405.13433810198853</v>
      </c>
      <c r="BJ74" s="62">
        <f t="shared" si="92"/>
        <v>534.74398214162079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3.6668466140256455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2.5928579123830095E-5</v>
      </c>
      <c r="BS74" s="24">
        <f t="shared" si="63"/>
        <v>3.6668725426047692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7.6</v>
      </c>
      <c r="BY74" s="13">
        <f>IF('Données projet'!$A$114&gt;35,BY73+BX74-CG73,IF(A74&lt;'Données projet'!$A$114,$BV$205^A74,IF(A74='Données projet'!$A$114,'Données projet'!$B$114,BY73+BX74-CG73)))</f>
        <v>281.59999999999997</v>
      </c>
      <c r="BZ74" s="14">
        <f>BY74*VLOOKUP('Données projet'!$B$12,Paramètres!$A$1:$I$89,3,0)*VLOOKUP('Données projet'!$B$12,Paramètres!$A$1:$I$89,5,0)</f>
        <v>237.21984</v>
      </c>
      <c r="CA74" s="14">
        <f t="shared" si="93"/>
        <v>57.840960489671517</v>
      </c>
      <c r="CB74" s="22">
        <f t="shared" si="64"/>
        <v>513.89756085284455</v>
      </c>
      <c r="CC74" s="62">
        <f t="shared" si="65"/>
        <v>807.23089418617792</v>
      </c>
      <c r="CD74" s="62">
        <f ca="1">AVERAGE(OFFSET($CC$3,0,0,'Données projet'!$E$12+1,1))-AVERAGE(OFFSET($H$3,0,0,'Données projet'!$E$12+1,1))</f>
        <v>411.60020200960821</v>
      </c>
      <c r="CE74" s="62">
        <f t="shared" si="94"/>
        <v>261.95434270986397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5.4</v>
      </c>
      <c r="CT74" s="13">
        <f>IF('Données projet'!$A$140&gt;35,CT73+CS74-DB73,IF(A74&lt;'Données projet'!$A$140,$CQ$205^A74,IF(A74='Données projet'!$A$140,'Données projet'!$B$140,CT73+CS74-DB73)))</f>
        <v>229.40000000000009</v>
      </c>
      <c r="CU74" s="18">
        <f>CT74*VLOOKUP('Données projet'!$B$13,Paramètres!$A$1:$I$89,3,0)*VLOOKUP('Données projet'!$B$13,Paramètres!$A$1:$I$89,5,0)</f>
        <v>186.08928000000009</v>
      </c>
      <c r="CV74" s="14">
        <f t="shared" si="95"/>
        <v>46.674304440658808</v>
      </c>
      <c r="CW74" s="22">
        <f t="shared" si="67"/>
        <v>405.39657623414752</v>
      </c>
      <c r="CX74" s="62">
        <f t="shared" si="68"/>
        <v>698.72990956748083</v>
      </c>
      <c r="CY74" s="62">
        <f ca="1">AVERAGE(OFFSET($CX$3,0,0,'Données projet'!$E$13+1,1))-AVERAGE(OFFSET($H$3,0,0,'Données projet'!$E$13+1,1))</f>
        <v>293.51866463276224</v>
      </c>
      <c r="CZ74" s="62">
        <f t="shared" si="96"/>
        <v>232.78663842203713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2.6</v>
      </c>
      <c r="N75" s="14">
        <f>IF('Données projet'!$A$36&gt;35,N74+M75-V74,IF(A75&lt;'Données projet'!$A$36,$K$205^A75,IF(A75='Données projet'!$A$36,'Données projet'!$B$36,N74+M75-V74)))</f>
        <v>158.20000000000027</v>
      </c>
      <c r="O75" s="14">
        <f>N75*VLOOKUP('Données projet'!$B$9,Paramètres!$A$1:$I$89,3,0)*VLOOKUP('Données projet'!$B$9,Paramètres!$A$1:$I$89,5,0)</f>
        <v>138.20352000000025</v>
      </c>
      <c r="P75" s="14">
        <f t="shared" si="87"/>
        <v>35.885148322765353</v>
      </c>
      <c r="Q75" s="22">
        <f t="shared" si="54"/>
        <v>303.20443066215006</v>
      </c>
      <c r="R75" s="62">
        <f t="shared" si="55"/>
        <v>596.53776399548337</v>
      </c>
      <c r="S75" s="62">
        <f ca="1">AVERAGE(OFFSET($R$3,0,0,'Données projet'!$E$9+1,1))-AVERAGE(OFFSET($H$3,0,0,'Données projet'!$E$9+1,1))</f>
        <v>239.16843440041487</v>
      </c>
      <c r="T75" s="62">
        <f t="shared" si="88"/>
        <v>241.82319822554194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1.4822096380942678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1.4822096380942678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4.8</v>
      </c>
      <c r="AI75" s="14">
        <f>IF('Données projet'!$A$62&gt;35,AI74+AH75-AQ74,IF(A75&lt;'Données projet'!$A$62,$AF$205^A75,IF(A75='Données projet'!$A$62,'Données projet'!$B$62,AI74+AH75-AQ74)))</f>
        <v>360.59999999999968</v>
      </c>
      <c r="AJ75" s="14">
        <f>AI75*VLOOKUP('Données projet'!$B$10,Paramètres!$A$1:$I$89,3,0)*VLOOKUP('Données projet'!$B$10,Paramètres!$A$1:$I$89,5,0)</f>
        <v>264.39191999999974</v>
      </c>
      <c r="AK75" s="14">
        <f t="shared" si="89"/>
        <v>63.657643181110089</v>
      </c>
      <c r="AL75" s="22">
        <f t="shared" si="58"/>
        <v>571.35298920709954</v>
      </c>
      <c r="AM75" s="62">
        <f t="shared" si="59"/>
        <v>864.68632254043291</v>
      </c>
      <c r="AN75" s="62">
        <f ca="1">AVERAGE(OFFSET($AM$3,0,0,'Données projet'!$E$10+1,1))-AVERAGE(OFFSET($H$3,0,0,'Données projet'!$E$10+1,1))</f>
        <v>376.5422416541544</v>
      </c>
      <c r="AO75" s="62">
        <f t="shared" si="90"/>
        <v>365.76175372075869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3.3537550431203149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3.3537550431203149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405.13433810198853</v>
      </c>
      <c r="BJ75" s="62">
        <f t="shared" si="92"/>
        <v>534.74398214162079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3.5949419884801954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1.8334274124992211E-5</v>
      </c>
      <c r="BS75" s="24">
        <f t="shared" si="63"/>
        <v>3.5949603227543205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7.6</v>
      </c>
      <c r="BY75" s="13">
        <f>IF('Données projet'!$A$114&gt;35,BY74+BX75-CG74,IF(A75&lt;'Données projet'!$A$114,$BV$205^A75,IF(A75='Données projet'!$A$114,'Données projet'!$B$114,BY74+BX75-CG74)))</f>
        <v>289.2</v>
      </c>
      <c r="BZ75" s="14">
        <f>BY75*VLOOKUP('Données projet'!$B$12,Paramètres!$A$1:$I$89,3,0)*VLOOKUP('Données projet'!$B$12,Paramètres!$A$1:$I$89,5,0)</f>
        <v>243.62208000000001</v>
      </c>
      <c r="CA75" s="14">
        <f t="shared" si="93"/>
        <v>59.218157943988587</v>
      </c>
      <c r="CB75" s="22">
        <f t="shared" si="64"/>
        <v>527.44674775244675</v>
      </c>
      <c r="CC75" s="62">
        <f t="shared" si="65"/>
        <v>820.78008108578001</v>
      </c>
      <c r="CD75" s="62">
        <f ca="1">AVERAGE(OFFSET($CC$3,0,0,'Données projet'!$E$12+1,1))-AVERAGE(OFFSET($H$3,0,0,'Données projet'!$E$12+1,1))</f>
        <v>411.60020200960821</v>
      </c>
      <c r="CE75" s="62">
        <f t="shared" si="94"/>
        <v>261.95434270986397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5.4</v>
      </c>
      <c r="CT75" s="13">
        <f>IF('Données projet'!$A$140&gt;35,CT74+CS75-DB74,IF(A75&lt;'Données projet'!$A$140,$CQ$205^A75,IF(A75='Données projet'!$A$140,'Données projet'!$B$140,CT74+CS75-DB74)))</f>
        <v>234.8000000000001</v>
      </c>
      <c r="CU75" s="18">
        <f>CT75*VLOOKUP('Données projet'!$B$13,Paramètres!$A$1:$I$89,3,0)*VLOOKUP('Données projet'!$B$13,Paramètres!$A$1:$I$89,5,0)</f>
        <v>190.46976000000009</v>
      </c>
      <c r="CV75" s="14">
        <f t="shared" si="95"/>
        <v>47.643795186675625</v>
      </c>
      <c r="CW75" s="22">
        <f t="shared" si="67"/>
        <v>414.71444195012685</v>
      </c>
      <c r="CX75" s="62">
        <f t="shared" si="68"/>
        <v>708.04777528346017</v>
      </c>
      <c r="CY75" s="62">
        <f ca="1">AVERAGE(OFFSET($CX$3,0,0,'Données projet'!$E$13+1,1))-AVERAGE(OFFSET($H$3,0,0,'Données projet'!$E$13+1,1))</f>
        <v>293.51866463276224</v>
      </c>
      <c r="CZ75" s="62">
        <f t="shared" si="96"/>
        <v>232.78663842203713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2.6</v>
      </c>
      <c r="N76" s="14">
        <f>IF('Données projet'!$A$36&gt;35,N75+M76-V75,IF(A76&lt;'Données projet'!$A$36,$K$205^A76,IF(A76='Données projet'!$A$36,'Données projet'!$B$36,N75+M76-V75)))</f>
        <v>160.80000000000027</v>
      </c>
      <c r="O76" s="14">
        <f>N76*VLOOKUP('Données projet'!$B$9,Paramètres!$A$1:$I$89,3,0)*VLOOKUP('Données projet'!$B$9,Paramètres!$A$1:$I$89,5,0)</f>
        <v>140.47488000000024</v>
      </c>
      <c r="P76" s="14">
        <f t="shared" si="87"/>
        <v>36.405772385199718</v>
      </c>
      <c r="Q76" s="22">
        <f t="shared" si="54"/>
        <v>308.06713623755655</v>
      </c>
      <c r="R76" s="62">
        <f t="shared" si="55"/>
        <v>601.40046957088987</v>
      </c>
      <c r="S76" s="62">
        <f ca="1">AVERAGE(OFFSET($R$3,0,0,'Données projet'!$E$9+1,1))-AVERAGE(OFFSET($H$3,0,0,'Données projet'!$E$9+1,1))</f>
        <v>239.16843440041487</v>
      </c>
      <c r="T76" s="62">
        <f t="shared" si="88"/>
        <v>241.82319822554194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1.4416785375945629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1.4416785375945629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4.8</v>
      </c>
      <c r="AI76" s="14">
        <f>IF('Données projet'!$A$62&gt;35,AI75+AH76-AQ75,IF(A76&lt;'Données projet'!$A$62,$AF$205^A76,IF(A76='Données projet'!$A$62,'Données projet'!$B$62,AI75+AH76-AQ75)))</f>
        <v>365.39999999999969</v>
      </c>
      <c r="AJ76" s="14">
        <f>AI76*VLOOKUP('Données projet'!$B$10,Paramètres!$A$1:$I$89,3,0)*VLOOKUP('Données projet'!$B$10,Paramètres!$A$1:$I$89,5,0)</f>
        <v>267.91127999999981</v>
      </c>
      <c r="AK76" s="14">
        <f t="shared" si="89"/>
        <v>64.405790031310872</v>
      </c>
      <c r="AL76" s="22">
        <f t="shared" si="58"/>
        <v>578.78556363786606</v>
      </c>
      <c r="AM76" s="62">
        <f t="shared" si="59"/>
        <v>872.11889697119932</v>
      </c>
      <c r="AN76" s="62">
        <f ca="1">AVERAGE(OFFSET($AM$3,0,0,'Données projet'!$E$10+1,1))-AVERAGE(OFFSET($H$3,0,0,'Données projet'!$E$10+1,1))</f>
        <v>376.5422416541544</v>
      </c>
      <c r="AO76" s="62">
        <f t="shared" si="90"/>
        <v>365.76175372075869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3.2879899523133167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3.2879899523133167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405.13433810198853</v>
      </c>
      <c r="BJ76" s="62">
        <f t="shared" si="92"/>
        <v>534.74398214162079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3.5244473687842008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1.2964289561915047E-5</v>
      </c>
      <c r="BS76" s="24">
        <f t="shared" si="63"/>
        <v>3.5244603330737627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7.6</v>
      </c>
      <c r="BY76" s="13">
        <f>IF('Données projet'!$A$114&gt;35,BY75+BX76-CG75,IF(A76&lt;'Données projet'!$A$114,$BV$205^A76,IF(A76='Données projet'!$A$114,'Données projet'!$B$114,BY75+BX76-CG75)))</f>
        <v>296.8</v>
      </c>
      <c r="BZ76" s="14">
        <f>BY76*VLOOKUP('Données projet'!$B$12,Paramètres!$A$1:$I$89,3,0)*VLOOKUP('Données projet'!$B$12,Paramètres!$A$1:$I$89,5,0)</f>
        <v>250.02432000000005</v>
      </c>
      <c r="CA76" s="14">
        <f t="shared" si="93"/>
        <v>60.591148584829206</v>
      </c>
      <c r="CB76" s="22">
        <f t="shared" si="64"/>
        <v>540.9886077852442</v>
      </c>
      <c r="CC76" s="62">
        <f t="shared" si="65"/>
        <v>834.32194111857757</v>
      </c>
      <c r="CD76" s="62">
        <f ca="1">AVERAGE(OFFSET($CC$3,0,0,'Données projet'!$E$12+1,1))-AVERAGE(OFFSET($H$3,0,0,'Données projet'!$E$12+1,1))</f>
        <v>411.60020200960821</v>
      </c>
      <c r="CE76" s="62">
        <f t="shared" si="94"/>
        <v>261.95434270986397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5.4</v>
      </c>
      <c r="CT76" s="13">
        <f>IF('Données projet'!$A$140&gt;35,CT75+CS76-DB75,IF(A76&lt;'Données projet'!$A$140,$CQ$205^A76,IF(A76='Données projet'!$A$140,'Données projet'!$B$140,CT75+CS76-DB75)))</f>
        <v>240.2000000000001</v>
      </c>
      <c r="CU76" s="18">
        <f>CT76*VLOOKUP('Données projet'!$B$13,Paramètres!$A$1:$I$89,3,0)*VLOOKUP('Données projet'!$B$13,Paramètres!$A$1:$I$89,5,0)</f>
        <v>194.8502400000001</v>
      </c>
      <c r="CV76" s="14">
        <f t="shared" si="95"/>
        <v>48.610693833556006</v>
      </c>
      <c r="CW76" s="22">
        <f t="shared" si="67"/>
        <v>424.02779309344351</v>
      </c>
      <c r="CX76" s="62">
        <f t="shared" si="68"/>
        <v>717.36112642677676</v>
      </c>
      <c r="CY76" s="62">
        <f ca="1">AVERAGE(OFFSET($CX$3,0,0,'Données projet'!$E$13+1,1))-AVERAGE(OFFSET($H$3,0,0,'Données projet'!$E$13+1,1))</f>
        <v>293.51866463276224</v>
      </c>
      <c r="CZ76" s="62">
        <f t="shared" si="96"/>
        <v>232.78663842203713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2.6</v>
      </c>
      <c r="N77" s="14">
        <f>IF('Données projet'!$A$36&gt;35,N76+M77-V76,IF(A77&lt;'Données projet'!$A$36,$K$205^A77,IF(A77='Données projet'!$A$36,'Données projet'!$B$36,N76+M77-V76)))</f>
        <v>163.40000000000026</v>
      </c>
      <c r="O77" s="14">
        <f>N77*VLOOKUP('Données projet'!$B$9,Paramètres!$A$1:$I$89,3,0)*VLOOKUP('Données projet'!$B$9,Paramètres!$A$1:$I$89,5,0)</f>
        <v>142.74624000000026</v>
      </c>
      <c r="P77" s="14">
        <f t="shared" si="87"/>
        <v>36.925417462939578</v>
      </c>
      <c r="Q77" s="22">
        <f t="shared" si="54"/>
        <v>312.92813674795354</v>
      </c>
      <c r="R77" s="62">
        <f t="shared" si="55"/>
        <v>606.26147008128692</v>
      </c>
      <c r="S77" s="62">
        <f ca="1">AVERAGE(OFFSET($R$3,0,0,'Données projet'!$E$9+1,1))-AVERAGE(OFFSET($H$3,0,0,'Données projet'!$E$9+1,1))</f>
        <v>239.16843440041487</v>
      </c>
      <c r="T77" s="62">
        <f t="shared" si="88"/>
        <v>241.82319822554194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1.4022557621694602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1.4022557621694602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4.8</v>
      </c>
      <c r="AI77" s="14">
        <f>IF('Données projet'!$A$62&gt;35,AI76+AH77-AQ76,IF(A77&lt;'Données projet'!$A$62,$AF$205^A77,IF(A77='Données projet'!$A$62,'Données projet'!$B$62,AI76+AH77-AQ76)))</f>
        <v>370.1999999999997</v>
      </c>
      <c r="AJ77" s="14">
        <f>AI77*VLOOKUP('Données projet'!$B$10,Paramètres!$A$1:$I$89,3,0)*VLOOKUP('Données projet'!$B$10,Paramètres!$A$1:$I$89,5,0)</f>
        <v>271.43063999999981</v>
      </c>
      <c r="AK77" s="14">
        <f t="shared" si="89"/>
        <v>65.152793756453633</v>
      </c>
      <c r="AL77" s="22">
        <f t="shared" si="58"/>
        <v>586.21614712582311</v>
      </c>
      <c r="AM77" s="62">
        <f t="shared" si="59"/>
        <v>879.54948045915648</v>
      </c>
      <c r="AN77" s="62">
        <f ca="1">AVERAGE(OFFSET($AM$3,0,0,'Données projet'!$E$10+1,1))-AVERAGE(OFFSET($H$3,0,0,'Données projet'!$E$10+1,1))</f>
        <v>376.5422416541544</v>
      </c>
      <c r="AO77" s="62">
        <f t="shared" si="90"/>
        <v>365.76175372075869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3.2235144748242992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3.2235144748242992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405.13433810198853</v>
      </c>
      <c r="BJ77" s="62">
        <f t="shared" si="92"/>
        <v>534.74398214162079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3.4553351055829724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9.1671370624961053E-6</v>
      </c>
      <c r="BS77" s="24">
        <f t="shared" si="63"/>
        <v>3.4553442727200347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7.6</v>
      </c>
      <c r="BY77" s="13">
        <f>IF('Données projet'!$A$114&gt;35,BY76+BX77-CG76,IF(A77&lt;'Données projet'!$A$114,$BV$205^A77,IF(A77='Données projet'!$A$114,'Données projet'!$B$114,BY76+BX77-CG76)))</f>
        <v>304.40000000000003</v>
      </c>
      <c r="BZ77" s="14">
        <f>BY77*VLOOKUP('Données projet'!$B$12,Paramètres!$A$1:$I$89,3,0)*VLOOKUP('Données projet'!$B$12,Paramètres!$A$1:$I$89,5,0)</f>
        <v>256.42656000000005</v>
      </c>
      <c r="CA77" s="14">
        <f t="shared" si="93"/>
        <v>61.960052520146306</v>
      </c>
      <c r="CB77" s="22">
        <f t="shared" si="64"/>
        <v>554.52335013925483</v>
      </c>
      <c r="CC77" s="62">
        <f t="shared" si="65"/>
        <v>847.8566834725882</v>
      </c>
      <c r="CD77" s="62">
        <f ca="1">AVERAGE(OFFSET($CC$3,0,0,'Données projet'!$E$12+1,1))-AVERAGE(OFFSET($H$3,0,0,'Données projet'!$E$12+1,1))</f>
        <v>411.60020200960821</v>
      </c>
      <c r="CE77" s="62">
        <f t="shared" si="94"/>
        <v>261.95434270986397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5.4</v>
      </c>
      <c r="CT77" s="13">
        <f>IF('Données projet'!$A$140&gt;35,CT76+CS77-DB76,IF(A77&lt;'Données projet'!$A$140,$CQ$205^A77,IF(A77='Données projet'!$A$140,'Données projet'!$B$140,CT76+CS77-DB76)))</f>
        <v>245.60000000000011</v>
      </c>
      <c r="CU77" s="18">
        <f>CT77*VLOOKUP('Données projet'!$B$13,Paramètres!$A$1:$I$89,3,0)*VLOOKUP('Données projet'!$B$13,Paramètres!$A$1:$I$89,5,0)</f>
        <v>199.2307200000001</v>
      </c>
      <c r="CV77" s="14">
        <f t="shared" si="95"/>
        <v>49.575065364037961</v>
      </c>
      <c r="CW77" s="22">
        <f t="shared" si="67"/>
        <v>433.33674284236622</v>
      </c>
      <c r="CX77" s="62">
        <f t="shared" si="68"/>
        <v>726.67007617569948</v>
      </c>
      <c r="CY77" s="62">
        <f ca="1">AVERAGE(OFFSET($CX$3,0,0,'Données projet'!$E$13+1,1))-AVERAGE(OFFSET($H$3,0,0,'Données projet'!$E$13+1,1))</f>
        <v>293.51866463276224</v>
      </c>
      <c r="CZ77" s="62">
        <f t="shared" si="96"/>
        <v>232.78663842203713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166</v>
      </c>
      <c r="L78" s="13">
        <f>VLOOKUP(A78,'Données projet'!$A$35:$I$55,9,0)</f>
        <v>2.6</v>
      </c>
      <c r="M78" s="13">
        <f t="array" ref="M78">INDEX(L:L,MIN(IF(ISNUMBER(L78:L274),ROW(L78:L274),"")))</f>
        <v>2.6</v>
      </c>
      <c r="N78" s="14">
        <f>IF('Données projet'!$A$36&gt;35,N77+M78-V77,IF(A78&lt;'Données projet'!$A$36,$K$205^A78,IF(A78='Données projet'!$A$36,'Données projet'!$B$36,N77+M78-V77)))</f>
        <v>166.00000000000026</v>
      </c>
      <c r="O78" s="14">
        <f>N78*VLOOKUP('Données projet'!$B$9,Paramètres!$A$1:$I$89,3,0)*VLOOKUP('Données projet'!$B$9,Paramètres!$A$1:$I$89,5,0)</f>
        <v>145.01760000000024</v>
      </c>
      <c r="P78" s="14">
        <f t="shared" si="87"/>
        <v>37.444100932065297</v>
      </c>
      <c r="Q78" s="22">
        <f t="shared" si="54"/>
        <v>317.78746245668077</v>
      </c>
      <c r="R78" s="62">
        <f t="shared" si="55"/>
        <v>611.12079579001409</v>
      </c>
      <c r="S78" s="62">
        <f ca="1">AVERAGE(OFFSET($R$3,0,0,'Données projet'!$E$9+1,1))-AVERAGE(OFFSET($H$3,0,0,'Données projet'!$E$9+1,1))</f>
        <v>239.16843440041487</v>
      </c>
      <c r="T78" s="62">
        <f t="shared" si="88"/>
        <v>241.82319822554194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9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1.3639110046115108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1.3639110046115108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375</v>
      </c>
      <c r="AG78" s="13">
        <f>VLOOKUP(A78,'Données projet'!$A$61:$I$81,9,0)</f>
        <v>4.8</v>
      </c>
      <c r="AH78" s="13">
        <f t="array" ref="AH78">INDEX(AG:AG,MIN(IF(ISNUMBER(AG78:AG274),ROW(AG78:AG274),"")))</f>
        <v>4.8</v>
      </c>
      <c r="AI78" s="14">
        <f>IF('Données projet'!$A$62&gt;35,AI77+AH78-AQ77,IF(A78&lt;'Données projet'!$A$62,$AF$205^A78,IF(A78='Données projet'!$A$62,'Données projet'!$B$62,AI77+AH78-AQ77)))</f>
        <v>374.99999999999972</v>
      </c>
      <c r="AJ78" s="14">
        <f>AI78*VLOOKUP('Données projet'!$B$10,Paramètres!$A$1:$I$89,3,0)*VLOOKUP('Données projet'!$B$10,Paramètres!$A$1:$I$89,5,0)</f>
        <v>274.94999999999976</v>
      </c>
      <c r="AK78" s="14">
        <f t="shared" si="89"/>
        <v>65.898670891956897</v>
      </c>
      <c r="AL78" s="22">
        <f t="shared" si="58"/>
        <v>593.64476847015783</v>
      </c>
      <c r="AM78" s="62">
        <f t="shared" si="59"/>
        <v>886.9781018034912</v>
      </c>
      <c r="AN78" s="62">
        <f ca="1">AVERAGE(OFFSET($AM$3,0,0,'Données projet'!$E$10+1,1))-AVERAGE(OFFSET($H$3,0,0,'Données projet'!$E$10+1,1))</f>
        <v>376.5422416541544</v>
      </c>
      <c r="AO78" s="62">
        <f t="shared" si="90"/>
        <v>365.76175372075869</v>
      </c>
      <c r="AP78" s="16">
        <f>IF(ISNA(VLOOKUP(A78,'Données projet'!$A$61:$I$81,3,0)),0,VLOOKUP(A78,'Données projet'!$A$61:$I$81,3,0))</f>
        <v>14</v>
      </c>
      <c r="AQ78" s="16">
        <f>IF(ISNA(VLOOKUP(A78,'Données projet'!$A$61:$I$81,4,0)),0,VLOOKUP(A78,'Données projet'!$A$61:$I$81,4,0))</f>
        <v>14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3.1603033221226831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3.1603033221226831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405.13433810198853</v>
      </c>
      <c r="BJ78" s="62">
        <f t="shared" si="92"/>
        <v>534.74398214162079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3.3875780917088019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6.4821447809575237E-6</v>
      </c>
      <c r="BS78" s="24">
        <f t="shared" si="63"/>
        <v>3.3875845738535828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312</v>
      </c>
      <c r="BW78" s="13">
        <f>VLOOKUP(A78,'Données projet'!$A$113:$I$133,9,0)</f>
        <v>7.6</v>
      </c>
      <c r="BX78" s="13">
        <f t="array" ref="BX78">INDEX(BW:BW,MIN(IF(ISNUMBER(BW78:BW274),ROW(BW78:BW274),"")))</f>
        <v>7.6</v>
      </c>
      <c r="BY78" s="13">
        <f>IF('Données projet'!$A$114&gt;35,BY77+BX78-CG77,IF(A78&lt;'Données projet'!$A$114,$BV$205^A78,IF(A78='Données projet'!$A$114,'Données projet'!$B$114,BY77+BX78-CG77)))</f>
        <v>312.00000000000006</v>
      </c>
      <c r="BZ78" s="14">
        <f>BY78*VLOOKUP('Données projet'!$B$12,Paramètres!$A$1:$I$89,3,0)*VLOOKUP('Données projet'!$B$12,Paramètres!$A$1:$I$89,5,0)</f>
        <v>262.82880000000006</v>
      </c>
      <c r="CA78" s="14">
        <f t="shared" si="93"/>
        <v>63.324983518559485</v>
      </c>
      <c r="CB78" s="22">
        <f t="shared" si="64"/>
        <v>568.05117296149115</v>
      </c>
      <c r="CC78" s="62">
        <f t="shared" si="65"/>
        <v>861.3845062948244</v>
      </c>
      <c r="CD78" s="62">
        <f ca="1">AVERAGE(OFFSET($CC$3,0,0,'Données projet'!$E$12+1,1))-AVERAGE(OFFSET($H$3,0,0,'Données projet'!$E$12+1,1))</f>
        <v>411.60020200960821</v>
      </c>
      <c r="CE78" s="62">
        <f t="shared" si="94"/>
        <v>261.95434270986397</v>
      </c>
      <c r="CF78" s="16">
        <f>IF(ISNA(VLOOKUP(A78,'Données projet'!$A$113:$I$133,3,0)),0,VLOOKUP(A78,'Données projet'!$A$113:$I$133,3,0))</f>
        <v>12</v>
      </c>
      <c r="CG78" s="16">
        <f>IF(ISNA(VLOOKUP(A78,'Données projet'!$A$113:$I$133,4,0)),0,VLOOKUP(A78,'Données projet'!$A$113:$I$133,4,0))</f>
        <v>28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251</v>
      </c>
      <c r="CR78" s="13">
        <f>VLOOKUP(A78,'Données projet'!$A$139:$I$159,9,0)</f>
        <v>5.4</v>
      </c>
      <c r="CS78" s="13">
        <f t="array" ref="CS78">INDEX(CR:CR,MIN(IF(ISNUMBER(CR78:CR274),ROW(CR78:CR274),"")))</f>
        <v>5.4</v>
      </c>
      <c r="CT78" s="13">
        <f>IF('Données projet'!$A$140&gt;35,CT77+CS78-DB77,IF(A78&lt;'Données projet'!$A$140,$CQ$205^A78,IF(A78='Données projet'!$A$140,'Données projet'!$B$140,CT77+CS78-DB77)))</f>
        <v>251.00000000000011</v>
      </c>
      <c r="CU78" s="18">
        <f>CT78*VLOOKUP('Données projet'!$B$13,Paramètres!$A$1:$I$89,3,0)*VLOOKUP('Données projet'!$B$13,Paramètres!$A$1:$I$89,5,0)</f>
        <v>203.61120000000011</v>
      </c>
      <c r="CV78" s="14">
        <f t="shared" si="95"/>
        <v>50.536971740137822</v>
      </c>
      <c r="CW78" s="22">
        <f t="shared" si="67"/>
        <v>442.64139911407352</v>
      </c>
      <c r="CX78" s="62">
        <f t="shared" si="68"/>
        <v>735.97473244740684</v>
      </c>
      <c r="CY78" s="62">
        <f ca="1">AVERAGE(OFFSET($CX$3,0,0,'Données projet'!$E$13+1,1))-AVERAGE(OFFSET($H$3,0,0,'Données projet'!$E$13+1,1))</f>
        <v>293.51866463276224</v>
      </c>
      <c r="CZ78" s="62">
        <f t="shared" si="96"/>
        <v>232.78663842203713</v>
      </c>
      <c r="DA78" s="16">
        <f>IF(ISNA(VLOOKUP(A78,'Données projet'!$A$139:$I$159,3,0)),0,VLOOKUP(A78,'Données projet'!$A$139:$I$159,3,0))</f>
        <v>13</v>
      </c>
      <c r="DB78" s="16">
        <f>IF(ISNA(VLOOKUP(A78,'Données projet'!$A$139:$I$159,4,0)),0,VLOOKUP(A78,'Données projet'!$A$139:$I$159,4,0))</f>
        <v>17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2.2000000000000002</v>
      </c>
      <c r="N79" s="14">
        <f>IF('Données projet'!$A$36&gt;35,N78+M79-V78,IF(A79&lt;'Données projet'!$A$36,$K$205^A79,IF(A79='Données projet'!$A$36,'Données projet'!$B$36,N78+M79-V78)))</f>
        <v>159.20000000000024</v>
      </c>
      <c r="O79" s="14">
        <f>N79*VLOOKUP('Données projet'!$B$9,Paramètres!$A$1:$I$89,3,0)*VLOOKUP('Données projet'!$B$9,Paramètres!$A$1:$I$89,5,0)</f>
        <v>139.07712000000024</v>
      </c>
      <c r="P79" s="14">
        <f t="shared" si="87"/>
        <v>36.085505335071055</v>
      </c>
      <c r="Q79" s="22">
        <f t="shared" si="54"/>
        <v>305.0749057919158</v>
      </c>
      <c r="R79" s="62">
        <f t="shared" si="55"/>
        <v>598.40823912524911</v>
      </c>
      <c r="S79" s="62">
        <f ca="1">AVERAGE(OFFSET($R$3,0,0,'Données projet'!$E$9+1,1))-AVERAGE(OFFSET($H$3,0,0,'Données projet'!$E$9+1,1))</f>
        <v>239.16843440041487</v>
      </c>
      <c r="T79" s="62">
        <f t="shared" si="88"/>
        <v>241.82319822554194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1.3266147864654465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1.3266147864654465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4.2</v>
      </c>
      <c r="AI79" s="14">
        <f>IF('Données projet'!$A$62&gt;35,AI78+AH79-AQ78,IF(A79&lt;'Données projet'!$A$62,$AF$205^A79,IF(A79='Données projet'!$A$62,'Données projet'!$B$62,AI78+AH79-AQ78)))</f>
        <v>365.1999999999997</v>
      </c>
      <c r="AJ79" s="14">
        <f>AI79*VLOOKUP('Données projet'!$B$10,Paramètres!$A$1:$I$89,3,0)*VLOOKUP('Données projet'!$B$10,Paramètres!$A$1:$I$89,5,0)</f>
        <v>267.76463999999982</v>
      </c>
      <c r="AK79" s="14">
        <f t="shared" si="89"/>
        <v>64.374640184948362</v>
      </c>
      <c r="AL79" s="22">
        <f t="shared" si="58"/>
        <v>578.47591298878478</v>
      </c>
      <c r="AM79" s="62">
        <f t="shared" si="59"/>
        <v>871.80924632211804</v>
      </c>
      <c r="AN79" s="62">
        <f ca="1">AVERAGE(OFFSET($AM$3,0,0,'Données projet'!$E$10+1,1))-AVERAGE(OFFSET($H$3,0,0,'Données projet'!$E$10+1,1))</f>
        <v>376.5422416541544</v>
      </c>
      <c r="AO79" s="62">
        <f t="shared" si="90"/>
        <v>365.76175372075869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3.0983317015705496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3.0983317015705496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405.13433810198853</v>
      </c>
      <c r="BJ79" s="62">
        <f t="shared" si="92"/>
        <v>534.74398214162079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3.3211497515490063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4.5835685312480527E-6</v>
      </c>
      <c r="BS79" s="24">
        <f t="shared" si="63"/>
        <v>3.3211543351175377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7.2</v>
      </c>
      <c r="BY79" s="13">
        <f>IF('Données projet'!$A$114&gt;35,BY78+BX79-CG78,IF(A79&lt;'Données projet'!$A$114,$BV$205^A79,IF(A79='Données projet'!$A$114,'Données projet'!$B$114,BY78+BX79-CG78)))</f>
        <v>291.20000000000005</v>
      </c>
      <c r="BZ79" s="14">
        <f>BY79*VLOOKUP('Données projet'!$B$12,Paramètres!$A$1:$I$89,3,0)*VLOOKUP('Données projet'!$B$12,Paramètres!$A$1:$I$89,5,0)</f>
        <v>245.30688000000009</v>
      </c>
      <c r="CA79" s="14">
        <f t="shared" si="93"/>
        <v>59.579874112906374</v>
      </c>
      <c r="CB79" s="22">
        <f t="shared" si="64"/>
        <v>531.01109674664542</v>
      </c>
      <c r="CC79" s="62">
        <f t="shared" si="65"/>
        <v>824.34443007997879</v>
      </c>
      <c r="CD79" s="62">
        <f ca="1">AVERAGE(OFFSET($CC$3,0,0,'Données projet'!$E$12+1,1))-AVERAGE(OFFSET($H$3,0,0,'Données projet'!$E$12+1,1))</f>
        <v>411.60020200960821</v>
      </c>
      <c r="CE79" s="62">
        <f t="shared" si="94"/>
        <v>261.95434270986397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5.2</v>
      </c>
      <c r="CT79" s="13">
        <f>IF('Données projet'!$A$140&gt;35,CT78+CS79-DB78,IF(A79&lt;'Données projet'!$A$140,$CQ$205^A79,IF(A79='Données projet'!$A$140,'Données projet'!$B$140,CT78+CS79-DB78)))</f>
        <v>239.2000000000001</v>
      </c>
      <c r="CU79" s="18">
        <f>CT79*VLOOKUP('Données projet'!$B$13,Paramètres!$A$1:$I$89,3,0)*VLOOKUP('Données projet'!$B$13,Paramètres!$A$1:$I$89,5,0)</f>
        <v>194.03904000000009</v>
      </c>
      <c r="CV79" s="14">
        <f t="shared" si="95"/>
        <v>48.431831083693226</v>
      </c>
      <c r="CW79" s="22">
        <f t="shared" si="67"/>
        <v>422.30343380409914</v>
      </c>
      <c r="CX79" s="62">
        <f t="shared" si="68"/>
        <v>715.63676713743246</v>
      </c>
      <c r="CY79" s="62">
        <f ca="1">AVERAGE(OFFSET($CX$3,0,0,'Données projet'!$E$13+1,1))-AVERAGE(OFFSET($H$3,0,0,'Données projet'!$E$13+1,1))</f>
        <v>293.51866463276224</v>
      </c>
      <c r="CZ79" s="62">
        <f t="shared" si="96"/>
        <v>232.78663842203713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2.2000000000000002</v>
      </c>
      <c r="N80" s="14">
        <f>IF('Données projet'!$A$36&gt;35,N79+M80-V79,IF(A80&lt;'Données projet'!$A$36,$K$205^A80,IF(A80='Données projet'!$A$36,'Données projet'!$B$36,N79+M80-V79)))</f>
        <v>161.40000000000023</v>
      </c>
      <c r="O80" s="14">
        <f>N80*VLOOKUP('Données projet'!$B$9,Paramètres!$A$1:$I$89,3,0)*VLOOKUP('Données projet'!$B$9,Paramètres!$A$1:$I$89,5,0)</f>
        <v>140.99904000000024</v>
      </c>
      <c r="P80" s="14">
        <f t="shared" si="87"/>
        <v>36.525776729948888</v>
      </c>
      <c r="Q80" s="22">
        <f t="shared" si="54"/>
        <v>309.18905580466139</v>
      </c>
      <c r="R80" s="62">
        <f t="shared" si="55"/>
        <v>602.52238913799465</v>
      </c>
      <c r="S80" s="62">
        <f ca="1">AVERAGE(OFFSET($R$3,0,0,'Données projet'!$E$9+1,1))-AVERAGE(OFFSET($H$3,0,0,'Données projet'!$E$9+1,1))</f>
        <v>239.16843440041487</v>
      </c>
      <c r="T80" s="62">
        <f t="shared" si="88"/>
        <v>241.82319822554194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1.2903384353659093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1.2903384353659093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4.2</v>
      </c>
      <c r="AI80" s="14">
        <f>IF('Données projet'!$A$62&gt;35,AI79+AH80-AQ79,IF(A80&lt;'Données projet'!$A$62,$AF$205^A80,IF(A80='Données projet'!$A$62,'Données projet'!$B$62,AI79+AH80-AQ79)))</f>
        <v>369.39999999999969</v>
      </c>
      <c r="AJ80" s="14">
        <f>AI80*VLOOKUP('Données projet'!$B$10,Paramètres!$A$1:$I$89,3,0)*VLOOKUP('Données projet'!$B$10,Paramètres!$A$1:$I$89,5,0)</f>
        <v>270.84407999999979</v>
      </c>
      <c r="AK80" s="14">
        <f t="shared" si="89"/>
        <v>65.028371811908485</v>
      </c>
      <c r="AL80" s="22">
        <f t="shared" si="58"/>
        <v>584.97785357240684</v>
      </c>
      <c r="AM80" s="62">
        <f t="shared" si="59"/>
        <v>878.31118690574021</v>
      </c>
      <c r="AN80" s="62">
        <f ca="1">AVERAGE(OFFSET($AM$3,0,0,'Données projet'!$E$10+1,1))-AVERAGE(OFFSET($H$3,0,0,'Données projet'!$E$10+1,1))</f>
        <v>376.5422416541544</v>
      </c>
      <c r="AO80" s="62">
        <f t="shared" si="90"/>
        <v>365.76175372075869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3.0375753066984874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3.0375753066984874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405.13433810198853</v>
      </c>
      <c r="BJ80" s="62">
        <f t="shared" si="92"/>
        <v>534.74398214162079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3.2560240306224575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3.2410723904787619E-6</v>
      </c>
      <c r="BS80" s="24">
        <f t="shared" si="63"/>
        <v>3.256027271694848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7.2</v>
      </c>
      <c r="BY80" s="13">
        <f>IF('Données projet'!$A$114&gt;35,BY79+BX80-CG79,IF(A80&lt;'Données projet'!$A$114,$BV$205^A80,IF(A80='Données projet'!$A$114,'Données projet'!$B$114,BY79+BX80-CG79)))</f>
        <v>298.40000000000003</v>
      </c>
      <c r="BZ80" s="14">
        <f>BY80*VLOOKUP('Données projet'!$B$12,Paramètres!$A$1:$I$89,3,0)*VLOOKUP('Données projet'!$B$12,Paramètres!$A$1:$I$89,5,0)</f>
        <v>251.37216000000004</v>
      </c>
      <c r="CA80" s="14">
        <f t="shared" si="93"/>
        <v>60.879674595707343</v>
      </c>
      <c r="CB80" s="22">
        <f t="shared" si="64"/>
        <v>543.83861192085692</v>
      </c>
      <c r="CC80" s="62">
        <f t="shared" si="65"/>
        <v>837.17194525419018</v>
      </c>
      <c r="CD80" s="62">
        <f ca="1">AVERAGE(OFFSET($CC$3,0,0,'Données projet'!$E$12+1,1))-AVERAGE(OFFSET($H$3,0,0,'Données projet'!$E$12+1,1))</f>
        <v>411.60020200960821</v>
      </c>
      <c r="CE80" s="62">
        <f t="shared" si="94"/>
        <v>261.95434270986397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5.2</v>
      </c>
      <c r="CT80" s="13">
        <f>IF('Données projet'!$A$140&gt;35,CT79+CS80-DB79,IF(A80&lt;'Données projet'!$A$140,$CQ$205^A80,IF(A80='Données projet'!$A$140,'Données projet'!$B$140,CT79+CS80-DB79)))</f>
        <v>244.40000000000009</v>
      </c>
      <c r="CU80" s="18">
        <f>CT80*VLOOKUP('Données projet'!$B$13,Paramètres!$A$1:$I$89,3,0)*VLOOKUP('Données projet'!$B$13,Paramètres!$A$1:$I$89,5,0)</f>
        <v>198.25728000000009</v>
      </c>
      <c r="CV80" s="14">
        <f t="shared" si="95"/>
        <v>49.360975753631088</v>
      </c>
      <c r="CW80" s="22">
        <f t="shared" si="67"/>
        <v>431.268462104241</v>
      </c>
      <c r="CX80" s="62">
        <f t="shared" si="68"/>
        <v>724.60179543757431</v>
      </c>
      <c r="CY80" s="62">
        <f ca="1">AVERAGE(OFFSET($CX$3,0,0,'Données projet'!$E$13+1,1))-AVERAGE(OFFSET($H$3,0,0,'Données projet'!$E$13+1,1))</f>
        <v>293.51866463276224</v>
      </c>
      <c r="CZ80" s="62">
        <f t="shared" si="96"/>
        <v>232.78663842203713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2.2000000000000002</v>
      </c>
      <c r="N81" s="14">
        <f>IF('Données projet'!$A$36&gt;35,N80+M81-V80,IF(A81&lt;'Données projet'!$A$36,$K$205^A81,IF(A81='Données projet'!$A$36,'Données projet'!$B$36,N80+M81-V80)))</f>
        <v>163.60000000000022</v>
      </c>
      <c r="O81" s="14">
        <f>N81*VLOOKUP('Données projet'!$B$9,Paramètres!$A$1:$I$89,3,0)*VLOOKUP('Données projet'!$B$9,Paramètres!$A$1:$I$89,5,0)</f>
        <v>142.92096000000021</v>
      </c>
      <c r="P81" s="14">
        <f t="shared" si="87"/>
        <v>36.96535011371369</v>
      </c>
      <c r="Q81" s="22">
        <f t="shared" si="54"/>
        <v>313.30199011471836</v>
      </c>
      <c r="R81" s="62">
        <f t="shared" si="55"/>
        <v>606.63532344805162</v>
      </c>
      <c r="S81" s="62">
        <f ca="1">AVERAGE(OFFSET($R$3,0,0,'Données projet'!$E$9+1,1))-AVERAGE(OFFSET($H$3,0,0,'Données projet'!$E$9+1,1))</f>
        <v>239.16843440041487</v>
      </c>
      <c r="T81" s="62">
        <f t="shared" si="88"/>
        <v>241.82319822554194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1.2550540629948792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1.2550540629948792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4.2</v>
      </c>
      <c r="AI81" s="14">
        <f>IF('Données projet'!$A$62&gt;35,AI80+AH81-AQ80,IF(A81&lt;'Données projet'!$A$62,$AF$205^A81,IF(A81='Données projet'!$A$62,'Données projet'!$B$62,AI80+AH81-AQ80)))</f>
        <v>373.59999999999968</v>
      </c>
      <c r="AJ81" s="14">
        <f>AI81*VLOOKUP('Données projet'!$B$10,Paramètres!$A$1:$I$89,3,0)*VLOOKUP('Données projet'!$B$10,Paramètres!$A$1:$I$89,5,0)</f>
        <v>273.92351999999977</v>
      </c>
      <c r="AK81" s="14">
        <f t="shared" si="89"/>
        <v>65.681238814600704</v>
      </c>
      <c r="AL81" s="22">
        <f t="shared" si="58"/>
        <v>591.47828826876241</v>
      </c>
      <c r="AM81" s="62">
        <f t="shared" si="59"/>
        <v>884.81162160209578</v>
      </c>
      <c r="AN81" s="62">
        <f ca="1">AVERAGE(OFFSET($AM$3,0,0,'Données projet'!$E$10+1,1))-AVERAGE(OFFSET($H$3,0,0,'Données projet'!$E$10+1,1))</f>
        <v>376.5422416541544</v>
      </c>
      <c r="AO81" s="62">
        <f t="shared" si="90"/>
        <v>365.76175372075869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2.9780103076721245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2.9780103076721245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405.13433810198853</v>
      </c>
      <c r="BJ81" s="62">
        <f t="shared" si="92"/>
        <v>534.74398214162079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3.1921753853605108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2.2917842656240263E-6</v>
      </c>
      <c r="BS81" s="24">
        <f t="shared" si="63"/>
        <v>3.1921776771447763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7.2</v>
      </c>
      <c r="BY81" s="13">
        <f>IF('Données projet'!$A$114&gt;35,BY80+BX81-CG80,IF(A81&lt;'Données projet'!$A$114,$BV$205^A81,IF(A81='Données projet'!$A$114,'Données projet'!$B$114,BY80+BX81-CG80)))</f>
        <v>305.60000000000002</v>
      </c>
      <c r="BZ81" s="14">
        <f>BY81*VLOOKUP('Données projet'!$B$12,Paramètres!$A$1:$I$89,3,0)*VLOOKUP('Données projet'!$B$12,Paramètres!$A$1:$I$89,5,0)</f>
        <v>257.43744000000004</v>
      </c>
      <c r="CA81" s="14">
        <f t="shared" si="93"/>
        <v>62.175829233865038</v>
      </c>
      <c r="CB81" s="22">
        <f t="shared" si="64"/>
        <v>556.65977724898164</v>
      </c>
      <c r="CC81" s="62">
        <f t="shared" si="65"/>
        <v>849.99311058231501</v>
      </c>
      <c r="CD81" s="62">
        <f ca="1">AVERAGE(OFFSET($CC$3,0,0,'Données projet'!$E$12+1,1))-AVERAGE(OFFSET($H$3,0,0,'Données projet'!$E$12+1,1))</f>
        <v>411.60020200960821</v>
      </c>
      <c r="CE81" s="62">
        <f t="shared" si="94"/>
        <v>261.95434270986397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5.2</v>
      </c>
      <c r="CT81" s="13">
        <f>IF('Données projet'!$A$140&gt;35,CT80+CS81-DB80,IF(A81&lt;'Données projet'!$A$140,$CQ$205^A81,IF(A81='Données projet'!$A$140,'Données projet'!$B$140,CT80+CS81-DB80)))</f>
        <v>249.60000000000008</v>
      </c>
      <c r="CU81" s="18">
        <f>CT81*VLOOKUP('Données projet'!$B$13,Paramètres!$A$1:$I$89,3,0)*VLOOKUP('Données projet'!$B$13,Paramètres!$A$1:$I$89,5,0)</f>
        <v>202.4755200000001</v>
      </c>
      <c r="CV81" s="14">
        <f t="shared" si="95"/>
        <v>50.287821971647581</v>
      </c>
      <c r="CW81" s="22">
        <f t="shared" si="67"/>
        <v>440.2294872672864</v>
      </c>
      <c r="CX81" s="62">
        <f t="shared" si="68"/>
        <v>733.56282060061972</v>
      </c>
      <c r="CY81" s="62">
        <f ca="1">AVERAGE(OFFSET($CX$3,0,0,'Données projet'!$E$13+1,1))-AVERAGE(OFFSET($H$3,0,0,'Données projet'!$E$13+1,1))</f>
        <v>293.51866463276224</v>
      </c>
      <c r="CZ81" s="62">
        <f t="shared" si="96"/>
        <v>232.78663842203713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2.2000000000000002</v>
      </c>
      <c r="N82" s="14">
        <f>IF('Données projet'!$A$36&gt;35,N81+M82-V81,IF(A82&lt;'Données projet'!$A$36,$K$205^A82,IF(A82='Données projet'!$A$36,'Données projet'!$B$36,N81+M82-V81)))</f>
        <v>165.80000000000021</v>
      </c>
      <c r="O82" s="14">
        <f>N82*VLOOKUP('Données projet'!$B$9,Paramètres!$A$1:$I$89,3,0)*VLOOKUP('Données projet'!$B$9,Paramètres!$A$1:$I$89,5,0)</f>
        <v>144.84288000000021</v>
      </c>
      <c r="P82" s="14">
        <f t="shared" si="87"/>
        <v>37.404235957844634</v>
      </c>
      <c r="Q82" s="22">
        <f t="shared" si="54"/>
        <v>317.41372695991305</v>
      </c>
      <c r="R82" s="62">
        <f t="shared" si="55"/>
        <v>610.74706029324636</v>
      </c>
      <c r="S82" s="62">
        <f ca="1">AVERAGE(OFFSET($R$3,0,0,'Données projet'!$E$9+1,1))-AVERAGE(OFFSET($H$3,0,0,'Données projet'!$E$9+1,1))</f>
        <v>239.16843440041487</v>
      </c>
      <c r="T82" s="62">
        <f t="shared" si="88"/>
        <v>241.82319822554194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1.2207345436418595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1.2207345436418595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4.2</v>
      </c>
      <c r="AI82" s="14">
        <f>IF('Données projet'!$A$62&gt;35,AI81+AH82-AQ81,IF(A82&lt;'Données projet'!$A$62,$AF$205^A82,IF(A82='Données projet'!$A$62,'Données projet'!$B$62,AI81+AH82-AQ81)))</f>
        <v>377.79999999999967</v>
      </c>
      <c r="AJ82" s="14">
        <f>AI82*VLOOKUP('Données projet'!$B$10,Paramètres!$A$1:$I$89,3,0)*VLOOKUP('Données projet'!$B$10,Paramètres!$A$1:$I$89,5,0)</f>
        <v>277.00295999999975</v>
      </c>
      <c r="AK82" s="14">
        <f t="shared" si="89"/>
        <v>66.33325203788479</v>
      </c>
      <c r="AL82" s="22">
        <f t="shared" si="58"/>
        <v>597.97723596598223</v>
      </c>
      <c r="AM82" s="62">
        <f t="shared" si="59"/>
        <v>891.3105692993156</v>
      </c>
      <c r="AN82" s="62">
        <f ca="1">AVERAGE(OFFSET($AM$3,0,0,'Données projet'!$E$10+1,1))-AVERAGE(OFFSET($H$3,0,0,'Données projet'!$E$10+1,1))</f>
        <v>376.5422416541544</v>
      </c>
      <c r="AO82" s="62">
        <f t="shared" si="90"/>
        <v>365.76175372075869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2.9196133419456065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2.9196133419456065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405.13433810198853</v>
      </c>
      <c r="BJ82" s="62">
        <f t="shared" si="92"/>
        <v>534.74398214162079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3.1295787730883227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1.6205361952393809E-6</v>
      </c>
      <c r="BS82" s="24">
        <f t="shared" si="63"/>
        <v>3.1295803936245181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7.2</v>
      </c>
      <c r="BY82" s="13">
        <f>IF('Données projet'!$A$114&gt;35,BY81+BX82-CG81,IF(A82&lt;'Données projet'!$A$114,$BV$205^A82,IF(A82='Données projet'!$A$114,'Données projet'!$B$114,BY81+BX82-CG81)))</f>
        <v>312.8</v>
      </c>
      <c r="BZ82" s="14">
        <f>BY82*VLOOKUP('Données projet'!$B$12,Paramètres!$A$1:$I$89,3,0)*VLOOKUP('Données projet'!$B$12,Paramètres!$A$1:$I$89,5,0)</f>
        <v>263.50272000000001</v>
      </c>
      <c r="CA82" s="14">
        <f t="shared" si="93"/>
        <v>63.468433809179743</v>
      </c>
      <c r="CB82" s="22">
        <f t="shared" si="64"/>
        <v>569.4747595509881</v>
      </c>
      <c r="CC82" s="62">
        <f t="shared" si="65"/>
        <v>862.80809288432147</v>
      </c>
      <c r="CD82" s="62">
        <f ca="1">AVERAGE(OFFSET($CC$3,0,0,'Données projet'!$E$12+1,1))-AVERAGE(OFFSET($H$3,0,0,'Données projet'!$E$12+1,1))</f>
        <v>411.60020200960821</v>
      </c>
      <c r="CE82" s="62">
        <f t="shared" si="94"/>
        <v>261.95434270986397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5.2</v>
      </c>
      <c r="CT82" s="13">
        <f>IF('Données projet'!$A$140&gt;35,CT81+CS82-DB81,IF(A82&lt;'Données projet'!$A$140,$CQ$205^A82,IF(A82='Données projet'!$A$140,'Données projet'!$B$140,CT81+CS82-DB81)))</f>
        <v>254.80000000000007</v>
      </c>
      <c r="CU82" s="18">
        <f>CT82*VLOOKUP('Données projet'!$B$13,Paramètres!$A$1:$I$89,3,0)*VLOOKUP('Données projet'!$B$13,Paramètres!$A$1:$I$89,5,0)</f>
        <v>206.69376000000005</v>
      </c>
      <c r="CV82" s="14">
        <f t="shared" si="95"/>
        <v>51.212423138937325</v>
      </c>
      <c r="CW82" s="22">
        <f t="shared" si="67"/>
        <v>449.18660230031583</v>
      </c>
      <c r="CX82" s="62">
        <f t="shared" si="68"/>
        <v>742.51993563364908</v>
      </c>
      <c r="CY82" s="62">
        <f ca="1">AVERAGE(OFFSET($CX$3,0,0,'Données projet'!$E$13+1,1))-AVERAGE(OFFSET($H$3,0,0,'Données projet'!$E$13+1,1))</f>
        <v>293.51866463276224</v>
      </c>
      <c r="CZ82" s="62">
        <f t="shared" si="96"/>
        <v>232.78663842203713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168</v>
      </c>
      <c r="L83" s="13">
        <f>VLOOKUP(A83,'Données projet'!$A$35:$I$55,9,0)</f>
        <v>2.2000000000000002</v>
      </c>
      <c r="M83" s="13">
        <f t="array" ref="M83">INDEX(L:L,MIN(IF(ISNUMBER(L83:L279),ROW(L83:L279),"")))</f>
        <v>2.2000000000000002</v>
      </c>
      <c r="N83" s="14">
        <f>IF('Données projet'!$A$36&gt;35,N82+M83-V82,IF(A83&lt;'Données projet'!$A$36,$K$205^A83,IF(A83='Données projet'!$A$36,'Données projet'!$B$36,N82+M83-V82)))</f>
        <v>168.0000000000002</v>
      </c>
      <c r="O83" s="14">
        <f>N83*VLOOKUP('Données projet'!$B$9,Paramètres!$A$1:$I$89,3,0)*VLOOKUP('Données projet'!$B$9,Paramètres!$A$1:$I$89,5,0)</f>
        <v>146.76480000000021</v>
      </c>
      <c r="P83" s="14">
        <f t="shared" si="87"/>
        <v>37.842444439956701</v>
      </c>
      <c r="Q83" s="22">
        <f t="shared" si="54"/>
        <v>321.52428406625825</v>
      </c>
      <c r="R83" s="62">
        <f t="shared" si="55"/>
        <v>614.85761739959162</v>
      </c>
      <c r="S83" s="62">
        <f ca="1">AVERAGE(OFFSET($R$3,0,0,'Données projet'!$E$9+1,1))-AVERAGE(OFFSET($H$3,0,0,'Données projet'!$E$9+1,1))</f>
        <v>239.16843440041487</v>
      </c>
      <c r="T83" s="62">
        <f t="shared" si="88"/>
        <v>241.82319822554194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8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1.1873534933503331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1.1873534933503331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382</v>
      </c>
      <c r="AG83" s="13">
        <f>VLOOKUP(A83,'Données projet'!$A$61:$I$81,9,0)</f>
        <v>4.2</v>
      </c>
      <c r="AH83" s="13">
        <f t="array" ref="AH83">INDEX(AG:AG,MIN(IF(ISNUMBER(AG83:AG279),ROW(AG83:AG279),"")))</f>
        <v>4.2</v>
      </c>
      <c r="AI83" s="14">
        <f>IF('Données projet'!$A$62&gt;35,AI82+AH83-AQ82,IF(A83&lt;'Données projet'!$A$62,$AF$205^A83,IF(A83='Données projet'!$A$62,'Données projet'!$B$62,AI82+AH83-AQ82)))</f>
        <v>381.99999999999966</v>
      </c>
      <c r="AJ83" s="14">
        <f>AI83*VLOOKUP('Données projet'!$B$10,Paramètres!$A$1:$I$89,3,0)*VLOOKUP('Données projet'!$B$10,Paramètres!$A$1:$I$89,5,0)</f>
        <v>280.08239999999972</v>
      </c>
      <c r="AK83" s="14">
        <f t="shared" si="89"/>
        <v>66.984422071611988</v>
      </c>
      <c r="AL83" s="22">
        <f t="shared" si="58"/>
        <v>604.47471510805701</v>
      </c>
      <c r="AM83" s="62">
        <f t="shared" si="59"/>
        <v>897.80804844139038</v>
      </c>
      <c r="AN83" s="62">
        <f ca="1">AVERAGE(OFFSET($AM$3,0,0,'Données projet'!$E$10+1,1))-AVERAGE(OFFSET($H$3,0,0,'Données projet'!$E$10+1,1))</f>
        <v>376.5422416541544</v>
      </c>
      <c r="AO83" s="62">
        <f t="shared" si="90"/>
        <v>365.76175372075869</v>
      </c>
      <c r="AP83" s="16">
        <f>IF(ISNA(VLOOKUP(A83,'Données projet'!$A$61:$I$81,3,0)),0,VLOOKUP(A83,'Données projet'!$A$61:$I$81,3,0))</f>
        <v>15</v>
      </c>
      <c r="AQ83" s="16">
        <f>IF(ISNA(VLOOKUP(A83,'Données projet'!$A$61:$I$81,4,0)),0,VLOOKUP(A83,'Données projet'!$A$61:$I$81,4,0))</f>
        <v>382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2.8623615050983533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2.8623615050983533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405.13433810198853</v>
      </c>
      <c r="BJ83" s="62">
        <f t="shared" si="92"/>
        <v>534.74398214162079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3.0682096422026284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1.1458921328120132E-6</v>
      </c>
      <c r="BS83" s="24">
        <f t="shared" si="63"/>
        <v>3.0682107880947611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320</v>
      </c>
      <c r="BW83" s="13">
        <f>VLOOKUP(A83,'Données projet'!$A$113:$I$133,9,0)</f>
        <v>7.2</v>
      </c>
      <c r="BX83" s="13">
        <f t="array" ref="BX83">INDEX(BW:BW,MIN(IF(ISNUMBER(BW83:BW279),ROW(BW83:BW279),"")))</f>
        <v>7.2</v>
      </c>
      <c r="BY83" s="13">
        <f>IF('Données projet'!$A$114&gt;35,BY82+BX83-CG82,IF(A83&lt;'Données projet'!$A$114,$BV$205^A83,IF(A83='Données projet'!$A$114,'Données projet'!$B$114,BY82+BX83-CG82)))</f>
        <v>320</v>
      </c>
      <c r="BZ83" s="14">
        <f>BY83*VLOOKUP('Données projet'!$B$12,Paramètres!$A$1:$I$89,3,0)*VLOOKUP('Données projet'!$B$12,Paramètres!$A$1:$I$89,5,0)</f>
        <v>269.56800000000004</v>
      </c>
      <c r="CA83" s="14">
        <f t="shared" si="93"/>
        <v>64.757579442439862</v>
      </c>
      <c r="CB83" s="22">
        <f t="shared" si="64"/>
        <v>582.28371752891621</v>
      </c>
      <c r="CC83" s="62">
        <f t="shared" si="65"/>
        <v>875.61705086224947</v>
      </c>
      <c r="CD83" s="62">
        <f ca="1">AVERAGE(OFFSET($CC$3,0,0,'Données projet'!$E$12+1,1))-AVERAGE(OFFSET($H$3,0,0,'Données projet'!$E$12+1,1))</f>
        <v>411.60020200960821</v>
      </c>
      <c r="CE83" s="62">
        <f t="shared" si="94"/>
        <v>261.95434270986397</v>
      </c>
      <c r="CF83" s="16">
        <f>IF(ISNA(VLOOKUP(A83,'Données projet'!$A$113:$I$133,3,0)),0,VLOOKUP(A83,'Données projet'!$A$113:$I$133,3,0))</f>
        <v>13</v>
      </c>
      <c r="CG83" s="16">
        <f>IF(ISNA(VLOOKUP(A83,'Données projet'!$A$113:$I$133,4,0)),0,VLOOKUP(A83,'Données projet'!$A$113:$I$133,4,0))</f>
        <v>28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260</v>
      </c>
      <c r="CR83" s="13">
        <f>VLOOKUP(A83,'Données projet'!$A$139:$I$159,9,0)</f>
        <v>5.2</v>
      </c>
      <c r="CS83" s="13">
        <f t="array" ref="CS83">INDEX(CR:CR,MIN(IF(ISNUMBER(CR83:CR279),ROW(CR83:CR279),"")))</f>
        <v>5.2</v>
      </c>
      <c r="CT83" s="13">
        <f>IF('Données projet'!$A$140&gt;35,CT82+CS83-DB82,IF(A83&lt;'Données projet'!$A$140,$CQ$205^A83,IF(A83='Données projet'!$A$140,'Données projet'!$B$140,CT82+CS83-DB82)))</f>
        <v>260.00000000000006</v>
      </c>
      <c r="CU83" s="18">
        <f>CT83*VLOOKUP('Données projet'!$B$13,Paramètres!$A$1:$I$89,3,0)*VLOOKUP('Données projet'!$B$13,Paramètres!$A$1:$I$89,5,0)</f>
        <v>210.91200000000009</v>
      </c>
      <c r="CV83" s="14">
        <f t="shared" si="95"/>
        <v>52.134830352456831</v>
      </c>
      <c r="CW83" s="22">
        <f t="shared" si="67"/>
        <v>458.13989619719581</v>
      </c>
      <c r="CX83" s="62">
        <f t="shared" si="68"/>
        <v>751.47322953052912</v>
      </c>
      <c r="CY83" s="62">
        <f ca="1">AVERAGE(OFFSET($CX$3,0,0,'Données projet'!$E$13+1,1))-AVERAGE(OFFSET($H$3,0,0,'Données projet'!$E$13+1,1))</f>
        <v>293.51866463276224</v>
      </c>
      <c r="CZ83" s="62">
        <f t="shared" si="96"/>
        <v>232.78663842203713</v>
      </c>
      <c r="DA83" s="16">
        <f>IF(ISNA(VLOOKUP(A83,'Données projet'!$A$139:$I$159,3,0)),0,VLOOKUP(A83,'Données projet'!$A$139:$I$159,3,0))</f>
        <v>14</v>
      </c>
      <c r="DB83" s="16">
        <f>IF(ISNA(VLOOKUP(A83,'Données projet'!$A$139:$I$159,4,0)),0,VLOOKUP(A83,'Données projet'!$A$139:$I$159,4,0))</f>
        <v>16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2</v>
      </c>
      <c r="N84" s="14">
        <f>IF('Données projet'!$A$36&gt;35,N83+M84-V83,IF(A84&lt;'Données projet'!$A$36,$K$205^A84,IF(A84='Données projet'!$A$36,'Données projet'!$B$36,N83+M84-V83)))</f>
        <v>162.0000000000002</v>
      </c>
      <c r="O84" s="14">
        <f>N84*VLOOKUP('Données projet'!$B$9,Paramètres!$A$1:$I$89,3,0)*VLOOKUP('Données projet'!$B$9,Paramètres!$A$1:$I$89,5,0)</f>
        <v>141.5232000000002</v>
      </c>
      <c r="P84" s="14">
        <f t="shared" si="87"/>
        <v>36.645729158274222</v>
      </c>
      <c r="Q84" s="22">
        <f t="shared" si="54"/>
        <v>310.31088495066126</v>
      </c>
      <c r="R84" s="62">
        <f t="shared" si="55"/>
        <v>603.64421828399463</v>
      </c>
      <c r="S84" s="62">
        <f ca="1">AVERAGE(OFFSET($R$3,0,0,'Données projet'!$E$9+1,1))-AVERAGE(OFFSET($H$3,0,0,'Données projet'!$E$9+1,1))</f>
        <v>239.16843440041487</v>
      </c>
      <c r="T84" s="62">
        <f t="shared" si="88"/>
        <v>241.82319822554194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1.1548852496344617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1.1548852496344617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-3.4106051316484809E-13</v>
      </c>
      <c r="AJ84" s="14">
        <f>AI84*VLOOKUP('Données projet'!$B$10,Paramètres!$A$1:$I$89,3,0)*VLOOKUP('Données projet'!$B$10,Paramètres!$A$1:$I$89,5,0)</f>
        <v>-2.5006556825246659E-13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376.5422416541544</v>
      </c>
      <c r="AO84" s="62">
        <f t="shared" si="90"/>
        <v>365.76175372075869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2.8062323418515027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2.8062323418515027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405.13433810198853</v>
      </c>
      <c r="BJ84" s="62">
        <f t="shared" si="92"/>
        <v>534.74398214162079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3.0080439225421287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8.1026809761969046E-7</v>
      </c>
      <c r="BS84" s="24">
        <f t="shared" si="63"/>
        <v>3.0080447328102262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6.8</v>
      </c>
      <c r="BY84" s="13">
        <f>IF('Données projet'!$A$114&gt;35,BY83+BX84-CG83,IF(A84&lt;'Données projet'!$A$114,$BV$205^A84,IF(A84='Données projet'!$A$114,'Données projet'!$B$114,BY83+BX84-CG83)))</f>
        <v>298.8</v>
      </c>
      <c r="BZ84" s="14">
        <f>BY84*VLOOKUP('Données projet'!$B$12,Paramètres!$A$1:$I$89,3,0)*VLOOKUP('Données projet'!$B$12,Paramètres!$A$1:$I$89,5,0)</f>
        <v>251.70912000000001</v>
      </c>
      <c r="CA84" s="14">
        <f t="shared" si="93"/>
        <v>60.951777927910598</v>
      </c>
      <c r="CB84" s="22">
        <f t="shared" si="64"/>
        <v>544.55106389111097</v>
      </c>
      <c r="CC84" s="62">
        <f t="shared" si="65"/>
        <v>837.88439722444423</v>
      </c>
      <c r="CD84" s="62">
        <f ca="1">AVERAGE(OFFSET($CC$3,0,0,'Données projet'!$E$12+1,1))-AVERAGE(OFFSET($H$3,0,0,'Données projet'!$E$12+1,1))</f>
        <v>411.60020200960821</v>
      </c>
      <c r="CE84" s="62">
        <f t="shared" si="94"/>
        <v>261.95434270986397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4.8</v>
      </c>
      <c r="CT84" s="13">
        <f>IF('Données projet'!$A$140&gt;35,CT83+CS84-DB83,IF(A84&lt;'Données projet'!$A$140,$CQ$205^A84,IF(A84='Données projet'!$A$140,'Données projet'!$B$140,CT83+CS84-DB83)))</f>
        <v>248.80000000000007</v>
      </c>
      <c r="CU84" s="18">
        <f>CT84*VLOOKUP('Données projet'!$B$13,Paramètres!$A$1:$I$89,3,0)*VLOOKUP('Données projet'!$B$13,Paramètres!$A$1:$I$89,5,0)</f>
        <v>201.82656000000006</v>
      </c>
      <c r="CV84" s="14">
        <f t="shared" si="95"/>
        <v>50.145377682843815</v>
      </c>
      <c r="CW84" s="22">
        <f t="shared" si="67"/>
        <v>438.85112479761966</v>
      </c>
      <c r="CX84" s="62">
        <f t="shared" si="68"/>
        <v>732.18445813095298</v>
      </c>
      <c r="CY84" s="62">
        <f ca="1">AVERAGE(OFFSET($CX$3,0,0,'Données projet'!$E$13+1,1))-AVERAGE(OFFSET($H$3,0,0,'Données projet'!$E$13+1,1))</f>
        <v>293.51866463276224</v>
      </c>
      <c r="CZ84" s="62">
        <f t="shared" si="96"/>
        <v>232.78663842203713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2</v>
      </c>
      <c r="N85" s="14">
        <f>IF('Données projet'!$A$36&gt;35,N84+M85-V84,IF(A85&lt;'Données projet'!$A$36,$K$205^A85,IF(A85='Données projet'!$A$36,'Données projet'!$B$36,N84+M85-V84)))</f>
        <v>164.0000000000002</v>
      </c>
      <c r="O85" s="14">
        <f>N85*VLOOKUP('Données projet'!$B$9,Paramètres!$A$1:$I$89,3,0)*VLOOKUP('Données projet'!$B$9,Paramètres!$A$1:$I$89,5,0)</f>
        <v>143.27040000000019</v>
      </c>
      <c r="P85" s="14">
        <f t="shared" si="87"/>
        <v>37.045198377171367</v>
      </c>
      <c r="Q85" s="22">
        <f t="shared" si="54"/>
        <v>314.04966717357382</v>
      </c>
      <c r="R85" s="62">
        <f t="shared" si="55"/>
        <v>607.38300050690714</v>
      </c>
      <c r="S85" s="62">
        <f ca="1">AVERAGE(OFFSET($R$3,0,0,'Données projet'!$E$9+1,1))-AVERAGE(OFFSET($H$3,0,0,'Données projet'!$E$9+1,1))</f>
        <v>239.16843440041487</v>
      </c>
      <c r="T85" s="62">
        <f t="shared" si="88"/>
        <v>241.82319822554194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1.1233048517504316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1.1233048517504316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-3.4106051316484809E-13</v>
      </c>
      <c r="AJ85" s="14">
        <f>AI85*VLOOKUP('Données projet'!$B$10,Paramètres!$A$1:$I$89,3,0)*VLOOKUP('Données projet'!$B$10,Paramètres!$A$1:$I$89,5,0)</f>
        <v>-2.5006556825246659E-13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376.5422416541544</v>
      </c>
      <c r="AO85" s="62">
        <f t="shared" si="90"/>
        <v>365.76175372075869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2.7512038372605137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2.7512038372605137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405.13433810198853</v>
      </c>
      <c r="BJ85" s="62">
        <f t="shared" si="92"/>
        <v>534.74398214162079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2.9490580159467061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5.7294606640600658E-7</v>
      </c>
      <c r="BS85" s="24">
        <f t="shared" si="63"/>
        <v>2.9490585888927727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6.8</v>
      </c>
      <c r="BY85" s="13">
        <f>IF('Données projet'!$A$114&gt;35,BY84+BX85-CG84,IF(A85&lt;'Données projet'!$A$114,$BV$205^A85,IF(A85='Données projet'!$A$114,'Données projet'!$B$114,BY84+BX85-CG84)))</f>
        <v>305.60000000000002</v>
      </c>
      <c r="BZ85" s="14">
        <f>BY85*VLOOKUP('Données projet'!$B$12,Paramètres!$A$1:$I$89,3,0)*VLOOKUP('Données projet'!$B$12,Paramètres!$A$1:$I$89,5,0)</f>
        <v>257.43744000000004</v>
      </c>
      <c r="CA85" s="14">
        <f t="shared" si="93"/>
        <v>62.175829233865038</v>
      </c>
      <c r="CB85" s="22">
        <f t="shared" si="64"/>
        <v>556.65977724898164</v>
      </c>
      <c r="CC85" s="62">
        <f t="shared" si="65"/>
        <v>849.99311058231501</v>
      </c>
      <c r="CD85" s="62">
        <f ca="1">AVERAGE(OFFSET($CC$3,0,0,'Données projet'!$E$12+1,1))-AVERAGE(OFFSET($H$3,0,0,'Données projet'!$E$12+1,1))</f>
        <v>411.60020200960821</v>
      </c>
      <c r="CE85" s="62">
        <f t="shared" si="94"/>
        <v>261.95434270986397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4.8</v>
      </c>
      <c r="CT85" s="13">
        <f>IF('Données projet'!$A$140&gt;35,CT84+CS85-DB84,IF(A85&lt;'Données projet'!$A$140,$CQ$205^A85,IF(A85='Données projet'!$A$140,'Données projet'!$B$140,CT84+CS85-DB84)))</f>
        <v>253.60000000000008</v>
      </c>
      <c r="CU85" s="18">
        <f>CT85*VLOOKUP('Données projet'!$B$13,Paramètres!$A$1:$I$89,3,0)*VLOOKUP('Données projet'!$B$13,Paramètres!$A$1:$I$89,5,0)</f>
        <v>205.72032000000007</v>
      </c>
      <c r="CV85" s="14">
        <f t="shared" si="95"/>
        <v>50.999250193234857</v>
      </c>
      <c r="CW85" s="22">
        <f t="shared" si="67"/>
        <v>447.1199180865508</v>
      </c>
      <c r="CX85" s="62">
        <f t="shared" si="68"/>
        <v>740.45325141988405</v>
      </c>
      <c r="CY85" s="62">
        <f ca="1">AVERAGE(OFFSET($CX$3,0,0,'Données projet'!$E$13+1,1))-AVERAGE(OFFSET($H$3,0,0,'Données projet'!$E$13+1,1))</f>
        <v>293.51866463276224</v>
      </c>
      <c r="CZ85" s="62">
        <f t="shared" si="96"/>
        <v>232.78663842203713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2</v>
      </c>
      <c r="N86" s="14">
        <f>IF('Données projet'!$A$36&gt;35,N85+M86-V85,IF(A86&lt;'Données projet'!$A$36,$K$205^A86,IF(A86='Données projet'!$A$36,'Données projet'!$B$36,N85+M86-V85)))</f>
        <v>166.0000000000002</v>
      </c>
      <c r="O86" s="14">
        <f>N86*VLOOKUP('Données projet'!$B$9,Paramètres!$A$1:$I$89,3,0)*VLOOKUP('Données projet'!$B$9,Paramètres!$A$1:$I$89,5,0)</f>
        <v>145.01760000000019</v>
      </c>
      <c r="P86" s="14">
        <f t="shared" si="87"/>
        <v>37.444100932065268</v>
      </c>
      <c r="Q86" s="22">
        <f t="shared" si="54"/>
        <v>317.78746245668066</v>
      </c>
      <c r="R86" s="62">
        <f t="shared" si="55"/>
        <v>611.12079579001397</v>
      </c>
      <c r="S86" s="62">
        <f ca="1">AVERAGE(OFFSET($R$3,0,0,'Données projet'!$E$9+1,1))-AVERAGE(OFFSET($H$3,0,0,'Données projet'!$E$9+1,1))</f>
        <v>239.16843440041487</v>
      </c>
      <c r="T86" s="62">
        <f t="shared" si="88"/>
        <v>241.82319822554194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1.0925880215072812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1.0925880215072812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-3.4106051316484809E-13</v>
      </c>
      <c r="AJ86" s="14">
        <f>AI86*VLOOKUP('Données projet'!$B$10,Paramètres!$A$1:$I$89,3,0)*VLOOKUP('Données projet'!$B$10,Paramètres!$A$1:$I$89,5,0)</f>
        <v>-2.5006556825246659E-13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376.5422416541544</v>
      </c>
      <c r="AO86" s="62">
        <f t="shared" si="90"/>
        <v>365.76175372075869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2.6972544080804801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2.6972544080804801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405.13433810198853</v>
      </c>
      <c r="BJ86" s="62">
        <f t="shared" si="92"/>
        <v>534.74398214162079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2.8912287870017694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4.0513404880984523E-7</v>
      </c>
      <c r="BS86" s="24">
        <f t="shared" si="63"/>
        <v>2.8912291921358184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6.8</v>
      </c>
      <c r="BY86" s="13">
        <f>IF('Données projet'!$A$114&gt;35,BY85+BX86-CG85,IF(A86&lt;'Données projet'!$A$114,$BV$205^A86,IF(A86='Données projet'!$A$114,'Données projet'!$B$114,BY85+BX86-CG85)))</f>
        <v>312.40000000000003</v>
      </c>
      <c r="BZ86" s="14">
        <f>BY86*VLOOKUP('Données projet'!$B$12,Paramètres!$A$1:$I$89,3,0)*VLOOKUP('Données projet'!$B$12,Paramètres!$A$1:$I$89,5,0)</f>
        <v>263.16576000000003</v>
      </c>
      <c r="CA86" s="14">
        <f t="shared" si="93"/>
        <v>63.396714008817959</v>
      </c>
      <c r="CB86" s="22">
        <f t="shared" si="64"/>
        <v>568.76297556535803</v>
      </c>
      <c r="CC86" s="62">
        <f t="shared" si="65"/>
        <v>862.0963088986914</v>
      </c>
      <c r="CD86" s="62">
        <f ca="1">AVERAGE(OFFSET($CC$3,0,0,'Données projet'!$E$12+1,1))-AVERAGE(OFFSET($H$3,0,0,'Données projet'!$E$12+1,1))</f>
        <v>411.60020200960821</v>
      </c>
      <c r="CE86" s="62">
        <f t="shared" si="94"/>
        <v>261.95434270986397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4.8</v>
      </c>
      <c r="CT86" s="13">
        <f>IF('Données projet'!$A$140&gt;35,CT85+CS86-DB85,IF(A86&lt;'Données projet'!$A$140,$CQ$205^A86,IF(A86='Données projet'!$A$140,'Données projet'!$B$140,CT85+CS86-DB85)))</f>
        <v>258.40000000000009</v>
      </c>
      <c r="CU86" s="18">
        <f>CT86*VLOOKUP('Données projet'!$B$13,Paramètres!$A$1:$I$89,3,0)*VLOOKUP('Données projet'!$B$13,Paramètres!$A$1:$I$89,5,0)</f>
        <v>209.61408000000009</v>
      </c>
      <c r="CV86" s="14">
        <f t="shared" si="95"/>
        <v>51.851243442662636</v>
      </c>
      <c r="CW86" s="22">
        <f t="shared" si="67"/>
        <v>455.38543832930424</v>
      </c>
      <c r="CX86" s="62">
        <f t="shared" si="68"/>
        <v>748.71877166263755</v>
      </c>
      <c r="CY86" s="62">
        <f ca="1">AVERAGE(OFFSET($CX$3,0,0,'Données projet'!$E$13+1,1))-AVERAGE(OFFSET($H$3,0,0,'Données projet'!$E$13+1,1))</f>
        <v>293.51866463276224</v>
      </c>
      <c r="CZ86" s="62">
        <f t="shared" si="96"/>
        <v>232.78663842203713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2</v>
      </c>
      <c r="N87" s="14">
        <f>IF('Données projet'!$A$36&gt;35,N86+M87-V86,IF(A87&lt;'Données projet'!$A$36,$K$205^A87,IF(A87='Données projet'!$A$36,'Données projet'!$B$36,N86+M87-V86)))</f>
        <v>168.0000000000002</v>
      </c>
      <c r="O87" s="14">
        <f>N87*VLOOKUP('Données projet'!$B$9,Paramètres!$A$1:$I$89,3,0)*VLOOKUP('Données projet'!$B$9,Paramètres!$A$1:$I$89,5,0)</f>
        <v>146.76480000000021</v>
      </c>
      <c r="P87" s="14">
        <f t="shared" si="87"/>
        <v>37.842444439956701</v>
      </c>
      <c r="Q87" s="22">
        <f t="shared" si="54"/>
        <v>321.52428406625825</v>
      </c>
      <c r="R87" s="62">
        <f t="shared" si="55"/>
        <v>614.85761739959162</v>
      </c>
      <c r="S87" s="62">
        <f ca="1">AVERAGE(OFFSET($R$3,0,0,'Données projet'!$E$9+1,1))-AVERAGE(OFFSET($H$3,0,0,'Données projet'!$E$9+1,1))</f>
        <v>239.16843440041487</v>
      </c>
      <c r="T87" s="62">
        <f t="shared" si="88"/>
        <v>241.82319822554194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1.0627111446024577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1.0627111446024577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-3.4106051316484809E-13</v>
      </c>
      <c r="AJ87" s="14">
        <f>AI87*VLOOKUP('Données projet'!$B$10,Paramètres!$A$1:$I$89,3,0)*VLOOKUP('Données projet'!$B$10,Paramètres!$A$1:$I$89,5,0)</f>
        <v>-2.5006556825246659E-13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376.5422416541544</v>
      </c>
      <c r="AO87" s="62">
        <f t="shared" si="90"/>
        <v>365.76175372075869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2.6443628943007647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2.6443628943007647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405.13433810198853</v>
      </c>
      <c r="BJ87" s="62">
        <f t="shared" si="92"/>
        <v>534.74398214162079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2.8345335539640959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2.8647303320300329E-7</v>
      </c>
      <c r="BS87" s="24">
        <f t="shared" si="63"/>
        <v>2.8345338404371292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6.8</v>
      </c>
      <c r="BY87" s="13">
        <f>IF('Données projet'!$A$114&gt;35,BY86+BX87-CG86,IF(A87&lt;'Données projet'!$A$114,$BV$205^A87,IF(A87='Données projet'!$A$114,'Données projet'!$B$114,BY86+BX87-CG86)))</f>
        <v>319.20000000000005</v>
      </c>
      <c r="BZ87" s="14">
        <f>BY87*VLOOKUP('Données projet'!$B$12,Paramètres!$A$1:$I$89,3,0)*VLOOKUP('Données projet'!$B$12,Paramètres!$A$1:$I$89,5,0)</f>
        <v>268.89408000000003</v>
      </c>
      <c r="CA87" s="14">
        <f t="shared" si="93"/>
        <v>64.614509116360949</v>
      </c>
      <c r="CB87" s="22">
        <f t="shared" si="64"/>
        <v>580.86079271099538</v>
      </c>
      <c r="CC87" s="62">
        <f t="shared" si="65"/>
        <v>874.19412604432864</v>
      </c>
      <c r="CD87" s="62">
        <f ca="1">AVERAGE(OFFSET($CC$3,0,0,'Données projet'!$E$12+1,1))-AVERAGE(OFFSET($H$3,0,0,'Données projet'!$E$12+1,1))</f>
        <v>411.60020200960821</v>
      </c>
      <c r="CE87" s="62">
        <f t="shared" si="94"/>
        <v>261.95434270986397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4.8</v>
      </c>
      <c r="CT87" s="13">
        <f>IF('Données projet'!$A$140&gt;35,CT86+CS87-DB86,IF(A87&lt;'Données projet'!$A$140,$CQ$205^A87,IF(A87='Données projet'!$A$140,'Données projet'!$B$140,CT86+CS87-DB86)))</f>
        <v>263.2000000000001</v>
      </c>
      <c r="CU87" s="18">
        <f>CT87*VLOOKUP('Données projet'!$B$13,Paramètres!$A$1:$I$89,3,0)*VLOOKUP('Données projet'!$B$13,Paramètres!$A$1:$I$89,5,0)</f>
        <v>213.5078400000001</v>
      </c>
      <c r="CV87" s="14">
        <f t="shared" si="95"/>
        <v>52.701396365805174</v>
      </c>
      <c r="CW87" s="22">
        <f t="shared" si="67"/>
        <v>463.64775333711083</v>
      </c>
      <c r="CX87" s="62">
        <f t="shared" si="68"/>
        <v>756.98108667044414</v>
      </c>
      <c r="CY87" s="62">
        <f ca="1">AVERAGE(OFFSET($CX$3,0,0,'Données projet'!$E$13+1,1))-AVERAGE(OFFSET($H$3,0,0,'Données projet'!$E$13+1,1))</f>
        <v>293.51866463276224</v>
      </c>
      <c r="CZ87" s="62">
        <f t="shared" si="96"/>
        <v>232.78663842203713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170</v>
      </c>
      <c r="L88" s="13">
        <f>VLOOKUP(A88,'Données projet'!$A$35:$I$55,9,0)</f>
        <v>2</v>
      </c>
      <c r="M88" s="13">
        <f t="array" ref="M88">INDEX(L:L,MIN(IF(ISNUMBER(L88:L284),ROW(L88:L284),"")))</f>
        <v>2</v>
      </c>
      <c r="N88" s="14">
        <f>IF('Données projet'!$A$36&gt;35,N87+M88-V87,IF(A88&lt;'Données projet'!$A$36,$K$205^A88,IF(A88='Données projet'!$A$36,'Données projet'!$B$36,N87+M88-V87)))</f>
        <v>170.0000000000002</v>
      </c>
      <c r="O88" s="14">
        <f>N88*VLOOKUP('Données projet'!$B$9,Paramètres!$A$1:$I$89,3,0)*VLOOKUP('Données projet'!$B$9,Paramètres!$A$1:$I$89,5,0)</f>
        <v>148.5120000000002</v>
      </c>
      <c r="P88" s="14">
        <f t="shared" si="87"/>
        <v>38.240236326053576</v>
      </c>
      <c r="Q88" s="22">
        <f t="shared" si="54"/>
        <v>325.26014493454369</v>
      </c>
      <c r="R88" s="62">
        <f t="shared" si="55"/>
        <v>618.593478267877</v>
      </c>
      <c r="S88" s="62">
        <f ca="1">AVERAGE(OFFSET($R$3,0,0,'Données projet'!$E$9+1,1))-AVERAGE(OFFSET($H$3,0,0,'Données projet'!$E$9+1,1))</f>
        <v>239.16843440041487</v>
      </c>
      <c r="T88" s="62">
        <f t="shared" si="88"/>
        <v>241.82319822554194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7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1.0336512524677532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1.0336512524677532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-3.4106051316484809E-13</v>
      </c>
      <c r="AJ88" s="14">
        <f>AI88*VLOOKUP('Données projet'!$B$10,Paramètres!$A$1:$I$89,3,0)*VLOOKUP('Données projet'!$B$10,Paramètres!$A$1:$I$89,5,0)</f>
        <v>-2.5006556825246659E-13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376.5422416541544</v>
      </c>
      <c r="AO88" s="62">
        <f t="shared" si="90"/>
        <v>365.76175372075869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2.5925085508456314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2.5925085508456314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405.13433810198853</v>
      </c>
      <c r="BJ88" s="62">
        <f t="shared" si="92"/>
        <v>534.74398214162079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2.7789500798656137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2.0256702440492262E-7</v>
      </c>
      <c r="BS88" s="24">
        <f t="shared" si="63"/>
        <v>2.7789502824326382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326</v>
      </c>
      <c r="BW88" s="13">
        <f>VLOOKUP(A88,'Données projet'!$A$113:$I$133,9,0)</f>
        <v>6.8</v>
      </c>
      <c r="BX88" s="13">
        <f t="array" ref="BX88">INDEX(BW:BW,MIN(IF(ISNUMBER(BW88:BW284),ROW(BW88:BW284),"")))</f>
        <v>6.8</v>
      </c>
      <c r="BY88" s="13">
        <f>IF('Données projet'!$A$114&gt;35,BY87+BX88-CG87,IF(A88&lt;'Données projet'!$A$114,$BV$205^A88,IF(A88='Données projet'!$A$114,'Données projet'!$B$114,BY87+BX88-CG87)))</f>
        <v>326.00000000000006</v>
      </c>
      <c r="BZ88" s="14">
        <f>BY88*VLOOKUP('Données projet'!$B$12,Paramètres!$A$1:$I$89,3,0)*VLOOKUP('Données projet'!$B$12,Paramètres!$A$1:$I$89,5,0)</f>
        <v>274.62240000000008</v>
      </c>
      <c r="CA88" s="14">
        <f t="shared" si="93"/>
        <v>65.829287958103762</v>
      </c>
      <c r="CB88" s="22">
        <f t="shared" si="64"/>
        <v>592.95335652703079</v>
      </c>
      <c r="CC88" s="62">
        <f t="shared" si="65"/>
        <v>886.28668986036405</v>
      </c>
      <c r="CD88" s="62">
        <f ca="1">AVERAGE(OFFSET($CC$3,0,0,'Données projet'!$E$12+1,1))-AVERAGE(OFFSET($H$3,0,0,'Données projet'!$E$12+1,1))</f>
        <v>411.60020200960821</v>
      </c>
      <c r="CE88" s="62">
        <f t="shared" si="94"/>
        <v>261.95434270986397</v>
      </c>
      <c r="CF88" s="16">
        <f>IF(ISNA(VLOOKUP(A88,'Données projet'!$A$113:$I$133,3,0)),0,VLOOKUP(A88,'Données projet'!$A$113:$I$133,3,0))</f>
        <v>14</v>
      </c>
      <c r="CG88" s="16">
        <f>IF(ISNA(VLOOKUP(A88,'Données projet'!$A$113:$I$133,4,0)),0,VLOOKUP(A88,'Données projet'!$A$113:$I$133,4,0))</f>
        <v>28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268</v>
      </c>
      <c r="CR88" s="13">
        <f>VLOOKUP(A88,'Données projet'!$A$139:$I$159,9,0)</f>
        <v>4.8</v>
      </c>
      <c r="CS88" s="13">
        <f t="array" ref="CS88">INDEX(CR:CR,MIN(IF(ISNUMBER(CR88:CR284),ROW(CR88:CR284),"")))</f>
        <v>4.8</v>
      </c>
      <c r="CT88" s="13">
        <f>IF('Données projet'!$A$140&gt;35,CT87+CS88-DB87,IF(A88&lt;'Données projet'!$A$140,$CQ$205^A88,IF(A88='Données projet'!$A$140,'Données projet'!$B$140,CT87+CS88-DB87)))</f>
        <v>268.00000000000011</v>
      </c>
      <c r="CU88" s="18">
        <f>CT88*VLOOKUP('Données projet'!$B$13,Paramètres!$A$1:$I$89,3,0)*VLOOKUP('Données projet'!$B$13,Paramètres!$A$1:$I$89,5,0)</f>
        <v>217.40160000000012</v>
      </c>
      <c r="CV88" s="14">
        <f t="shared" si="95"/>
        <v>53.549746395925162</v>
      </c>
      <c r="CW88" s="22">
        <f t="shared" si="67"/>
        <v>471.90692830623652</v>
      </c>
      <c r="CX88" s="62">
        <f t="shared" si="68"/>
        <v>765.24026163956978</v>
      </c>
      <c r="CY88" s="62">
        <f ca="1">AVERAGE(OFFSET($CX$3,0,0,'Données projet'!$E$13+1,1))-AVERAGE(OFFSET($H$3,0,0,'Données projet'!$E$13+1,1))</f>
        <v>293.51866463276224</v>
      </c>
      <c r="CZ88" s="62">
        <f t="shared" si="96"/>
        <v>232.78663842203713</v>
      </c>
      <c r="DA88" s="16">
        <f>IF(ISNA(VLOOKUP(A88,'Données projet'!$A$139:$I$159,3,0)),0,VLOOKUP(A88,'Données projet'!$A$139:$I$159,3,0))</f>
        <v>15</v>
      </c>
      <c r="DB88" s="16">
        <f>IF(ISNA(VLOOKUP(A88,'Données projet'!$A$139:$I$159,4,0)),0,VLOOKUP(A88,'Données projet'!$A$139:$I$159,4,0))</f>
        <v>16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1.6</v>
      </c>
      <c r="N89" s="14">
        <f>IF('Données projet'!$A$36&gt;35,N88+M89-V88,IF(A89&lt;'Données projet'!$A$36,$K$205^A89,IF(A89='Données projet'!$A$36,'Données projet'!$B$36,N88+M89-V88)))</f>
        <v>164.60000000000019</v>
      </c>
      <c r="O89" s="14">
        <f>N89*VLOOKUP('Données projet'!$B$9,Paramètres!$A$1:$I$89,3,0)*VLOOKUP('Données projet'!$B$9,Paramètres!$A$1:$I$89,5,0)</f>
        <v>143.79456000000019</v>
      </c>
      <c r="P89" s="14">
        <f t="shared" si="87"/>
        <v>37.164928293001893</v>
      </c>
      <c r="Q89" s="22">
        <f t="shared" si="54"/>
        <v>315.17110877697866</v>
      </c>
      <c r="R89" s="62">
        <f t="shared" si="55"/>
        <v>608.50444211031197</v>
      </c>
      <c r="S89" s="62">
        <f ca="1">AVERAGE(OFFSET($R$3,0,0,'Données projet'!$E$9+1,1))-AVERAGE(OFFSET($H$3,0,0,'Données projet'!$E$9+1,1))</f>
        <v>239.16843440041487</v>
      </c>
      <c r="T89" s="62">
        <f t="shared" si="88"/>
        <v>241.82319822554194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1.0053860046116656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1.0053860046116656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-3.4106051316484809E-13</v>
      </c>
      <c r="AJ89" s="14">
        <f>AI89*VLOOKUP('Données projet'!$B$10,Paramètres!$A$1:$I$89,3,0)*VLOOKUP('Données projet'!$B$10,Paramètres!$A$1:$I$89,5,0)</f>
        <v>-2.5006556825246659E-13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376.5422416541544</v>
      </c>
      <c r="AO89" s="62">
        <f t="shared" si="90"/>
        <v>365.76175372075869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2.5416710394376265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2.5416710394376265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405.13433810198853</v>
      </c>
      <c r="BJ89" s="62">
        <f t="shared" si="92"/>
        <v>534.74398214162079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2.7244565637916311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1.4323651660150165E-7</v>
      </c>
      <c r="BS89" s="24">
        <f t="shared" si="63"/>
        <v>2.7244567070281476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6.4</v>
      </c>
      <c r="BY89" s="13">
        <f>IF('Données projet'!$A$114&gt;35,BY88+BX89-CG88,IF(A89&lt;'Données projet'!$A$114,$BV$205^A89,IF(A89='Données projet'!$A$114,'Données projet'!$B$114,BY88+BX89-CG88)))</f>
        <v>304.40000000000003</v>
      </c>
      <c r="BZ89" s="14">
        <f>BY89*VLOOKUP('Données projet'!$B$12,Paramètres!$A$1:$I$89,3,0)*VLOOKUP('Données projet'!$B$12,Paramètres!$A$1:$I$89,5,0)</f>
        <v>256.42656000000005</v>
      </c>
      <c r="CA89" s="14">
        <f t="shared" si="93"/>
        <v>61.960052520146306</v>
      </c>
      <c r="CB89" s="22">
        <f t="shared" si="64"/>
        <v>554.52335013925483</v>
      </c>
      <c r="CC89" s="62">
        <f t="shared" si="65"/>
        <v>847.8566834725882</v>
      </c>
      <c r="CD89" s="62">
        <f ca="1">AVERAGE(OFFSET($CC$3,0,0,'Données projet'!$E$12+1,1))-AVERAGE(OFFSET($H$3,0,0,'Données projet'!$E$12+1,1))</f>
        <v>411.60020200960821</v>
      </c>
      <c r="CE89" s="62">
        <f t="shared" si="94"/>
        <v>261.95434270986397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4.8</v>
      </c>
      <c r="CT89" s="13">
        <f>IF('Données projet'!$A$140&gt;35,CT88+CS89-DB88,IF(A89&lt;'Données projet'!$A$140,$CQ$205^A89,IF(A89='Données projet'!$A$140,'Données projet'!$B$140,CT88+CS89-DB88)))</f>
        <v>256.80000000000013</v>
      </c>
      <c r="CU89" s="18">
        <f>CT89*VLOOKUP('Données projet'!$B$13,Paramètres!$A$1:$I$89,3,0)*VLOOKUP('Données projet'!$B$13,Paramètres!$A$1:$I$89,5,0)</f>
        <v>208.31616000000011</v>
      </c>
      <c r="CV89" s="14">
        <f t="shared" si="95"/>
        <v>51.567452064520282</v>
      </c>
      <c r="CW89" s="22">
        <f t="shared" si="67"/>
        <v>452.63062434570634</v>
      </c>
      <c r="CX89" s="62">
        <f t="shared" si="68"/>
        <v>745.96395767903959</v>
      </c>
      <c r="CY89" s="62">
        <f ca="1">AVERAGE(OFFSET($CX$3,0,0,'Données projet'!$E$13+1,1))-AVERAGE(OFFSET($H$3,0,0,'Données projet'!$E$13+1,1))</f>
        <v>293.51866463276224</v>
      </c>
      <c r="CZ89" s="62">
        <f t="shared" si="96"/>
        <v>232.78663842203713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1.6</v>
      </c>
      <c r="N90" s="14">
        <f>IF('Données projet'!$A$36&gt;35,N89+M90-V89,IF(A90&lt;'Données projet'!$A$36,$K$205^A90,IF(A90='Données projet'!$A$36,'Données projet'!$B$36,N89+M90-V89)))</f>
        <v>166.20000000000019</v>
      </c>
      <c r="O90" s="14">
        <f>N90*VLOOKUP('Données projet'!$B$9,Paramètres!$A$1:$I$89,3,0)*VLOOKUP('Données projet'!$B$9,Paramètres!$A$1:$I$89,5,0)</f>
        <v>145.19232000000019</v>
      </c>
      <c r="P90" s="14">
        <f t="shared" si="87"/>
        <v>37.483960315974116</v>
      </c>
      <c r="Q90" s="22">
        <f t="shared" si="54"/>
        <v>318.16118821698859</v>
      </c>
      <c r="R90" s="62">
        <f t="shared" si="55"/>
        <v>611.49452155032191</v>
      </c>
      <c r="S90" s="62">
        <f ca="1">AVERAGE(OFFSET($R$3,0,0,'Données projet'!$E$9+1,1))-AVERAGE(OFFSET($H$3,0,0,'Données projet'!$E$9+1,1))</f>
        <v>239.16843440041487</v>
      </c>
      <c r="T90" s="62">
        <f t="shared" si="88"/>
        <v>241.82319822554194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0.97789367144460748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0.97789367144460748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-3.4106051316484809E-13</v>
      </c>
      <c r="AJ90" s="14">
        <f>AI90*VLOOKUP('Données projet'!$B$10,Paramètres!$A$1:$I$89,3,0)*VLOOKUP('Données projet'!$B$10,Paramètres!$A$1:$I$89,5,0)</f>
        <v>-2.5006556825246659E-13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376.5422416541544</v>
      </c>
      <c r="AO90" s="62">
        <f t="shared" si="90"/>
        <v>365.76175372075869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2.4918304206205129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2.4918304206205129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405.13433810198853</v>
      </c>
      <c r="BJ90" s="62">
        <f t="shared" si="92"/>
        <v>534.74398214162079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2.6710316323300964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1.0128351220246131E-7</v>
      </c>
      <c r="BS90" s="24">
        <f t="shared" si="63"/>
        <v>2.6710317336136087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6.4</v>
      </c>
      <c r="BY90" s="13">
        <f>IF('Données projet'!$A$114&gt;35,BY89+BX90-CG89,IF(A90&lt;'Données projet'!$A$114,$BV$205^A90,IF(A90='Données projet'!$A$114,'Données projet'!$B$114,BY89+BX90-CG89)))</f>
        <v>310.8</v>
      </c>
      <c r="BZ90" s="14">
        <f>BY90*VLOOKUP('Données projet'!$B$12,Paramètres!$A$1:$I$89,3,0)*VLOOKUP('Données projet'!$B$12,Paramètres!$A$1:$I$89,5,0)</f>
        <v>261.81792000000002</v>
      </c>
      <c r="CA90" s="14">
        <f t="shared" si="93"/>
        <v>63.109727755181751</v>
      </c>
      <c r="CB90" s="22">
        <f t="shared" si="64"/>
        <v>565.91565317360812</v>
      </c>
      <c r="CC90" s="62">
        <f t="shared" si="65"/>
        <v>859.24898650694149</v>
      </c>
      <c r="CD90" s="62">
        <f ca="1">AVERAGE(OFFSET($CC$3,0,0,'Données projet'!$E$12+1,1))-AVERAGE(OFFSET($H$3,0,0,'Données projet'!$E$12+1,1))</f>
        <v>411.60020200960821</v>
      </c>
      <c r="CE90" s="62">
        <f t="shared" si="94"/>
        <v>261.95434270986397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4.8</v>
      </c>
      <c r="CT90" s="13">
        <f>IF('Données projet'!$A$140&gt;35,CT89+CS90-DB89,IF(A90&lt;'Données projet'!$A$140,$CQ$205^A90,IF(A90='Données projet'!$A$140,'Données projet'!$B$140,CT89+CS90-DB89)))</f>
        <v>261.60000000000014</v>
      </c>
      <c r="CU90" s="18">
        <f>CT90*VLOOKUP('Données projet'!$B$13,Paramètres!$A$1:$I$89,3,0)*VLOOKUP('Données projet'!$B$13,Paramètres!$A$1:$I$89,5,0)</f>
        <v>212.20992000000012</v>
      </c>
      <c r="CV90" s="14">
        <f t="shared" si="95"/>
        <v>52.418214198146707</v>
      </c>
      <c r="CW90" s="22">
        <f t="shared" si="67"/>
        <v>460.89400039510565</v>
      </c>
      <c r="CX90" s="62">
        <f t="shared" si="68"/>
        <v>754.22733372843891</v>
      </c>
      <c r="CY90" s="62">
        <f ca="1">AVERAGE(OFFSET($CX$3,0,0,'Données projet'!$E$13+1,1))-AVERAGE(OFFSET($H$3,0,0,'Données projet'!$E$13+1,1))</f>
        <v>293.51866463276224</v>
      </c>
      <c r="CZ90" s="62">
        <f t="shared" si="96"/>
        <v>232.78663842203713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1.6</v>
      </c>
      <c r="N91" s="14">
        <f>IF('Données projet'!$A$36&gt;35,N90+M91-V90,IF(A91&lt;'Données projet'!$A$36,$K$205^A91,IF(A91='Données projet'!$A$36,'Données projet'!$B$36,N90+M91-V90)))</f>
        <v>167.80000000000018</v>
      </c>
      <c r="O91" s="14">
        <f>N91*VLOOKUP('Données projet'!$B$9,Paramètres!$A$1:$I$89,3,0)*VLOOKUP('Données projet'!$B$9,Paramètres!$A$1:$I$89,5,0)</f>
        <v>146.5900800000002</v>
      </c>
      <c r="P91" s="14">
        <f t="shared" si="87"/>
        <v>37.802635033193546</v>
      </c>
      <c r="Q91" s="22">
        <f t="shared" si="54"/>
        <v>321.15064534947913</v>
      </c>
      <c r="R91" s="62">
        <f t="shared" si="55"/>
        <v>614.48397868281245</v>
      </c>
      <c r="S91" s="62">
        <f ca="1">AVERAGE(OFFSET($R$3,0,0,'Données projet'!$E$9+1,1))-AVERAGE(OFFSET($H$3,0,0,'Données projet'!$E$9+1,1))</f>
        <v>239.16843440041487</v>
      </c>
      <c r="T91" s="62">
        <f t="shared" si="88"/>
        <v>241.82319822554194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0.95115311757376153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0.95115311757376153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-3.4106051316484809E-13</v>
      </c>
      <c r="AJ91" s="14">
        <f>AI91*VLOOKUP('Données projet'!$B$10,Paramètres!$A$1:$I$89,3,0)*VLOOKUP('Données projet'!$B$10,Paramètres!$A$1:$I$89,5,0)</f>
        <v>-2.5006556825246659E-13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376.5422416541544</v>
      </c>
      <c r="AO91" s="62">
        <f t="shared" si="90"/>
        <v>365.76175372075869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2.4429671459386268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2.4429671459386268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405.13433810198853</v>
      </c>
      <c r="BJ91" s="62">
        <f t="shared" si="92"/>
        <v>534.74398214162079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2.618654331188532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7.1618258300750823E-8</v>
      </c>
      <c r="BS91" s="24">
        <f t="shared" si="63"/>
        <v>2.6186544028067904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6.4</v>
      </c>
      <c r="BY91" s="13">
        <f>IF('Données projet'!$A$114&gt;35,BY90+BX91-CG90,IF(A91&lt;'Données projet'!$A$114,$BV$205^A91,IF(A91='Données projet'!$A$114,'Données projet'!$B$114,BY90+BX91-CG90)))</f>
        <v>317.2</v>
      </c>
      <c r="BZ91" s="14">
        <f>BY91*VLOOKUP('Données projet'!$B$12,Paramètres!$A$1:$I$89,3,0)*VLOOKUP('Données projet'!$B$12,Paramètres!$A$1:$I$89,5,0)</f>
        <v>267.20928000000004</v>
      </c>
      <c r="CA91" s="14">
        <f t="shared" si="93"/>
        <v>64.256650415058076</v>
      </c>
      <c r="CB91" s="22">
        <f t="shared" si="64"/>
        <v>577.3031621395595</v>
      </c>
      <c r="CC91" s="62">
        <f t="shared" si="65"/>
        <v>870.63649547289288</v>
      </c>
      <c r="CD91" s="62">
        <f ca="1">AVERAGE(OFFSET($CC$3,0,0,'Données projet'!$E$12+1,1))-AVERAGE(OFFSET($H$3,0,0,'Données projet'!$E$12+1,1))</f>
        <v>411.60020200960821</v>
      </c>
      <c r="CE91" s="62">
        <f t="shared" si="94"/>
        <v>261.95434270986397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4.8</v>
      </c>
      <c r="CT91" s="13">
        <f>IF('Données projet'!$A$140&gt;35,CT90+CS91-DB90,IF(A91&lt;'Données projet'!$A$140,$CQ$205^A91,IF(A91='Données projet'!$A$140,'Données projet'!$B$140,CT90+CS91-DB90)))</f>
        <v>266.40000000000015</v>
      </c>
      <c r="CU91" s="18">
        <f>CT91*VLOOKUP('Données projet'!$B$13,Paramètres!$A$1:$I$89,3,0)*VLOOKUP('Données projet'!$B$13,Paramètres!$A$1:$I$89,5,0)</f>
        <v>216.10368000000014</v>
      </c>
      <c r="CV91" s="14">
        <f t="shared" si="95"/>
        <v>53.267161122521408</v>
      </c>
      <c r="CW91" s="22">
        <f t="shared" si="67"/>
        <v>469.15421495505831</v>
      </c>
      <c r="CX91" s="62">
        <f t="shared" si="68"/>
        <v>762.48754828839162</v>
      </c>
      <c r="CY91" s="62">
        <f ca="1">AVERAGE(OFFSET($CX$3,0,0,'Données projet'!$E$13+1,1))-AVERAGE(OFFSET($H$3,0,0,'Données projet'!$E$13+1,1))</f>
        <v>293.51866463276224</v>
      </c>
      <c r="CZ91" s="62">
        <f t="shared" si="96"/>
        <v>232.78663842203713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1.6</v>
      </c>
      <c r="N92" s="14">
        <f>IF('Données projet'!$A$36&gt;35,N91+M92-V91,IF(A92&lt;'Données projet'!$A$36,$K$205^A92,IF(A92='Données projet'!$A$36,'Données projet'!$B$36,N91+M92-V91)))</f>
        <v>169.40000000000018</v>
      </c>
      <c r="O92" s="14">
        <f>N92*VLOOKUP('Données projet'!$B$9,Paramètres!$A$1:$I$89,3,0)*VLOOKUP('Données projet'!$B$9,Paramètres!$A$1:$I$89,5,0)</f>
        <v>147.98784000000018</v>
      </c>
      <c r="P92" s="14">
        <f t="shared" si="87"/>
        <v>38.120956246204841</v>
      </c>
      <c r="Q92" s="22">
        <f t="shared" si="54"/>
        <v>324.13948679547377</v>
      </c>
      <c r="R92" s="62">
        <f t="shared" si="55"/>
        <v>617.47282012880714</v>
      </c>
      <c r="S92" s="62">
        <f ca="1">AVERAGE(OFFSET($R$3,0,0,'Données projet'!$E$9+1,1))-AVERAGE(OFFSET($H$3,0,0,'Données projet'!$E$9+1,1))</f>
        <v>239.16843440041487</v>
      </c>
      <c r="T92" s="62">
        <f t="shared" si="88"/>
        <v>241.82319822554194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0.92514378555473842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0.92514378555473842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-3.4106051316484809E-13</v>
      </c>
      <c r="AJ92" s="14">
        <f>AI92*VLOOKUP('Données projet'!$B$10,Paramètres!$A$1:$I$89,3,0)*VLOOKUP('Données projet'!$B$10,Paramètres!$A$1:$I$89,5,0)</f>
        <v>-2.5006556825246659E-13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376.5422416541544</v>
      </c>
      <c r="AO92" s="62">
        <f t="shared" si="90"/>
        <v>365.76175372075869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2.3950620502695981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2.3950620502695981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405.13433810198853</v>
      </c>
      <c r="BJ92" s="62">
        <f t="shared" si="92"/>
        <v>534.74398214162079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2.5673041169753543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5.0641756101230654E-8</v>
      </c>
      <c r="BS92" s="24">
        <f t="shared" si="63"/>
        <v>2.5673041676171104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6.4</v>
      </c>
      <c r="BY92" s="13">
        <f>IF('Données projet'!$A$114&gt;35,BY91+BX92-CG91,IF(A92&lt;'Données projet'!$A$114,$BV$205^A92,IF(A92='Données projet'!$A$114,'Données projet'!$B$114,BY91+BX92-CG91)))</f>
        <v>323.59999999999997</v>
      </c>
      <c r="BZ92" s="14">
        <f>BY92*VLOOKUP('Données projet'!$B$12,Paramètres!$A$1:$I$89,3,0)*VLOOKUP('Données projet'!$B$12,Paramètres!$A$1:$I$89,5,0)</f>
        <v>272.60064</v>
      </c>
      <c r="CA92" s="14">
        <f t="shared" si="93"/>
        <v>65.400882437522853</v>
      </c>
      <c r="CB92" s="22">
        <f t="shared" si="64"/>
        <v>588.68598491201885</v>
      </c>
      <c r="CC92" s="62">
        <f t="shared" si="65"/>
        <v>882.01931824535222</v>
      </c>
      <c r="CD92" s="62">
        <f ca="1">AVERAGE(OFFSET($CC$3,0,0,'Données projet'!$E$12+1,1))-AVERAGE(OFFSET($H$3,0,0,'Données projet'!$E$12+1,1))</f>
        <v>411.60020200960821</v>
      </c>
      <c r="CE92" s="62">
        <f t="shared" si="94"/>
        <v>261.95434270986397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4.8</v>
      </c>
      <c r="CT92" s="13">
        <f>IF('Données projet'!$A$140&gt;35,CT91+CS92-DB91,IF(A92&lt;'Données projet'!$A$140,$CQ$205^A92,IF(A92='Données projet'!$A$140,'Données projet'!$B$140,CT91+CS92-DB91)))</f>
        <v>271.20000000000016</v>
      </c>
      <c r="CU92" s="18">
        <f>CT92*VLOOKUP('Données projet'!$B$13,Paramètres!$A$1:$I$89,3,0)*VLOOKUP('Données projet'!$B$13,Paramètres!$A$1:$I$89,5,0)</f>
        <v>219.99744000000015</v>
      </c>
      <c r="CV92" s="14">
        <f t="shared" si="95"/>
        <v>54.114329316867646</v>
      </c>
      <c r="CW92" s="22">
        <f t="shared" si="67"/>
        <v>477.41133156021147</v>
      </c>
      <c r="CX92" s="62">
        <f t="shared" si="68"/>
        <v>770.74466489354472</v>
      </c>
      <c r="CY92" s="62">
        <f ca="1">AVERAGE(OFFSET($CX$3,0,0,'Données projet'!$E$13+1,1))-AVERAGE(OFFSET($H$3,0,0,'Données projet'!$E$13+1,1))</f>
        <v>293.51866463276224</v>
      </c>
      <c r="CZ92" s="62">
        <f t="shared" si="96"/>
        <v>232.78663842203713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171</v>
      </c>
      <c r="L93" s="13">
        <f>VLOOKUP(A93,'Données projet'!$A$35:$I$55,9,0)</f>
        <v>1.6</v>
      </c>
      <c r="M93" s="13">
        <f t="array" ref="M93">INDEX(L:L,MIN(IF(ISNUMBER(L93:L289),ROW(L93:L289),"")))</f>
        <v>1.6</v>
      </c>
      <c r="N93" s="14">
        <f>IF('Données projet'!$A$36&gt;35,N92+M93-V92,IF(A93&lt;'Données projet'!$A$36,$K$205^A93,IF(A93='Données projet'!$A$36,'Données projet'!$B$36,N92+M93-V92)))</f>
        <v>171.00000000000017</v>
      </c>
      <c r="O93" s="14">
        <f>N93*VLOOKUP('Données projet'!$B$9,Paramètres!$A$1:$I$89,3,0)*VLOOKUP('Données projet'!$B$9,Paramètres!$A$1:$I$89,5,0)</f>
        <v>149.38560000000018</v>
      </c>
      <c r="P93" s="14">
        <f t="shared" si="87"/>
        <v>38.438927680599626</v>
      </c>
      <c r="Q93" s="22">
        <f t="shared" si="54"/>
        <v>327.12771904371129</v>
      </c>
      <c r="R93" s="62">
        <f t="shared" si="55"/>
        <v>620.46105237704455</v>
      </c>
      <c r="S93" s="62">
        <f ca="1">AVERAGE(OFFSET($R$3,0,0,'Données projet'!$E$9+1,1))-AVERAGE(OFFSET($H$3,0,0,'Données projet'!$E$9+1,1))</f>
        <v>239.16843440041487</v>
      </c>
      <c r="T93" s="62">
        <f t="shared" si="88"/>
        <v>241.82319822554194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171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0.89984568008754684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0.89984568008754684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-3.4106051316484809E-13</v>
      </c>
      <c r="AJ93" s="14">
        <f>AI93*VLOOKUP('Données projet'!$B$10,Paramètres!$A$1:$I$89,3,0)*VLOOKUP('Données projet'!$B$10,Paramètres!$A$1:$I$89,5,0)</f>
        <v>-2.5006556825246659E-13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376.5422416541544</v>
      </c>
      <c r="AO93" s="62">
        <f t="shared" si="90"/>
        <v>365.76175372075869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2.3480963443074154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2.3480963443074154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405.13433810198853</v>
      </c>
      <c r="BJ93" s="62">
        <f t="shared" si="92"/>
        <v>534.74398214162079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2.5169608491423592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3.5809129150375411E-8</v>
      </c>
      <c r="BS93" s="24">
        <f t="shared" si="63"/>
        <v>2.5169608849514882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330</v>
      </c>
      <c r="BW93" s="13">
        <f>VLOOKUP(A93,'Données projet'!$A$113:$I$133,9,0)</f>
        <v>6.4</v>
      </c>
      <c r="BX93" s="13">
        <f t="array" ref="BX93">INDEX(BW:BW,MIN(IF(ISNUMBER(BW93:BW289),ROW(BW93:BW289),"")))</f>
        <v>6.4</v>
      </c>
      <c r="BY93" s="13">
        <f>IF('Données projet'!$A$114&gt;35,BY92+BX93-CG92,IF(A93&lt;'Données projet'!$A$114,$BV$205^A93,IF(A93='Données projet'!$A$114,'Données projet'!$B$114,BY92+BX93-CG92)))</f>
        <v>329.99999999999994</v>
      </c>
      <c r="BZ93" s="14">
        <f>BY93*VLOOKUP('Données projet'!$B$12,Paramètres!$A$1:$I$89,3,0)*VLOOKUP('Données projet'!$B$12,Paramètres!$A$1:$I$89,5,0)</f>
        <v>277.99200000000002</v>
      </c>
      <c r="CA93" s="14">
        <f t="shared" si="93"/>
        <v>66.542483170264177</v>
      </c>
      <c r="CB93" s="22">
        <f t="shared" si="64"/>
        <v>600.06422485487678</v>
      </c>
      <c r="CC93" s="62">
        <f t="shared" si="65"/>
        <v>893.39755818821004</v>
      </c>
      <c r="CD93" s="62">
        <f ca="1">AVERAGE(OFFSET($CC$3,0,0,'Données projet'!$E$12+1,1))-AVERAGE(OFFSET($H$3,0,0,'Données projet'!$E$12+1,1))</f>
        <v>411.60020200960821</v>
      </c>
      <c r="CE93" s="62">
        <f t="shared" si="94"/>
        <v>261.95434270986397</v>
      </c>
      <c r="CF93" s="16">
        <f>IF(ISNA(VLOOKUP(A93,'Données projet'!$A$113:$I$133,3,0)),0,VLOOKUP(A93,'Données projet'!$A$113:$I$133,3,0))</f>
        <v>15</v>
      </c>
      <c r="CG93" s="16">
        <f>IF(ISNA(VLOOKUP(A93,'Données projet'!$A$113:$I$133,4,0)),0,VLOOKUP(A93,'Données projet'!$A$113:$I$133,4,0))</f>
        <v>28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276</v>
      </c>
      <c r="CR93" s="13">
        <f>VLOOKUP(A93,'Données projet'!$A$139:$I$159,9,0)</f>
        <v>4.8</v>
      </c>
      <c r="CS93" s="13">
        <f t="array" ref="CS93">INDEX(CR:CR,MIN(IF(ISNUMBER(CR93:CR289),ROW(CR93:CR289),"")))</f>
        <v>4.8</v>
      </c>
      <c r="CT93" s="13">
        <f>IF('Données projet'!$A$140&gt;35,CT92+CS93-DB92,IF(A93&lt;'Données projet'!$A$140,$CQ$205^A93,IF(A93='Données projet'!$A$140,'Données projet'!$B$140,CT92+CS93-DB92)))</f>
        <v>276.00000000000017</v>
      </c>
      <c r="CU93" s="18">
        <f>CT93*VLOOKUP('Données projet'!$B$13,Paramètres!$A$1:$I$89,3,0)*VLOOKUP('Données projet'!$B$13,Paramètres!$A$1:$I$89,5,0)</f>
        <v>223.89120000000017</v>
      </c>
      <c r="CV93" s="14">
        <f t="shared" si="95"/>
        <v>54.95975389514868</v>
      </c>
      <c r="CW93" s="22">
        <f t="shared" si="67"/>
        <v>485.66541136738419</v>
      </c>
      <c r="CX93" s="62">
        <f t="shared" si="68"/>
        <v>778.99874470071745</v>
      </c>
      <c r="CY93" s="62">
        <f ca="1">AVERAGE(OFFSET($CX$3,0,0,'Données projet'!$E$13+1,1))-AVERAGE(OFFSET($H$3,0,0,'Données projet'!$E$13+1,1))</f>
        <v>293.51866463276224</v>
      </c>
      <c r="CZ93" s="62">
        <f t="shared" si="96"/>
        <v>232.78663842203713</v>
      </c>
      <c r="DA93" s="16">
        <f>IF(ISNA(VLOOKUP(A93,'Données projet'!$A$139:$I$159,3,0)),0,VLOOKUP(A93,'Données projet'!$A$139:$I$159,3,0))</f>
        <v>16</v>
      </c>
      <c r="DB93" s="16">
        <f>IF(ISNA(VLOOKUP(A93,'Données projet'!$A$139:$I$159,4,0)),0,VLOOKUP(A93,'Données projet'!$A$139:$I$159,4,0))</f>
        <v>15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1.7053025658242404E-13</v>
      </c>
      <c r="O94" s="14">
        <f>N94*VLOOKUP('Données projet'!$B$9,Paramètres!$A$1:$I$89,3,0)*VLOOKUP('Données projet'!$B$9,Paramètres!$A$1:$I$89,5,0)</f>
        <v>1.4897523215040567E-13</v>
      </c>
      <c r="P94" s="14">
        <f t="shared" si="87"/>
        <v>2.136562777003313E-12</v>
      </c>
      <c r="Q94" s="22">
        <f t="shared" si="54"/>
        <v>3.9806453659427267E-12</v>
      </c>
      <c r="R94" s="62">
        <f t="shared" si="55"/>
        <v>293.33333333333729</v>
      </c>
      <c r="S94" s="62">
        <f ca="1">AVERAGE(OFFSET($R$3,0,0,'Données projet'!$E$9+1,1))-AVERAGE(OFFSET($H$3,0,0,'Données projet'!$E$9+1,1))</f>
        <v>239.16843440041487</v>
      </c>
      <c r="T94" s="62">
        <f t="shared" si="88"/>
        <v>241.82319822554194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0.87523935264472519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0.87523935264472519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-3.4106051316484809E-13</v>
      </c>
      <c r="AJ94" s="14">
        <f>AI94*VLOOKUP('Données projet'!$B$10,Paramètres!$A$1:$I$89,3,0)*VLOOKUP('Données projet'!$B$10,Paramètres!$A$1:$I$89,5,0)</f>
        <v>-2.5006556825246659E-13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376.5422416541544</v>
      </c>
      <c r="AO94" s="62">
        <f t="shared" si="90"/>
        <v>365.76175372075869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2.3020516071928991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2.3020516071928991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405.13433810198853</v>
      </c>
      <c r="BJ94" s="62">
        <f t="shared" si="92"/>
        <v>534.74398214162079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2.4676047820852078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2.5320878050615327E-8</v>
      </c>
      <c r="BS94" s="24">
        <f t="shared" si="63"/>
        <v>2.4676048074060857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6</v>
      </c>
      <c r="BY94" s="13">
        <f>IF('Données projet'!$A$114&gt;35,BY93+BX94-CG93,IF(A94&lt;'Données projet'!$A$114,$BV$205^A94,IF(A94='Données projet'!$A$114,'Données projet'!$B$114,BY93+BX94-CG93)))</f>
        <v>307.99999999999994</v>
      </c>
      <c r="BZ94" s="14">
        <f>BY94*VLOOKUP('Données projet'!$B$12,Paramètres!$A$1:$I$89,3,0)*VLOOKUP('Données projet'!$B$12,Paramètres!$A$1:$I$89,5,0)</f>
        <v>259.45920000000001</v>
      </c>
      <c r="CA94" s="14">
        <f t="shared" si="93"/>
        <v>62.607087284635128</v>
      </c>
      <c r="CB94" s="22">
        <f t="shared" si="64"/>
        <v>560.93211702073938</v>
      </c>
      <c r="CC94" s="62">
        <f t="shared" si="65"/>
        <v>854.26545035407275</v>
      </c>
      <c r="CD94" s="62">
        <f ca="1">AVERAGE(OFFSET($CC$3,0,0,'Données projet'!$E$12+1,1))-AVERAGE(OFFSET($H$3,0,0,'Données projet'!$E$12+1,1))</f>
        <v>411.60020200960821</v>
      </c>
      <c r="CE94" s="62">
        <f t="shared" si="94"/>
        <v>261.95434270986397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261.00000000000017</v>
      </c>
      <c r="CU94" s="18">
        <f>CT94*VLOOKUP('Données projet'!$B$13,Paramètres!$A$1:$I$89,3,0)*VLOOKUP('Données projet'!$B$13,Paramètres!$A$1:$I$89,5,0)</f>
        <v>211.72320000000013</v>
      </c>
      <c r="CV94" s="14">
        <f t="shared" si="95"/>
        <v>52.311968964212078</v>
      </c>
      <c r="CW94" s="22">
        <f t="shared" si="67"/>
        <v>459.8612526126696</v>
      </c>
      <c r="CX94" s="62">
        <f t="shared" si="68"/>
        <v>753.19458594600292</v>
      </c>
      <c r="CY94" s="62">
        <f ca="1">AVERAGE(OFFSET($CX$3,0,0,'Données projet'!$E$13+1,1))-AVERAGE(OFFSET($H$3,0,0,'Données projet'!$E$13+1,1))</f>
        <v>293.51866463276224</v>
      </c>
      <c r="CZ94" s="62">
        <f t="shared" si="96"/>
        <v>232.78663842203713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1.7053025658242404E-13</v>
      </c>
      <c r="O95" s="14">
        <f>N95*VLOOKUP('Données projet'!$B$9,Paramètres!$A$1:$I$89,3,0)*VLOOKUP('Données projet'!$B$9,Paramètres!$A$1:$I$89,5,0)</f>
        <v>1.4897523215040567E-13</v>
      </c>
      <c r="P95" s="14">
        <f t="shared" si="87"/>
        <v>2.136562777003313E-12</v>
      </c>
      <c r="Q95" s="22">
        <f t="shared" si="54"/>
        <v>3.9806453659427267E-12</v>
      </c>
      <c r="R95" s="62">
        <f t="shared" si="55"/>
        <v>293.33333333333729</v>
      </c>
      <c r="S95" s="62">
        <f ca="1">AVERAGE(OFFSET($R$3,0,0,'Données projet'!$E$9+1,1))-AVERAGE(OFFSET($H$3,0,0,'Données projet'!$E$9+1,1))</f>
        <v>239.16843440041487</v>
      </c>
      <c r="T95" s="62">
        <f t="shared" si="88"/>
        <v>241.82319822554194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0.85130588651981798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0.85130588651981798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-3.4106051316484809E-13</v>
      </c>
      <c r="AJ95" s="14">
        <f>AI95*VLOOKUP('Données projet'!$B$10,Paramètres!$A$1:$I$89,3,0)*VLOOKUP('Données projet'!$B$10,Paramètres!$A$1:$I$89,5,0)</f>
        <v>-2.5006556825246659E-13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376.5422416541544</v>
      </c>
      <c r="AO95" s="62">
        <f t="shared" si="90"/>
        <v>365.76175372075869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2.2569097792886823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2.2569097792886823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405.13433810198853</v>
      </c>
      <c r="BJ95" s="62">
        <f t="shared" si="92"/>
        <v>534.74398214162079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2.4192165573988187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1.7904564575187706E-8</v>
      </c>
      <c r="BS95" s="24">
        <f t="shared" si="63"/>
        <v>2.4192165753033832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6</v>
      </c>
      <c r="BY95" s="13">
        <f>IF('Données projet'!$A$114&gt;35,BY94+BX95-CG94,IF(A95&lt;'Données projet'!$A$114,$BV$205^A95,IF(A95='Données projet'!$A$114,'Données projet'!$B$114,BY94+BX95-CG94)))</f>
        <v>313.99999999999994</v>
      </c>
      <c r="BZ95" s="14">
        <f>BY95*VLOOKUP('Données projet'!$B$12,Paramètres!$A$1:$I$89,3,0)*VLOOKUP('Données projet'!$B$12,Paramètres!$A$1:$I$89,5,0)</f>
        <v>264.51359999999994</v>
      </c>
      <c r="CA95" s="14">
        <f t="shared" si="93"/>
        <v>63.683529223278974</v>
      </c>
      <c r="CB95" s="22">
        <f t="shared" si="64"/>
        <v>571.61000006387746</v>
      </c>
      <c r="CC95" s="62">
        <f t="shared" si="65"/>
        <v>864.94333339721084</v>
      </c>
      <c r="CD95" s="62">
        <f ca="1">AVERAGE(OFFSET($CC$3,0,0,'Données projet'!$E$12+1,1))-AVERAGE(OFFSET($H$3,0,0,'Données projet'!$E$12+1,1))</f>
        <v>411.60020200960821</v>
      </c>
      <c r="CE95" s="62">
        <f t="shared" si="94"/>
        <v>261.95434270986397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261.00000000000017</v>
      </c>
      <c r="CU95" s="18">
        <f>CT95*VLOOKUP('Données projet'!$B$13,Paramètres!$A$1:$I$89,3,0)*VLOOKUP('Données projet'!$B$13,Paramètres!$A$1:$I$89,5,0)</f>
        <v>211.72320000000013</v>
      </c>
      <c r="CV95" s="14">
        <f t="shared" si="95"/>
        <v>52.311968964212078</v>
      </c>
      <c r="CW95" s="22">
        <f t="shared" si="67"/>
        <v>459.8612526126696</v>
      </c>
      <c r="CX95" s="62">
        <f t="shared" si="68"/>
        <v>753.19458594600292</v>
      </c>
      <c r="CY95" s="62">
        <f ca="1">AVERAGE(OFFSET($CX$3,0,0,'Données projet'!$E$13+1,1))-AVERAGE(OFFSET($H$3,0,0,'Données projet'!$E$13+1,1))</f>
        <v>293.51866463276224</v>
      </c>
      <c r="CZ95" s="62">
        <f t="shared" si="96"/>
        <v>232.78663842203713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1.7053025658242404E-13</v>
      </c>
      <c r="O96" s="14">
        <f>N96*VLOOKUP('Données projet'!$B$9,Paramètres!$A$1:$I$89,3,0)*VLOOKUP('Données projet'!$B$9,Paramètres!$A$1:$I$89,5,0)</f>
        <v>1.4897523215040567E-13</v>
      </c>
      <c r="P96" s="14">
        <f t="shared" si="87"/>
        <v>2.136562777003313E-12</v>
      </c>
      <c r="Q96" s="22">
        <f t="shared" si="54"/>
        <v>3.9806453659427267E-12</v>
      </c>
      <c r="R96" s="62">
        <f t="shared" si="55"/>
        <v>293.33333333333729</v>
      </c>
      <c r="S96" s="62">
        <f ca="1">AVERAGE(OFFSET($R$3,0,0,'Données projet'!$E$9+1,1))-AVERAGE(OFFSET($H$3,0,0,'Données projet'!$E$9+1,1))</f>
        <v>239.16843440041487</v>
      </c>
      <c r="T96" s="62">
        <f t="shared" si="88"/>
        <v>241.82319822554194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0.82802688228470267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0.82802688228470267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-3.4106051316484809E-13</v>
      </c>
      <c r="AJ96" s="14">
        <f>AI96*VLOOKUP('Données projet'!$B$10,Paramètres!$A$1:$I$89,3,0)*VLOOKUP('Données projet'!$B$10,Paramètres!$A$1:$I$89,5,0)</f>
        <v>-2.5006556825246659E-13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376.5422416541544</v>
      </c>
      <c r="AO96" s="62">
        <f t="shared" si="90"/>
        <v>365.76175372075869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2.2126531550958708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2.2126531550958708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405.13433810198853</v>
      </c>
      <c r="BJ96" s="62">
        <f t="shared" si="92"/>
        <v>534.74398214162079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2.371777196284627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1.2660439025307663E-8</v>
      </c>
      <c r="BS96" s="24">
        <f t="shared" si="63"/>
        <v>2.3717772089450659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6</v>
      </c>
      <c r="BY96" s="13">
        <f>IF('Données projet'!$A$114&gt;35,BY95+BX96-CG95,IF(A96&lt;'Données projet'!$A$114,$BV$205^A96,IF(A96='Données projet'!$A$114,'Données projet'!$B$114,BY95+BX96-CG95)))</f>
        <v>319.99999999999994</v>
      </c>
      <c r="BZ96" s="14">
        <f>BY96*VLOOKUP('Données projet'!$B$12,Paramètres!$A$1:$I$89,3,0)*VLOOKUP('Données projet'!$B$12,Paramètres!$A$1:$I$89,5,0)</f>
        <v>269.56799999999998</v>
      </c>
      <c r="CA96" s="14">
        <f t="shared" si="93"/>
        <v>64.757579442439862</v>
      </c>
      <c r="CB96" s="22">
        <f t="shared" si="64"/>
        <v>582.2837175289161</v>
      </c>
      <c r="CC96" s="62">
        <f t="shared" si="65"/>
        <v>875.61705086224947</v>
      </c>
      <c r="CD96" s="62">
        <f ca="1">AVERAGE(OFFSET($CC$3,0,0,'Données projet'!$E$12+1,1))-AVERAGE(OFFSET($H$3,0,0,'Données projet'!$E$12+1,1))</f>
        <v>411.60020200960821</v>
      </c>
      <c r="CE96" s="62">
        <f t="shared" si="94"/>
        <v>261.95434270986397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261.00000000000017</v>
      </c>
      <c r="CU96" s="18">
        <f>CT96*VLOOKUP('Données projet'!$B$13,Paramètres!$A$1:$I$89,3,0)*VLOOKUP('Données projet'!$B$13,Paramètres!$A$1:$I$89,5,0)</f>
        <v>211.72320000000013</v>
      </c>
      <c r="CV96" s="14">
        <f t="shared" si="95"/>
        <v>52.311968964212078</v>
      </c>
      <c r="CW96" s="22">
        <f t="shared" si="67"/>
        <v>459.8612526126696</v>
      </c>
      <c r="CX96" s="62">
        <f t="shared" si="68"/>
        <v>753.19458594600292</v>
      </c>
      <c r="CY96" s="62">
        <f ca="1">AVERAGE(OFFSET($CX$3,0,0,'Données projet'!$E$13+1,1))-AVERAGE(OFFSET($H$3,0,0,'Données projet'!$E$13+1,1))</f>
        <v>293.51866463276224</v>
      </c>
      <c r="CZ96" s="62">
        <f t="shared" si="96"/>
        <v>232.78663842203713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1.7053025658242404E-13</v>
      </c>
      <c r="O97" s="14">
        <f>N97*VLOOKUP('Données projet'!$B$9,Paramètres!$A$1:$I$89,3,0)*VLOOKUP('Données projet'!$B$9,Paramètres!$A$1:$I$89,5,0)</f>
        <v>1.4897523215040567E-13</v>
      </c>
      <c r="P97" s="14">
        <f t="shared" si="87"/>
        <v>2.136562777003313E-12</v>
      </c>
      <c r="Q97" s="22">
        <f t="shared" si="54"/>
        <v>3.9806453659427267E-12</v>
      </c>
      <c r="R97" s="62">
        <f t="shared" si="55"/>
        <v>293.33333333333729</v>
      </c>
      <c r="S97" s="62">
        <f ca="1">AVERAGE(OFFSET($R$3,0,0,'Données projet'!$E$9+1,1))-AVERAGE(OFFSET($H$3,0,0,'Données projet'!$E$9+1,1))</f>
        <v>239.16843440041487</v>
      </c>
      <c r="T97" s="62">
        <f t="shared" si="88"/>
        <v>241.82319822554194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0.80538444364458617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0.80538444364458617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-3.4106051316484809E-13</v>
      </c>
      <c r="AJ97" s="14">
        <f>AI97*VLOOKUP('Données projet'!$B$10,Paramètres!$A$1:$I$89,3,0)*VLOOKUP('Données projet'!$B$10,Paramètres!$A$1:$I$89,5,0)</f>
        <v>-2.5006556825246659E-13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376.5422416541544</v>
      </c>
      <c r="AO97" s="62">
        <f t="shared" si="90"/>
        <v>365.76175372075869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2.1692643763096049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2.1692643763096049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405.13433810198853</v>
      </c>
      <c r="BJ97" s="62">
        <f t="shared" si="92"/>
        <v>534.74398214162079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2.3252680921067315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8.9522822875938529E-9</v>
      </c>
      <c r="BS97" s="24">
        <f t="shared" si="63"/>
        <v>2.3252681010590139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6</v>
      </c>
      <c r="BY97" s="13">
        <f>IF('Données projet'!$A$114&gt;35,BY96+BX97-CG96,IF(A97&lt;'Données projet'!$A$114,$BV$205^A97,IF(A97='Données projet'!$A$114,'Données projet'!$B$114,BY96+BX97-CG96)))</f>
        <v>325.99999999999994</v>
      </c>
      <c r="BZ97" s="14">
        <f>BY97*VLOOKUP('Données projet'!$B$12,Paramètres!$A$1:$I$89,3,0)*VLOOKUP('Données projet'!$B$12,Paramètres!$A$1:$I$89,5,0)</f>
        <v>274.62239999999997</v>
      </c>
      <c r="CA97" s="14">
        <f t="shared" si="93"/>
        <v>65.829287958103762</v>
      </c>
      <c r="CB97" s="22">
        <f t="shared" si="64"/>
        <v>592.95335652703068</v>
      </c>
      <c r="CC97" s="62">
        <f t="shared" si="65"/>
        <v>886.28668986036405</v>
      </c>
      <c r="CD97" s="62">
        <f ca="1">AVERAGE(OFFSET($CC$3,0,0,'Données projet'!$E$12+1,1))-AVERAGE(OFFSET($H$3,0,0,'Données projet'!$E$12+1,1))</f>
        <v>411.60020200960821</v>
      </c>
      <c r="CE97" s="62">
        <f t="shared" si="94"/>
        <v>261.95434270986397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261.00000000000017</v>
      </c>
      <c r="CU97" s="18">
        <f>CT97*VLOOKUP('Données projet'!$B$13,Paramètres!$A$1:$I$89,3,0)*VLOOKUP('Données projet'!$B$13,Paramètres!$A$1:$I$89,5,0)</f>
        <v>211.72320000000013</v>
      </c>
      <c r="CV97" s="14">
        <f t="shared" si="95"/>
        <v>52.311968964212078</v>
      </c>
      <c r="CW97" s="22">
        <f t="shared" si="67"/>
        <v>459.8612526126696</v>
      </c>
      <c r="CX97" s="62">
        <f t="shared" si="68"/>
        <v>753.19458594600292</v>
      </c>
      <c r="CY97" s="62">
        <f ca="1">AVERAGE(OFFSET($CX$3,0,0,'Données projet'!$E$13+1,1))-AVERAGE(OFFSET($H$3,0,0,'Données projet'!$E$13+1,1))</f>
        <v>293.51866463276224</v>
      </c>
      <c r="CZ97" s="62">
        <f t="shared" si="96"/>
        <v>232.78663842203713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1.7053025658242404E-13</v>
      </c>
      <c r="O98" s="14">
        <f>N98*VLOOKUP('Données projet'!$B$9,Paramètres!$A$1:$I$89,3,0)*VLOOKUP('Données projet'!$B$9,Paramètres!$A$1:$I$89,5,0)</f>
        <v>1.4897523215040567E-13</v>
      </c>
      <c r="P98" s="14">
        <f t="shared" si="87"/>
        <v>2.136562777003313E-12</v>
      </c>
      <c r="Q98" s="22">
        <f t="shared" si="54"/>
        <v>3.9806453659427267E-12</v>
      </c>
      <c r="R98" s="62">
        <f t="shared" si="55"/>
        <v>293.33333333333729</v>
      </c>
      <c r="S98" s="62">
        <f ca="1">AVERAGE(OFFSET($R$3,0,0,'Données projet'!$E$9+1,1))-AVERAGE(OFFSET($H$3,0,0,'Données projet'!$E$9+1,1))</f>
        <v>239.16843440041487</v>
      </c>
      <c r="T98" s="62">
        <f t="shared" si="88"/>
        <v>241.82319822554194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0.7833611636797978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0.7833611636797978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-3.4106051316484809E-13</v>
      </c>
      <c r="AJ98" s="14">
        <f>AI98*VLOOKUP('Données projet'!$B$10,Paramètres!$A$1:$I$89,3,0)*VLOOKUP('Données projet'!$B$10,Paramètres!$A$1:$I$89,5,0)</f>
        <v>-2.5006556825246659E-13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376.5422416541544</v>
      </c>
      <c r="AO98" s="62">
        <f t="shared" si="90"/>
        <v>365.76175372075869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2.1267264250107956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2.1267264250107956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405.13433810198853</v>
      </c>
      <c r="BJ98" s="62">
        <f t="shared" si="92"/>
        <v>534.74398214162079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2.2796710030940117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6.3302195126538317E-9</v>
      </c>
      <c r="BS98" s="24">
        <f t="shared" si="63"/>
        <v>2.2796710094242312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332</v>
      </c>
      <c r="BW98" s="13">
        <f>VLOOKUP(A98,'Données projet'!$A$113:$I$133,9,0)</f>
        <v>6</v>
      </c>
      <c r="BX98" s="13">
        <f t="array" ref="BX98">INDEX(BW:BW,MIN(IF(ISNUMBER(BW98:BW294),ROW(BW98:BW294),"")))</f>
        <v>6</v>
      </c>
      <c r="BY98" s="13">
        <f>IF('Données projet'!$A$114&gt;35,BY97+BX98-CG97,IF(A98&lt;'Données projet'!$A$114,$BV$205^A98,IF(A98='Données projet'!$A$114,'Données projet'!$B$114,BY97+BX98-CG97)))</f>
        <v>331.99999999999994</v>
      </c>
      <c r="BZ98" s="14">
        <f>BY98*VLOOKUP('Données projet'!$B$12,Paramètres!$A$1:$I$89,3,0)*VLOOKUP('Données projet'!$B$12,Paramètres!$A$1:$I$89,5,0)</f>
        <v>279.67679999999996</v>
      </c>
      <c r="CA98" s="14">
        <f t="shared" si="93"/>
        <v>66.898702839783041</v>
      </c>
      <c r="CB98" s="22">
        <f t="shared" si="64"/>
        <v>603.61900077928863</v>
      </c>
      <c r="CC98" s="62">
        <f t="shared" si="65"/>
        <v>896.95233411262188</v>
      </c>
      <c r="CD98" s="62">
        <f ca="1">AVERAGE(OFFSET($CC$3,0,0,'Données projet'!$E$12+1,1))-AVERAGE(OFFSET($H$3,0,0,'Données projet'!$E$12+1,1))</f>
        <v>411.60020200960821</v>
      </c>
      <c r="CE98" s="62">
        <f t="shared" si="94"/>
        <v>261.95434270986397</v>
      </c>
      <c r="CF98" s="16">
        <f>IF(ISNA(VLOOKUP(A98,'Données projet'!$A$113:$I$133,3,0)),0,VLOOKUP(A98,'Données projet'!$A$113:$I$133,3,0))</f>
        <v>16</v>
      </c>
      <c r="CG98" s="16">
        <f>IF(ISNA(VLOOKUP(A98,'Données projet'!$A$113:$I$133,4,0)),0,VLOOKUP(A98,'Données projet'!$A$113:$I$133,4,0))</f>
        <v>28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261.00000000000017</v>
      </c>
      <c r="CU98" s="18">
        <f>CT98*VLOOKUP('Données projet'!$B$13,Paramètres!$A$1:$I$89,3,0)*VLOOKUP('Données projet'!$B$13,Paramètres!$A$1:$I$89,5,0)</f>
        <v>211.72320000000013</v>
      </c>
      <c r="CV98" s="14">
        <f t="shared" si="95"/>
        <v>52.311968964212078</v>
      </c>
      <c r="CW98" s="22">
        <f t="shared" si="67"/>
        <v>459.8612526126696</v>
      </c>
      <c r="CX98" s="62">
        <f t="shared" si="68"/>
        <v>753.19458594600292</v>
      </c>
      <c r="CY98" s="62">
        <f ca="1">AVERAGE(OFFSET($CX$3,0,0,'Données projet'!$E$13+1,1))-AVERAGE(OFFSET($H$3,0,0,'Données projet'!$E$13+1,1))</f>
        <v>293.51866463276224</v>
      </c>
      <c r="CZ98" s="62">
        <f t="shared" si="96"/>
        <v>232.78663842203713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1.7053025658242404E-13</v>
      </c>
      <c r="O99" s="14">
        <f>N99*VLOOKUP('Données projet'!$B$9,Paramètres!$A$1:$I$89,3,0)*VLOOKUP('Données projet'!$B$9,Paramètres!$A$1:$I$89,5,0)</f>
        <v>1.4897523215040567E-13</v>
      </c>
      <c r="P99" s="14">
        <f t="shared" si="87"/>
        <v>2.136562777003313E-12</v>
      </c>
      <c r="Q99" s="22">
        <f t="shared" ref="Q99:Q130" si="107">(O99+P99)*0.475*44/12</f>
        <v>3.9806453659427267E-12</v>
      </c>
      <c r="R99" s="62">
        <f t="shared" si="55"/>
        <v>293.33333333333729</v>
      </c>
      <c r="S99" s="62">
        <f ca="1">AVERAGE(OFFSET($R$3,0,0,'Données projet'!$E$9+1,1))-AVERAGE(OFFSET($H$3,0,0,'Données projet'!$E$9+1,1))</f>
        <v>239.16843440041487</v>
      </c>
      <c r="T99" s="62">
        <f t="shared" si="88"/>
        <v>241.82319822554194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0.76194011146380047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0.76194011146380047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-3.4106051316484809E-13</v>
      </c>
      <c r="AJ99" s="14">
        <f>AI99*VLOOKUP('Données projet'!$B$10,Paramètres!$A$1:$I$89,3,0)*VLOOKUP('Données projet'!$B$10,Paramètres!$A$1:$I$89,5,0)</f>
        <v>-2.5006556825246659E-13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376.5422416541544</v>
      </c>
      <c r="AO99" s="62">
        <f t="shared" si="90"/>
        <v>365.76175372075869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2.0850226169913677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2.0850226169913677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405.13433810198853</v>
      </c>
      <c r="BJ99" s="62">
        <f t="shared" si="92"/>
        <v>534.74398214162079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2.2349680451853535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4.4761411437969264E-9</v>
      </c>
      <c r="BS99" s="24">
        <f t="shared" si="63"/>
        <v>2.2349680496614948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5.8</v>
      </c>
      <c r="BY99" s="13">
        <f>IF('Données projet'!$A$114&gt;35,BY98+BX99-CG98,IF(A99&lt;'Données projet'!$A$114,$BV$205^A99,IF(A99='Données projet'!$A$114,'Données projet'!$B$114,BY98+BX99-CG98)))</f>
        <v>309.79999999999995</v>
      </c>
      <c r="BZ99" s="14">
        <f>BY99*VLOOKUP('Données projet'!$B$12,Paramètres!$A$1:$I$89,3,0)*VLOOKUP('Données projet'!$B$12,Paramètres!$A$1:$I$89,5,0)</f>
        <v>260.97551999999996</v>
      </c>
      <c r="CA99" s="14">
        <f t="shared" si="93"/>
        <v>62.930274054356879</v>
      </c>
      <c r="CB99" s="22">
        <f t="shared" si="64"/>
        <v>564.13592464467149</v>
      </c>
      <c r="CC99" s="62">
        <f t="shared" si="65"/>
        <v>857.46925797800486</v>
      </c>
      <c r="CD99" s="62">
        <f ca="1">AVERAGE(OFFSET($CC$3,0,0,'Données projet'!$E$12+1,1))-AVERAGE(OFFSET($H$3,0,0,'Données projet'!$E$12+1,1))</f>
        <v>411.60020200960821</v>
      </c>
      <c r="CE99" s="62">
        <f t="shared" si="94"/>
        <v>261.95434270986397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261.00000000000017</v>
      </c>
      <c r="CU99" s="18">
        <f>CT99*VLOOKUP('Données projet'!$B$13,Paramètres!$A$1:$I$89,3,0)*VLOOKUP('Données projet'!$B$13,Paramètres!$A$1:$I$89,5,0)</f>
        <v>211.72320000000013</v>
      </c>
      <c r="CV99" s="14">
        <f t="shared" si="95"/>
        <v>52.311968964212078</v>
      </c>
      <c r="CW99" s="22">
        <f t="shared" si="67"/>
        <v>459.8612526126696</v>
      </c>
      <c r="CX99" s="62">
        <f t="shared" si="68"/>
        <v>753.19458594600292</v>
      </c>
      <c r="CY99" s="62">
        <f ca="1">AVERAGE(OFFSET($CX$3,0,0,'Données projet'!$E$13+1,1))-AVERAGE(OFFSET($H$3,0,0,'Données projet'!$E$13+1,1))</f>
        <v>293.51866463276224</v>
      </c>
      <c r="CZ99" s="62">
        <f t="shared" si="96"/>
        <v>232.78663842203713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1.7053025658242404E-13</v>
      </c>
      <c r="O100" s="14">
        <f>N100*VLOOKUP('Données projet'!$B$9,Paramètres!$A$1:$I$89,3,0)*VLOOKUP('Données projet'!$B$9,Paramètres!$A$1:$I$89,5,0)</f>
        <v>1.4897523215040567E-13</v>
      </c>
      <c r="P100" s="14">
        <f t="shared" si="87"/>
        <v>2.136562777003313E-12</v>
      </c>
      <c r="Q100" s="22">
        <f t="shared" si="107"/>
        <v>3.9806453659427267E-12</v>
      </c>
      <c r="R100" s="62">
        <f t="shared" si="55"/>
        <v>293.33333333333729</v>
      </c>
      <c r="S100" s="62">
        <f ca="1">AVERAGE(OFFSET($R$3,0,0,'Données projet'!$E$9+1,1))-AVERAGE(OFFSET($H$3,0,0,'Données projet'!$E$9+1,1))</f>
        <v>239.16843440041487</v>
      </c>
      <c r="T100" s="62">
        <f t="shared" si="88"/>
        <v>241.82319822554194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0.74110481904713388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0.74110481904713388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-3.4106051316484809E-13</v>
      </c>
      <c r="AJ100" s="14">
        <f>AI100*VLOOKUP('Données projet'!$B$10,Paramètres!$A$1:$I$89,3,0)*VLOOKUP('Données projet'!$B$10,Paramètres!$A$1:$I$89,5,0)</f>
        <v>-2.5006556825246659E-13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376.5422416541544</v>
      </c>
      <c r="AO100" s="62">
        <f t="shared" si="90"/>
        <v>365.76175372075869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2.0441365952103898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2.0441365952103898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405.13433810198853</v>
      </c>
      <c r="BJ100" s="62">
        <f t="shared" si="92"/>
        <v>534.74398214162079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2.1911416850151717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3.1651097563269159E-9</v>
      </c>
      <c r="BS100" s="24">
        <f t="shared" si="63"/>
        <v>2.1911416881802817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5.8</v>
      </c>
      <c r="BY100" s="13">
        <f>IF('Données projet'!$A$114&gt;35,BY99+BX100-CG99,IF(A100&lt;'Données projet'!$A$114,$BV$205^A100,IF(A100='Données projet'!$A$114,'Données projet'!$B$114,BY99+BX100-CG99)))</f>
        <v>315.59999999999997</v>
      </c>
      <c r="BZ100" s="14">
        <f>BY100*VLOOKUP('Données projet'!$B$12,Paramètres!$A$1:$I$89,3,0)*VLOOKUP('Données projet'!$B$12,Paramètres!$A$1:$I$89,5,0)</f>
        <v>265.86144000000002</v>
      </c>
      <c r="CA100" s="14">
        <f t="shared" si="93"/>
        <v>63.970174371268861</v>
      </c>
      <c r="CB100" s="22">
        <f t="shared" si="64"/>
        <v>574.45672836329322</v>
      </c>
      <c r="CC100" s="62">
        <f t="shared" si="65"/>
        <v>867.79006169662648</v>
      </c>
      <c r="CD100" s="62">
        <f ca="1">AVERAGE(OFFSET($CC$3,0,0,'Données projet'!$E$12+1,1))-AVERAGE(OFFSET($H$3,0,0,'Données projet'!$E$12+1,1))</f>
        <v>411.60020200960821</v>
      </c>
      <c r="CE100" s="62">
        <f t="shared" si="94"/>
        <v>261.95434270986397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261.00000000000017</v>
      </c>
      <c r="CU100" s="18">
        <f>CT100*VLOOKUP('Données projet'!$B$13,Paramètres!$A$1:$I$89,3,0)*VLOOKUP('Données projet'!$B$13,Paramètres!$A$1:$I$89,5,0)</f>
        <v>211.72320000000013</v>
      </c>
      <c r="CV100" s="14">
        <f t="shared" si="95"/>
        <v>52.311968964212078</v>
      </c>
      <c r="CW100" s="22">
        <f t="shared" si="67"/>
        <v>459.8612526126696</v>
      </c>
      <c r="CX100" s="62">
        <f t="shared" si="68"/>
        <v>753.19458594600292</v>
      </c>
      <c r="CY100" s="62">
        <f ca="1">AVERAGE(OFFSET($CX$3,0,0,'Données projet'!$E$13+1,1))-AVERAGE(OFFSET($H$3,0,0,'Données projet'!$E$13+1,1))</f>
        <v>293.51866463276224</v>
      </c>
      <c r="CZ100" s="62">
        <f t="shared" si="96"/>
        <v>232.78663842203713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1.7053025658242404E-13</v>
      </c>
      <c r="O101" s="14">
        <f>N101*VLOOKUP('Données projet'!$B$9,Paramètres!$A$1:$I$89,3,0)*VLOOKUP('Données projet'!$B$9,Paramètres!$A$1:$I$89,5,0)</f>
        <v>1.4897523215040567E-13</v>
      </c>
      <c r="P101" s="14">
        <f t="shared" si="87"/>
        <v>2.136562777003313E-12</v>
      </c>
      <c r="Q101" s="22">
        <f t="shared" si="107"/>
        <v>3.9806453659427267E-12</v>
      </c>
      <c r="R101" s="62">
        <f t="shared" si="55"/>
        <v>293.33333333333729</v>
      </c>
      <c r="S101" s="62">
        <f ca="1">AVERAGE(OFFSET($R$3,0,0,'Données projet'!$E$9+1,1))-AVERAGE(OFFSET($H$3,0,0,'Données projet'!$E$9+1,1))</f>
        <v>239.16843440041487</v>
      </c>
      <c r="T101" s="62">
        <f t="shared" si="88"/>
        <v>241.82319822554194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0.72083926879728144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0.72083926879728144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-3.4106051316484809E-13</v>
      </c>
      <c r="AJ101" s="14">
        <f>AI101*VLOOKUP('Données projet'!$B$10,Paramètres!$A$1:$I$89,3,0)*VLOOKUP('Données projet'!$B$10,Paramètres!$A$1:$I$89,5,0)</f>
        <v>-2.5006556825246659E-13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376.5422416541544</v>
      </c>
      <c r="AO101" s="62">
        <f t="shared" si="90"/>
        <v>365.76175372075869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2.0040523233785259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2.0040523233785259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405.13433810198853</v>
      </c>
      <c r="BJ101" s="62">
        <f t="shared" si="92"/>
        <v>534.74398214162079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2.1481747330364871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2.2380705718984632E-9</v>
      </c>
      <c r="BS101" s="24">
        <f t="shared" si="63"/>
        <v>2.1481747352745577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5.8</v>
      </c>
      <c r="BY101" s="13">
        <f>IF('Données projet'!$A$114&gt;35,BY100+BX101-CG100,IF(A101&lt;'Données projet'!$A$114,$BV$205^A101,IF(A101='Données projet'!$A$114,'Données projet'!$B$114,BY100+BX101-CG100)))</f>
        <v>321.39999999999998</v>
      </c>
      <c r="BZ101" s="14">
        <f>BY101*VLOOKUP('Données projet'!$B$12,Paramètres!$A$1:$I$89,3,0)*VLOOKUP('Données projet'!$B$12,Paramètres!$A$1:$I$89,5,0)</f>
        <v>270.74736000000001</v>
      </c>
      <c r="CA101" s="14">
        <f t="shared" si="93"/>
        <v>65.007852416747113</v>
      </c>
      <c r="CB101" s="22">
        <f t="shared" si="64"/>
        <v>584.77366162583451</v>
      </c>
      <c r="CC101" s="62">
        <f t="shared" si="65"/>
        <v>878.10699495916788</v>
      </c>
      <c r="CD101" s="62">
        <f ca="1">AVERAGE(OFFSET($CC$3,0,0,'Données projet'!$E$12+1,1))-AVERAGE(OFFSET($H$3,0,0,'Données projet'!$E$12+1,1))</f>
        <v>411.60020200960821</v>
      </c>
      <c r="CE101" s="62">
        <f t="shared" si="94"/>
        <v>261.95434270986397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261.00000000000017</v>
      </c>
      <c r="CU101" s="18">
        <f>CT101*VLOOKUP('Données projet'!$B$13,Paramètres!$A$1:$I$89,3,0)*VLOOKUP('Données projet'!$B$13,Paramètres!$A$1:$I$89,5,0)</f>
        <v>211.72320000000013</v>
      </c>
      <c r="CV101" s="14">
        <f t="shared" si="95"/>
        <v>52.311968964212078</v>
      </c>
      <c r="CW101" s="22">
        <f t="shared" si="67"/>
        <v>459.8612526126696</v>
      </c>
      <c r="CX101" s="62">
        <f t="shared" si="68"/>
        <v>753.19458594600292</v>
      </c>
      <c r="CY101" s="62">
        <f ca="1">AVERAGE(OFFSET($CX$3,0,0,'Données projet'!$E$13+1,1))-AVERAGE(OFFSET($H$3,0,0,'Données projet'!$E$13+1,1))</f>
        <v>293.51866463276224</v>
      </c>
      <c r="CZ101" s="62">
        <f t="shared" si="96"/>
        <v>232.78663842203713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1.7053025658242404E-13</v>
      </c>
      <c r="O102" s="14">
        <f>N102*VLOOKUP('Données projet'!$B$9,Paramètres!$A$1:$I$89,3,0)*VLOOKUP('Données projet'!$B$9,Paramètres!$A$1:$I$89,5,0)</f>
        <v>1.4897523215040567E-13</v>
      </c>
      <c r="P102" s="14">
        <f t="shared" si="87"/>
        <v>2.136562777003313E-12</v>
      </c>
      <c r="Q102" s="22">
        <f t="shared" si="107"/>
        <v>3.9806453659427267E-12</v>
      </c>
      <c r="R102" s="62">
        <f t="shared" si="55"/>
        <v>293.33333333333729</v>
      </c>
      <c r="S102" s="62">
        <f ca="1">AVERAGE(OFFSET($R$3,0,0,'Données projet'!$E$9+1,1))-AVERAGE(OFFSET($H$3,0,0,'Données projet'!$E$9+1,1))</f>
        <v>239.16843440041487</v>
      </c>
      <c r="T102" s="62">
        <f t="shared" si="88"/>
        <v>241.82319822554194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0.70112788108473012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0.70112788108473012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-3.4106051316484809E-13</v>
      </c>
      <c r="AJ102" s="14">
        <f>AI102*VLOOKUP('Données projet'!$B$10,Paramètres!$A$1:$I$89,3,0)*VLOOKUP('Données projet'!$B$10,Paramètres!$A$1:$I$89,5,0)</f>
        <v>-2.5006556825246659E-13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376.5422416541544</v>
      </c>
      <c r="AO102" s="62">
        <f t="shared" si="90"/>
        <v>365.76175372075869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1.9647540796682932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1.9647540796682932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405.13433810198853</v>
      </c>
      <c r="BJ102" s="62">
        <f t="shared" si="92"/>
        <v>534.74398214162079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2.1060503367788517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1.5825548781634579E-9</v>
      </c>
      <c r="BS102" s="24">
        <f t="shared" si="63"/>
        <v>2.1060503383614066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5.8</v>
      </c>
      <c r="BY102" s="13">
        <f>IF('Données projet'!$A$114&gt;35,BY101+BX102-CG101,IF(A102&lt;'Données projet'!$A$114,$BV$205^A102,IF(A102='Données projet'!$A$114,'Données projet'!$B$114,BY101+BX102-CG101)))</f>
        <v>327.2</v>
      </c>
      <c r="BZ102" s="14">
        <f>BY102*VLOOKUP('Données projet'!$B$12,Paramètres!$A$1:$I$89,3,0)*VLOOKUP('Données projet'!$B$12,Paramètres!$A$1:$I$89,5,0)</f>
        <v>275.63328000000001</v>
      </c>
      <c r="CA102" s="14">
        <f t="shared" si="93"/>
        <v>66.043352919930101</v>
      </c>
      <c r="CB102" s="22">
        <f t="shared" si="64"/>
        <v>595.08680233554503</v>
      </c>
      <c r="CC102" s="62">
        <f t="shared" si="65"/>
        <v>888.4201356688784</v>
      </c>
      <c r="CD102" s="62">
        <f ca="1">AVERAGE(OFFSET($CC$3,0,0,'Données projet'!$E$12+1,1))-AVERAGE(OFFSET($H$3,0,0,'Données projet'!$E$12+1,1))</f>
        <v>411.60020200960821</v>
      </c>
      <c r="CE102" s="62">
        <f t="shared" si="94"/>
        <v>261.95434270986397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261.00000000000017</v>
      </c>
      <c r="CU102" s="18">
        <f>CT102*VLOOKUP('Données projet'!$B$13,Paramètres!$A$1:$I$89,3,0)*VLOOKUP('Données projet'!$B$13,Paramètres!$A$1:$I$89,5,0)</f>
        <v>211.72320000000013</v>
      </c>
      <c r="CV102" s="14">
        <f t="shared" si="95"/>
        <v>52.311968964212078</v>
      </c>
      <c r="CW102" s="22">
        <f t="shared" si="67"/>
        <v>459.8612526126696</v>
      </c>
      <c r="CX102" s="62">
        <f t="shared" si="68"/>
        <v>753.19458594600292</v>
      </c>
      <c r="CY102" s="62">
        <f ca="1">AVERAGE(OFFSET($CX$3,0,0,'Données projet'!$E$13+1,1))-AVERAGE(OFFSET($H$3,0,0,'Données projet'!$E$13+1,1))</f>
        <v>293.51866463276224</v>
      </c>
      <c r="CZ102" s="62">
        <f t="shared" si="96"/>
        <v>232.78663842203713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1.7053025658242404E-13</v>
      </c>
      <c r="O103" s="14">
        <f>N103*VLOOKUP('Données projet'!$B$9,Paramètres!$A$1:$I$89,3,0)*VLOOKUP('Données projet'!$B$9,Paramètres!$A$1:$I$89,5,0)</f>
        <v>1.4897523215040567E-13</v>
      </c>
      <c r="P103" s="14">
        <f t="shared" si="87"/>
        <v>2.136562777003313E-12</v>
      </c>
      <c r="Q103" s="22">
        <f t="shared" si="107"/>
        <v>3.9806453659427267E-12</v>
      </c>
      <c r="R103" s="62">
        <f t="shared" si="55"/>
        <v>293.33333333333729</v>
      </c>
      <c r="S103" s="62">
        <f ca="1">AVERAGE(OFFSET($R$3,0,0,'Données projet'!$E$9+1,1))-AVERAGE(OFFSET($H$3,0,0,'Données projet'!$E$9+1,1))</f>
        <v>239.16843440041487</v>
      </c>
      <c r="T103" s="62">
        <f t="shared" si="88"/>
        <v>241.82319822554194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0.68195550230575541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0.68195550230575541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-3.4106051316484809E-13</v>
      </c>
      <c r="AJ103" s="14">
        <f>AI103*VLOOKUP('Données projet'!$B$10,Paramètres!$A$1:$I$89,3,0)*VLOOKUP('Données projet'!$B$10,Paramètres!$A$1:$I$89,5,0)</f>
        <v>-2.5006556825246659E-13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376.5422416541544</v>
      </c>
      <c r="AO103" s="62">
        <f t="shared" si="90"/>
        <v>365.76175372075869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1.9262264505476563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1.9262264505476563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405.13433810198853</v>
      </c>
      <c r="BJ103" s="62">
        <f t="shared" si="92"/>
        <v>534.74398214162079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2.0647519742384839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1.1190352859492316E-9</v>
      </c>
      <c r="BS103" s="24">
        <f t="shared" si="63"/>
        <v>2.064751975357519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333</v>
      </c>
      <c r="BW103" s="13">
        <f>VLOOKUP(A103,'Données projet'!$A$113:$I$133,9,0)</f>
        <v>5.8</v>
      </c>
      <c r="BX103" s="13">
        <f t="array" ref="BX103">INDEX(BW:BW,MIN(IF(ISNUMBER(BW103:BW299),ROW(BW103:BW299),"")))</f>
        <v>5.8</v>
      </c>
      <c r="BY103" s="13">
        <f>IF('Données projet'!$A$114&gt;35,BY102+BX103-CG102,IF(A103&lt;'Données projet'!$A$114,$BV$205^A103,IF(A103='Données projet'!$A$114,'Données projet'!$B$114,BY102+BX103-CG102)))</f>
        <v>333</v>
      </c>
      <c r="BZ103" s="14">
        <f>BY103*VLOOKUP('Données projet'!$B$12,Paramètres!$A$1:$I$89,3,0)*VLOOKUP('Données projet'!$B$12,Paramètres!$A$1:$I$89,5,0)</f>
        <v>280.51920000000007</v>
      </c>
      <c r="CA103" s="14">
        <f t="shared" si="93"/>
        <v>67.07671893338123</v>
      </c>
      <c r="CB103" s="22">
        <f t="shared" si="64"/>
        <v>605.39622547563897</v>
      </c>
      <c r="CC103" s="62">
        <f t="shared" si="65"/>
        <v>898.72955880897234</v>
      </c>
      <c r="CD103" s="62">
        <f ca="1">AVERAGE(OFFSET($CC$3,0,0,'Données projet'!$E$12+1,1))-AVERAGE(OFFSET($H$3,0,0,'Données projet'!$E$12+1,1))</f>
        <v>411.60020200960821</v>
      </c>
      <c r="CE103" s="62">
        <f t="shared" si="94"/>
        <v>261.95434270986397</v>
      </c>
      <c r="CF103" s="16">
        <f>IF(ISNA(VLOOKUP(A103,'Données projet'!$A$113:$I$133,3,0)),0,VLOOKUP(A103,'Données projet'!$A$113:$I$133,3,0))</f>
        <v>17</v>
      </c>
      <c r="CG103" s="16">
        <f>IF(ISNA(VLOOKUP(A103,'Données projet'!$A$113:$I$133,4,0)),0,VLOOKUP(A103,'Données projet'!$A$113:$I$133,4,0))</f>
        <v>27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261.00000000000017</v>
      </c>
      <c r="CU103" s="18">
        <f>CT103*VLOOKUP('Données projet'!$B$13,Paramètres!$A$1:$I$89,3,0)*VLOOKUP('Données projet'!$B$13,Paramètres!$A$1:$I$89,5,0)</f>
        <v>211.72320000000013</v>
      </c>
      <c r="CV103" s="14">
        <f t="shared" si="95"/>
        <v>52.311968964212078</v>
      </c>
      <c r="CW103" s="22">
        <f t="shared" si="67"/>
        <v>459.8612526126696</v>
      </c>
      <c r="CX103" s="62">
        <f t="shared" si="68"/>
        <v>753.19458594600292</v>
      </c>
      <c r="CY103" s="62">
        <f ca="1">AVERAGE(OFFSET($CX$3,0,0,'Données projet'!$E$13+1,1))-AVERAGE(OFFSET($H$3,0,0,'Données projet'!$E$13+1,1))</f>
        <v>293.51866463276224</v>
      </c>
      <c r="CZ103" s="62">
        <f t="shared" si="96"/>
        <v>232.78663842203713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1.7053025658242404E-13</v>
      </c>
      <c r="O104" s="14">
        <f>N104*VLOOKUP('Données projet'!$B$9,Paramètres!$A$1:$I$89,3,0)*VLOOKUP('Données projet'!$B$9,Paramètres!$A$1:$I$89,5,0)</f>
        <v>1.4897523215040567E-13</v>
      </c>
      <c r="P104" s="14">
        <f t="shared" si="87"/>
        <v>2.136562777003313E-12</v>
      </c>
      <c r="Q104" s="22">
        <f t="shared" si="107"/>
        <v>3.9806453659427267E-12</v>
      </c>
      <c r="R104" s="62">
        <f t="shared" si="55"/>
        <v>293.33333333333729</v>
      </c>
      <c r="S104" s="62">
        <f ca="1">AVERAGE(OFFSET($R$3,0,0,'Données projet'!$E$9+1,1))-AVERAGE(OFFSET($H$3,0,0,'Données projet'!$E$9+1,1))</f>
        <v>239.16843440041487</v>
      </c>
      <c r="T104" s="62">
        <f t="shared" si="88"/>
        <v>241.82319822554194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0.66330739323272325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0.66330739323272325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-3.4106051316484809E-13</v>
      </c>
      <c r="AJ104" s="14">
        <f>AI104*VLOOKUP('Données projet'!$B$10,Paramètres!$A$1:$I$89,3,0)*VLOOKUP('Données projet'!$B$10,Paramètres!$A$1:$I$89,5,0)</f>
        <v>-2.5006556825246659E-13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376.5422416541544</v>
      </c>
      <c r="AO104" s="62">
        <f t="shared" si="90"/>
        <v>365.76175372075869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1.8884543247345416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1.8884543247345416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405.13433810198853</v>
      </c>
      <c r="BJ104" s="62">
        <f t="shared" si="92"/>
        <v>534.74398214162079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2.0242634473980186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7.9127743908172897E-10</v>
      </c>
      <c r="BS104" s="24">
        <f t="shared" si="63"/>
        <v>2.0242634481892958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5.4</v>
      </c>
      <c r="BY104" s="13">
        <f>IF('Données projet'!$A$114&gt;35,BY103+BX104-CG103,IF(A104&lt;'Données projet'!$A$114,$BV$205^A104,IF(A104='Données projet'!$A$114,'Données projet'!$B$114,BY103+BX104-CG103)))</f>
        <v>311.39999999999998</v>
      </c>
      <c r="BZ104" s="14">
        <f>BY104*VLOOKUP('Données projet'!$B$12,Paramètres!$A$1:$I$89,3,0)*VLOOKUP('Données projet'!$B$12,Paramètres!$A$1:$I$89,5,0)</f>
        <v>262.32336000000004</v>
      </c>
      <c r="CA104" s="14">
        <f t="shared" si="93"/>
        <v>63.217367706132244</v>
      </c>
      <c r="CB104" s="22">
        <f t="shared" si="64"/>
        <v>566.98343408818027</v>
      </c>
      <c r="CC104" s="62">
        <f t="shared" si="65"/>
        <v>860.31676742151353</v>
      </c>
      <c r="CD104" s="62">
        <f ca="1">AVERAGE(OFFSET($CC$3,0,0,'Données projet'!$E$12+1,1))-AVERAGE(OFFSET($H$3,0,0,'Données projet'!$E$12+1,1))</f>
        <v>411.60020200960821</v>
      </c>
      <c r="CE104" s="62">
        <f t="shared" si="94"/>
        <v>261.95434270986397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261.00000000000017</v>
      </c>
      <c r="CU104" s="18">
        <f>CT104*VLOOKUP('Données projet'!$B$13,Paramètres!$A$1:$I$89,3,0)*VLOOKUP('Données projet'!$B$13,Paramètres!$A$1:$I$89,5,0)</f>
        <v>211.72320000000013</v>
      </c>
      <c r="CV104" s="14">
        <f t="shared" si="95"/>
        <v>52.311968964212078</v>
      </c>
      <c r="CW104" s="22">
        <f t="shared" si="67"/>
        <v>459.8612526126696</v>
      </c>
      <c r="CX104" s="62">
        <f t="shared" si="68"/>
        <v>753.19458594600292</v>
      </c>
      <c r="CY104" s="62">
        <f ca="1">AVERAGE(OFFSET($CX$3,0,0,'Données projet'!$E$13+1,1))-AVERAGE(OFFSET($H$3,0,0,'Données projet'!$E$13+1,1))</f>
        <v>293.51866463276224</v>
      </c>
      <c r="CZ104" s="62">
        <f t="shared" si="96"/>
        <v>232.78663842203713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1.7053025658242404E-13</v>
      </c>
      <c r="O105" s="14">
        <f>N105*VLOOKUP('Données projet'!$B$9,Paramètres!$A$1:$I$89,3,0)*VLOOKUP('Données projet'!$B$9,Paramètres!$A$1:$I$89,5,0)</f>
        <v>1.4897523215040567E-13</v>
      </c>
      <c r="P105" s="14">
        <f t="shared" si="87"/>
        <v>2.136562777003313E-12</v>
      </c>
      <c r="Q105" s="22">
        <f t="shared" si="107"/>
        <v>3.9806453659427267E-12</v>
      </c>
      <c r="R105" s="62">
        <f t="shared" si="55"/>
        <v>293.33333333333729</v>
      </c>
      <c r="S105" s="62">
        <f ca="1">AVERAGE(OFFSET($R$3,0,0,'Données projet'!$E$9+1,1))-AVERAGE(OFFSET($H$3,0,0,'Données projet'!$E$9+1,1))</f>
        <v>239.16843440041487</v>
      </c>
      <c r="T105" s="62">
        <f t="shared" si="88"/>
        <v>241.82319822554194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0.64516921768295465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0.64516921768295465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-3.4106051316484809E-13</v>
      </c>
      <c r="AJ105" s="14">
        <f>AI105*VLOOKUP('Données projet'!$B$10,Paramètres!$A$1:$I$89,3,0)*VLOOKUP('Données projet'!$B$10,Paramètres!$A$1:$I$89,5,0)</f>
        <v>-2.5006556825246659E-13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376.5422416541544</v>
      </c>
      <c r="AO105" s="62">
        <f t="shared" si="90"/>
        <v>365.76175372075869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1.8514228872699001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1.8514228872699001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405.13433810198853</v>
      </c>
      <c r="BJ105" s="62">
        <f t="shared" si="92"/>
        <v>534.74398214162079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1.984568875873332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5.595176429746158E-10</v>
      </c>
      <c r="BS105" s="24">
        <f t="shared" si="63"/>
        <v>1.9845688764328495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5.4</v>
      </c>
      <c r="BY105" s="13">
        <f>IF('Données projet'!$A$114&gt;35,BY104+BX105-CG104,IF(A105&lt;'Données projet'!$A$114,$BV$205^A105,IF(A105='Données projet'!$A$114,'Données projet'!$B$114,BY104+BX105-CG104)))</f>
        <v>316.79999999999995</v>
      </c>
      <c r="BZ105" s="14">
        <f>BY105*VLOOKUP('Données projet'!$B$12,Paramètres!$A$1:$I$89,3,0)*VLOOKUP('Données projet'!$B$12,Paramètres!$A$1:$I$89,5,0)</f>
        <v>266.87231999999995</v>
      </c>
      <c r="CA105" s="14">
        <f t="shared" si="93"/>
        <v>64.185047205393062</v>
      </c>
      <c r="CB105" s="22">
        <f t="shared" si="64"/>
        <v>576.59158121605947</v>
      </c>
      <c r="CC105" s="62">
        <f t="shared" si="65"/>
        <v>869.92491454939272</v>
      </c>
      <c r="CD105" s="62">
        <f ca="1">AVERAGE(OFFSET($CC$3,0,0,'Données projet'!$E$12+1,1))-AVERAGE(OFFSET($H$3,0,0,'Données projet'!$E$12+1,1))</f>
        <v>411.60020200960821</v>
      </c>
      <c r="CE105" s="62">
        <f t="shared" si="94"/>
        <v>261.95434270986397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261.00000000000017</v>
      </c>
      <c r="CU105" s="18">
        <f>CT105*VLOOKUP('Données projet'!$B$13,Paramètres!$A$1:$I$89,3,0)*VLOOKUP('Données projet'!$B$13,Paramètres!$A$1:$I$89,5,0)</f>
        <v>211.72320000000013</v>
      </c>
      <c r="CV105" s="14">
        <f t="shared" si="95"/>
        <v>52.311968964212078</v>
      </c>
      <c r="CW105" s="22">
        <f t="shared" si="67"/>
        <v>459.8612526126696</v>
      </c>
      <c r="CX105" s="62">
        <f t="shared" si="68"/>
        <v>753.19458594600292</v>
      </c>
      <c r="CY105" s="62">
        <f ca="1">AVERAGE(OFFSET($CX$3,0,0,'Données projet'!$E$13+1,1))-AVERAGE(OFFSET($H$3,0,0,'Données projet'!$E$13+1,1))</f>
        <v>293.51866463276224</v>
      </c>
      <c r="CZ105" s="62">
        <f t="shared" si="96"/>
        <v>232.78663842203713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1.7053025658242404E-13</v>
      </c>
      <c r="O106" s="14">
        <f>N106*VLOOKUP('Données projet'!$B$9,Paramètres!$A$1:$I$89,3,0)*VLOOKUP('Données projet'!$B$9,Paramètres!$A$1:$I$89,5,0)</f>
        <v>1.4897523215040567E-13</v>
      </c>
      <c r="P106" s="14">
        <f t="shared" si="87"/>
        <v>2.136562777003313E-12</v>
      </c>
      <c r="Q106" s="22">
        <f t="shared" si="107"/>
        <v>3.9806453659427267E-12</v>
      </c>
      <c r="R106" s="62">
        <f t="shared" si="55"/>
        <v>293.33333333333729</v>
      </c>
      <c r="S106" s="62">
        <f ca="1">AVERAGE(OFFSET($R$3,0,0,'Données projet'!$E$9+1,1))-AVERAGE(OFFSET($H$3,0,0,'Données projet'!$E$9+1,1))</f>
        <v>239.16843440041487</v>
      </c>
      <c r="T106" s="62">
        <f t="shared" si="88"/>
        <v>241.82319822554194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0.6275270314974396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0.6275270314974396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-3.4106051316484809E-13</v>
      </c>
      <c r="AJ106" s="14">
        <f>AI106*VLOOKUP('Données projet'!$B$10,Paramètres!$A$1:$I$89,3,0)*VLOOKUP('Données projet'!$B$10,Paramètres!$A$1:$I$89,5,0)</f>
        <v>-2.5006556825246659E-13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376.5422416541544</v>
      </c>
      <c r="AO106" s="62">
        <f t="shared" si="90"/>
        <v>365.76175372075869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1.8151176137069938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1.8151176137069938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405.13433810198853</v>
      </c>
      <c r="BJ106" s="62">
        <f t="shared" si="92"/>
        <v>534.74398214162079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1.9456526906849465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3.9563871954086448E-10</v>
      </c>
      <c r="BS106" s="24">
        <f t="shared" si="63"/>
        <v>1.9456526910805851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5.4</v>
      </c>
      <c r="BY106" s="13">
        <f>IF('Données projet'!$A$114&gt;35,BY105+BX106-CG105,IF(A106&lt;'Données projet'!$A$114,$BV$205^A106,IF(A106='Données projet'!$A$114,'Données projet'!$B$114,BY105+BX106-CG105)))</f>
        <v>322.19999999999993</v>
      </c>
      <c r="BZ106" s="14">
        <f>BY106*VLOOKUP('Données projet'!$B$12,Paramètres!$A$1:$I$89,3,0)*VLOOKUP('Données projet'!$B$12,Paramètres!$A$1:$I$89,5,0)</f>
        <v>271.42127999999997</v>
      </c>
      <c r="CA106" s="14">
        <f t="shared" si="93"/>
        <v>65.15080854578764</v>
      </c>
      <c r="CB106" s="22">
        <f t="shared" si="64"/>
        <v>586.19638755057997</v>
      </c>
      <c r="CC106" s="62">
        <f t="shared" si="65"/>
        <v>879.52972088391334</v>
      </c>
      <c r="CD106" s="62">
        <f ca="1">AVERAGE(OFFSET($CC$3,0,0,'Données projet'!$E$12+1,1))-AVERAGE(OFFSET($H$3,0,0,'Données projet'!$E$12+1,1))</f>
        <v>411.60020200960821</v>
      </c>
      <c r="CE106" s="62">
        <f t="shared" si="94"/>
        <v>261.95434270986397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261.00000000000017</v>
      </c>
      <c r="CU106" s="18">
        <f>CT106*VLOOKUP('Données projet'!$B$13,Paramètres!$A$1:$I$89,3,0)*VLOOKUP('Données projet'!$B$13,Paramètres!$A$1:$I$89,5,0)</f>
        <v>211.72320000000013</v>
      </c>
      <c r="CV106" s="14">
        <f t="shared" si="95"/>
        <v>52.311968964212078</v>
      </c>
      <c r="CW106" s="22">
        <f t="shared" si="67"/>
        <v>459.8612526126696</v>
      </c>
      <c r="CX106" s="62">
        <f t="shared" si="68"/>
        <v>753.19458594600292</v>
      </c>
      <c r="CY106" s="62">
        <f ca="1">AVERAGE(OFFSET($CX$3,0,0,'Données projet'!$E$13+1,1))-AVERAGE(OFFSET($H$3,0,0,'Données projet'!$E$13+1,1))</f>
        <v>293.51866463276224</v>
      </c>
      <c r="CZ106" s="62">
        <f t="shared" si="96"/>
        <v>232.78663842203713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1.7053025658242404E-13</v>
      </c>
      <c r="O107" s="14">
        <f>N107*VLOOKUP('Données projet'!$B$9,Paramètres!$A$1:$I$89,3,0)*VLOOKUP('Données projet'!$B$9,Paramètres!$A$1:$I$89,5,0)</f>
        <v>1.4897523215040567E-13</v>
      </c>
      <c r="P107" s="14">
        <f t="shared" si="87"/>
        <v>2.136562777003313E-12</v>
      </c>
      <c r="Q107" s="22">
        <f t="shared" si="107"/>
        <v>3.9806453659427267E-12</v>
      </c>
      <c r="R107" s="62">
        <f t="shared" si="55"/>
        <v>293.33333333333729</v>
      </c>
      <c r="S107" s="62">
        <f ca="1">AVERAGE(OFFSET($R$3,0,0,'Données projet'!$E$9+1,1))-AVERAGE(OFFSET($H$3,0,0,'Données projet'!$E$9+1,1))</f>
        <v>239.16843440041487</v>
      </c>
      <c r="T107" s="62">
        <f t="shared" si="88"/>
        <v>241.82319822554194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0.61036727182092976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0.61036727182092976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-3.4106051316484809E-13</v>
      </c>
      <c r="AJ107" s="14">
        <f>AI107*VLOOKUP('Données projet'!$B$10,Paramètres!$A$1:$I$89,3,0)*VLOOKUP('Données projet'!$B$10,Paramètres!$A$1:$I$89,5,0)</f>
        <v>-2.5006556825246659E-13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376.5422416541544</v>
      </c>
      <c r="AO107" s="62">
        <f t="shared" si="90"/>
        <v>365.76175372075869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1.7795242644146256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1.7795242644146256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405.13433810198853</v>
      </c>
      <c r="BJ107" s="62">
        <f t="shared" si="92"/>
        <v>534.74398214162079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1.9074996281515761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2.797588214873079E-10</v>
      </c>
      <c r="BS107" s="24">
        <f t="shared" si="63"/>
        <v>1.907499628431335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5.4</v>
      </c>
      <c r="BY107" s="13">
        <f>IF('Données projet'!$A$114&gt;35,BY106+BX107-CG106,IF(A107&lt;'Données projet'!$A$114,$BV$205^A107,IF(A107='Données projet'!$A$114,'Données projet'!$B$114,BY106+BX107-CG106)))</f>
        <v>327.59999999999991</v>
      </c>
      <c r="BZ107" s="14">
        <f>BY107*VLOOKUP('Données projet'!$B$12,Paramètres!$A$1:$I$89,3,0)*VLOOKUP('Données projet'!$B$12,Paramètres!$A$1:$I$89,5,0)</f>
        <v>275.97023999999993</v>
      </c>
      <c r="CA107" s="14">
        <f t="shared" si="93"/>
        <v>66.114687585645072</v>
      </c>
      <c r="CB107" s="22">
        <f t="shared" si="64"/>
        <v>595.79791554499843</v>
      </c>
      <c r="CC107" s="62">
        <f t="shared" si="65"/>
        <v>889.13124887833169</v>
      </c>
      <c r="CD107" s="62">
        <f ca="1">AVERAGE(OFFSET($CC$3,0,0,'Données projet'!$E$12+1,1))-AVERAGE(OFFSET($H$3,0,0,'Données projet'!$E$12+1,1))</f>
        <v>411.60020200960821</v>
      </c>
      <c r="CE107" s="62">
        <f t="shared" si="94"/>
        <v>261.95434270986397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261.00000000000017</v>
      </c>
      <c r="CU107" s="18">
        <f>CT107*VLOOKUP('Données projet'!$B$13,Paramètres!$A$1:$I$89,3,0)*VLOOKUP('Données projet'!$B$13,Paramètres!$A$1:$I$89,5,0)</f>
        <v>211.72320000000013</v>
      </c>
      <c r="CV107" s="14">
        <f t="shared" si="95"/>
        <v>52.311968964212078</v>
      </c>
      <c r="CW107" s="22">
        <f t="shared" si="67"/>
        <v>459.8612526126696</v>
      </c>
      <c r="CX107" s="62">
        <f t="shared" si="68"/>
        <v>753.19458594600292</v>
      </c>
      <c r="CY107" s="62">
        <f ca="1">AVERAGE(OFFSET($CX$3,0,0,'Données projet'!$E$13+1,1))-AVERAGE(OFFSET($H$3,0,0,'Données projet'!$E$13+1,1))</f>
        <v>293.51866463276224</v>
      </c>
      <c r="CZ107" s="62">
        <f t="shared" si="96"/>
        <v>232.78663842203713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1.7053025658242404E-13</v>
      </c>
      <c r="O108" s="14">
        <f>N108*VLOOKUP('Données projet'!$B$9,Paramètres!$A$1:$I$89,3,0)*VLOOKUP('Données projet'!$B$9,Paramètres!$A$1:$I$89,5,0)</f>
        <v>1.4897523215040567E-13</v>
      </c>
      <c r="P108" s="14">
        <f t="shared" si="87"/>
        <v>2.136562777003313E-12</v>
      </c>
      <c r="Q108" s="22">
        <f t="shared" si="107"/>
        <v>3.9806453659427267E-12</v>
      </c>
      <c r="R108" s="62">
        <f t="shared" si="55"/>
        <v>293.33333333333729</v>
      </c>
      <c r="S108" s="62">
        <f ca="1">AVERAGE(OFFSET($R$3,0,0,'Données projet'!$E$9+1,1))-AVERAGE(OFFSET($H$3,0,0,'Données projet'!$E$9+1,1))</f>
        <v>239.16843440041487</v>
      </c>
      <c r="T108" s="62">
        <f t="shared" si="88"/>
        <v>241.82319822554194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0.59367674667516657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0.59367674667516657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-3.4106051316484809E-13</v>
      </c>
      <c r="AJ108" s="14">
        <f>AI108*VLOOKUP('Données projet'!$B$10,Paramètres!$A$1:$I$89,3,0)*VLOOKUP('Données projet'!$B$10,Paramètres!$A$1:$I$89,5,0)</f>
        <v>-2.5006556825246659E-13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376.5422416541544</v>
      </c>
      <c r="AO108" s="62">
        <f t="shared" si="90"/>
        <v>365.76175372075869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1.7446288789920814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1.7446288789920814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405.13433810198853</v>
      </c>
      <c r="BJ108" s="62">
        <f t="shared" si="92"/>
        <v>534.74398214162079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1.8700947239034147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1.9781935977043224E-10</v>
      </c>
      <c r="BS108" s="24">
        <f t="shared" si="63"/>
        <v>1.870094724101234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333</v>
      </c>
      <c r="BW108" s="13">
        <f>VLOOKUP(A108,'Données projet'!$A$113:$I$133,9,0)</f>
        <v>5.4</v>
      </c>
      <c r="BX108" s="13">
        <f t="array" ref="BX108">INDEX(BW:BW,MIN(IF(ISNUMBER(BW108:BW304),ROW(BW108:BW304),"")))</f>
        <v>5.4</v>
      </c>
      <c r="BY108" s="13">
        <f>IF('Données projet'!$A$114&gt;35,BY107+BX108-CG107,IF(A108&lt;'Données projet'!$A$114,$BV$205^A108,IF(A108='Données projet'!$A$114,'Données projet'!$B$114,BY107+BX108-CG107)))</f>
        <v>332.99999999999989</v>
      </c>
      <c r="BZ108" s="14">
        <f>BY108*VLOOKUP('Données projet'!$B$12,Paramètres!$A$1:$I$89,3,0)*VLOOKUP('Données projet'!$B$12,Paramètres!$A$1:$I$89,5,0)</f>
        <v>280.5191999999999</v>
      </c>
      <c r="CA108" s="14">
        <f t="shared" si="93"/>
        <v>67.076718933381159</v>
      </c>
      <c r="CB108" s="22">
        <f t="shared" si="64"/>
        <v>605.39622547563874</v>
      </c>
      <c r="CC108" s="62">
        <f t="shared" si="65"/>
        <v>898.72955880897212</v>
      </c>
      <c r="CD108" s="62">
        <f ca="1">AVERAGE(OFFSET($CC$3,0,0,'Données projet'!$E$12+1,1))-AVERAGE(OFFSET($H$3,0,0,'Données projet'!$E$12+1,1))</f>
        <v>411.60020200960821</v>
      </c>
      <c r="CE108" s="62">
        <f t="shared" si="94"/>
        <v>261.95434270986397</v>
      </c>
      <c r="CF108" s="16">
        <f>IF(ISNA(VLOOKUP(A108,'Données projet'!$A$113:$I$133,3,0)),0,VLOOKUP(A108,'Données projet'!$A$113:$I$133,3,0))</f>
        <v>18</v>
      </c>
      <c r="CG108" s="16">
        <f>IF(ISNA(VLOOKUP(A108,'Données projet'!$A$113:$I$133,4,0)),0,VLOOKUP(A108,'Données projet'!$A$113:$I$133,4,0))</f>
        <v>26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261.00000000000017</v>
      </c>
      <c r="CU108" s="18">
        <f>CT108*VLOOKUP('Données projet'!$B$13,Paramètres!$A$1:$I$89,3,0)*VLOOKUP('Données projet'!$B$13,Paramètres!$A$1:$I$89,5,0)</f>
        <v>211.72320000000013</v>
      </c>
      <c r="CV108" s="14">
        <f t="shared" si="95"/>
        <v>52.311968964212078</v>
      </c>
      <c r="CW108" s="22">
        <f t="shared" si="67"/>
        <v>459.8612526126696</v>
      </c>
      <c r="CX108" s="62">
        <f t="shared" si="68"/>
        <v>753.19458594600292</v>
      </c>
      <c r="CY108" s="62">
        <f ca="1">AVERAGE(OFFSET($CX$3,0,0,'Données projet'!$E$13+1,1))-AVERAGE(OFFSET($H$3,0,0,'Données projet'!$E$13+1,1))</f>
        <v>293.51866463276224</v>
      </c>
      <c r="CZ108" s="62">
        <f t="shared" si="96"/>
        <v>232.78663842203713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1.7053025658242404E-13</v>
      </c>
      <c r="O109" s="14">
        <f>N109*VLOOKUP('Données projet'!$B$9,Paramètres!$A$1:$I$89,3,0)*VLOOKUP('Données projet'!$B$9,Paramètres!$A$1:$I$89,5,0)</f>
        <v>1.4897523215040567E-13</v>
      </c>
      <c r="P109" s="14">
        <f t="shared" si="87"/>
        <v>2.136562777003313E-12</v>
      </c>
      <c r="Q109" s="22">
        <f t="shared" si="107"/>
        <v>3.9806453659427267E-12</v>
      </c>
      <c r="R109" s="62">
        <f t="shared" si="55"/>
        <v>293.33333333333729</v>
      </c>
      <c r="S109" s="62">
        <f ca="1">AVERAGE(OFFSET($R$3,0,0,'Données projet'!$E$9+1,1))-AVERAGE(OFFSET($H$3,0,0,'Données projet'!$E$9+1,1))</f>
        <v>239.16843440041487</v>
      </c>
      <c r="T109" s="62">
        <f t="shared" si="88"/>
        <v>241.82319822554194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0.57744262481723085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0.57744262481723085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-3.4106051316484809E-13</v>
      </c>
      <c r="AJ109" s="14">
        <f>AI109*VLOOKUP('Données projet'!$B$10,Paramètres!$A$1:$I$89,3,0)*VLOOKUP('Données projet'!$B$10,Paramètres!$A$1:$I$89,5,0)</f>
        <v>-2.5006556825246659E-13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376.5422416541544</v>
      </c>
      <c r="AO109" s="62">
        <f t="shared" si="90"/>
        <v>365.76175372075869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1.7104177707935899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1.7104177707935899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405.13433810198853</v>
      </c>
      <c r="BJ109" s="62">
        <f t="shared" si="92"/>
        <v>534.74398214162079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1.833423307012821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1.3987941074365395E-10</v>
      </c>
      <c r="BS109" s="24">
        <f t="shared" si="63"/>
        <v>1.8334233071527004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5</v>
      </c>
      <c r="BY109" s="13">
        <f>IF('Données projet'!$A$114&gt;35,BY108+BX109-CG108,IF(A109&lt;'Données projet'!$A$114,$BV$205^A109,IF(A109='Données projet'!$A$114,'Données projet'!$B$114,BY108+BX109-CG108)))</f>
        <v>311.99999999999989</v>
      </c>
      <c r="BZ109" s="14">
        <f>BY109*VLOOKUP('Données projet'!$B$12,Paramètres!$A$1:$I$89,3,0)*VLOOKUP('Données projet'!$B$12,Paramètres!$A$1:$I$89,5,0)</f>
        <v>262.82879999999994</v>
      </c>
      <c r="CA109" s="14">
        <f t="shared" si="93"/>
        <v>63.324983518559428</v>
      </c>
      <c r="CB109" s="22">
        <f t="shared" si="64"/>
        <v>568.05117296149081</v>
      </c>
      <c r="CC109" s="62">
        <f t="shared" si="65"/>
        <v>861.38450629482418</v>
      </c>
      <c r="CD109" s="62">
        <f ca="1">AVERAGE(OFFSET($CC$3,0,0,'Données projet'!$E$12+1,1))-AVERAGE(OFFSET($H$3,0,0,'Données projet'!$E$12+1,1))</f>
        <v>411.60020200960821</v>
      </c>
      <c r="CE109" s="62">
        <f t="shared" si="94"/>
        <v>261.95434270986397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261.00000000000017</v>
      </c>
      <c r="CU109" s="18">
        <f>CT109*VLOOKUP('Données projet'!$B$13,Paramètres!$A$1:$I$89,3,0)*VLOOKUP('Données projet'!$B$13,Paramètres!$A$1:$I$89,5,0)</f>
        <v>211.72320000000013</v>
      </c>
      <c r="CV109" s="14">
        <f t="shared" si="95"/>
        <v>52.311968964212078</v>
      </c>
      <c r="CW109" s="22">
        <f t="shared" si="67"/>
        <v>459.8612526126696</v>
      </c>
      <c r="CX109" s="62">
        <f t="shared" si="68"/>
        <v>753.19458594600292</v>
      </c>
      <c r="CY109" s="62">
        <f ca="1">AVERAGE(OFFSET($CX$3,0,0,'Données projet'!$E$13+1,1))-AVERAGE(OFFSET($H$3,0,0,'Données projet'!$E$13+1,1))</f>
        <v>293.51866463276224</v>
      </c>
      <c r="CZ109" s="62">
        <f t="shared" si="96"/>
        <v>232.78663842203713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1.7053025658242404E-13</v>
      </c>
      <c r="O110" s="14">
        <f>N110*VLOOKUP('Données projet'!$B$9,Paramètres!$A$1:$I$89,3,0)*VLOOKUP('Données projet'!$B$9,Paramètres!$A$1:$I$89,5,0)</f>
        <v>1.4897523215040567E-13</v>
      </c>
      <c r="P110" s="14">
        <f t="shared" si="87"/>
        <v>2.136562777003313E-12</v>
      </c>
      <c r="Q110" s="22">
        <f t="shared" si="107"/>
        <v>3.9806453659427267E-12</v>
      </c>
      <c r="R110" s="62">
        <f t="shared" si="55"/>
        <v>293.33333333333729</v>
      </c>
      <c r="S110" s="62">
        <f ca="1">AVERAGE(OFFSET($R$3,0,0,'Données projet'!$E$9+1,1))-AVERAGE(OFFSET($H$3,0,0,'Données projet'!$E$9+1,1))</f>
        <v>239.16843440041487</v>
      </c>
      <c r="T110" s="62">
        <f t="shared" si="88"/>
        <v>241.82319822554194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0.5616524258752158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0.5616524258752158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-3.4106051316484809E-13</v>
      </c>
      <c r="AJ110" s="14">
        <f>AI110*VLOOKUP('Données projet'!$B$10,Paramètres!$A$1:$I$89,3,0)*VLOOKUP('Données projet'!$B$10,Paramètres!$A$1:$I$89,5,0)</f>
        <v>-2.5006556825246659E-13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376.5422416541544</v>
      </c>
      <c r="AO110" s="62">
        <f t="shared" si="90"/>
        <v>365.76175372075869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1.6768775215601552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1.6768775215601552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405.13433810198853</v>
      </c>
      <c r="BJ110" s="62">
        <f t="shared" si="92"/>
        <v>534.74398214162079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1.7974709942400962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9.8909679885216121E-11</v>
      </c>
      <c r="BS110" s="24">
        <f t="shared" si="63"/>
        <v>1.7974709943390059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5</v>
      </c>
      <c r="BY110" s="13">
        <f>IF('Données projet'!$A$114&gt;35,BY109+BX110-CG109,IF(A110&lt;'Données projet'!$A$114,$BV$205^A110,IF(A110='Données projet'!$A$114,'Données projet'!$B$114,BY109+BX110-CG109)))</f>
        <v>316.99999999999989</v>
      </c>
      <c r="BZ110" s="14">
        <f>BY110*VLOOKUP('Données projet'!$B$12,Paramètres!$A$1:$I$89,3,0)*VLOOKUP('Données projet'!$B$12,Paramètres!$A$1:$I$89,5,0)</f>
        <v>267.04079999999993</v>
      </c>
      <c r="CA110" s="14">
        <f t="shared" si="93"/>
        <v>64.220850124833518</v>
      </c>
      <c r="CB110" s="22">
        <f t="shared" si="64"/>
        <v>576.94737396741823</v>
      </c>
      <c r="CC110" s="62">
        <f t="shared" si="65"/>
        <v>870.2807073007516</v>
      </c>
      <c r="CD110" s="62">
        <f ca="1">AVERAGE(OFFSET($CC$3,0,0,'Données projet'!$E$12+1,1))-AVERAGE(OFFSET($H$3,0,0,'Données projet'!$E$12+1,1))</f>
        <v>411.60020200960821</v>
      </c>
      <c r="CE110" s="62">
        <f t="shared" si="94"/>
        <v>261.95434270986397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261.00000000000017</v>
      </c>
      <c r="CU110" s="18">
        <f>CT110*VLOOKUP('Données projet'!$B$13,Paramètres!$A$1:$I$89,3,0)*VLOOKUP('Données projet'!$B$13,Paramètres!$A$1:$I$89,5,0)</f>
        <v>211.72320000000013</v>
      </c>
      <c r="CV110" s="14">
        <f t="shared" si="95"/>
        <v>52.311968964212078</v>
      </c>
      <c r="CW110" s="22">
        <f t="shared" si="67"/>
        <v>459.8612526126696</v>
      </c>
      <c r="CX110" s="62">
        <f t="shared" si="68"/>
        <v>753.19458594600292</v>
      </c>
      <c r="CY110" s="62">
        <f ca="1">AVERAGE(OFFSET($CX$3,0,0,'Données projet'!$E$13+1,1))-AVERAGE(OFFSET($H$3,0,0,'Données projet'!$E$13+1,1))</f>
        <v>293.51866463276224</v>
      </c>
      <c r="CZ110" s="62">
        <f t="shared" si="96"/>
        <v>232.78663842203713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1.7053025658242404E-13</v>
      </c>
      <c r="O111" s="14">
        <f>N111*VLOOKUP('Données projet'!$B$9,Paramètres!$A$1:$I$89,3,0)*VLOOKUP('Données projet'!$B$9,Paramètres!$A$1:$I$89,5,0)</f>
        <v>1.4897523215040567E-13</v>
      </c>
      <c r="P111" s="14">
        <f t="shared" si="87"/>
        <v>2.136562777003313E-12</v>
      </c>
      <c r="Q111" s="22">
        <f t="shared" si="107"/>
        <v>3.9806453659427267E-12</v>
      </c>
      <c r="R111" s="62">
        <f t="shared" si="55"/>
        <v>293.33333333333729</v>
      </c>
      <c r="S111" s="62">
        <f ca="1">AVERAGE(OFFSET($R$3,0,0,'Données projet'!$E$9+1,1))-AVERAGE(OFFSET($H$3,0,0,'Données projet'!$E$9+1,1))</f>
        <v>239.16843440041487</v>
      </c>
      <c r="T111" s="62">
        <f t="shared" si="88"/>
        <v>241.82319822554194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0.54629401075364059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0.54629401075364059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-3.4106051316484809E-13</v>
      </c>
      <c r="AJ111" s="14">
        <f>AI111*VLOOKUP('Données projet'!$B$10,Paramètres!$A$1:$I$89,3,0)*VLOOKUP('Données projet'!$B$10,Paramètres!$A$1:$I$89,5,0)</f>
        <v>-2.5006556825246659E-13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376.5422416541544</v>
      </c>
      <c r="AO111" s="62">
        <f t="shared" si="90"/>
        <v>365.76175372075869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1.6439949761566561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1.6439949761566561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405.13433810198853</v>
      </c>
      <c r="BJ111" s="62">
        <f t="shared" si="92"/>
        <v>534.74398214162079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1.7622236843920989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6.9939705371826976E-11</v>
      </c>
      <c r="BS111" s="24">
        <f t="shared" si="63"/>
        <v>1.7622236844620385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5</v>
      </c>
      <c r="BY111" s="13">
        <f>IF('Données projet'!$A$114&gt;35,BY110+BX111-CG110,IF(A111&lt;'Données projet'!$A$114,$BV$205^A111,IF(A111='Données projet'!$A$114,'Données projet'!$B$114,BY110+BX111-CG110)))</f>
        <v>321.99999999999989</v>
      </c>
      <c r="BZ111" s="14">
        <f>BY111*VLOOKUP('Données projet'!$B$12,Paramètres!$A$1:$I$89,3,0)*VLOOKUP('Données projet'!$B$12,Paramètres!$A$1:$I$89,5,0)</f>
        <v>271.25279999999992</v>
      </c>
      <c r="CA111" s="14">
        <f t="shared" si="93"/>
        <v>65.115073390838859</v>
      </c>
      <c r="CB111" s="22">
        <f t="shared" si="64"/>
        <v>585.84071282237755</v>
      </c>
      <c r="CC111" s="62">
        <f t="shared" si="65"/>
        <v>879.17404615571081</v>
      </c>
      <c r="CD111" s="62">
        <f ca="1">AVERAGE(OFFSET($CC$3,0,0,'Données projet'!$E$12+1,1))-AVERAGE(OFFSET($H$3,0,0,'Données projet'!$E$12+1,1))</f>
        <v>411.60020200960821</v>
      </c>
      <c r="CE111" s="62">
        <f t="shared" si="94"/>
        <v>261.95434270986397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261.00000000000017</v>
      </c>
      <c r="CU111" s="18">
        <f>CT111*VLOOKUP('Données projet'!$B$13,Paramètres!$A$1:$I$89,3,0)*VLOOKUP('Données projet'!$B$13,Paramètres!$A$1:$I$89,5,0)</f>
        <v>211.72320000000013</v>
      </c>
      <c r="CV111" s="14">
        <f t="shared" si="95"/>
        <v>52.311968964212078</v>
      </c>
      <c r="CW111" s="22">
        <f t="shared" si="67"/>
        <v>459.8612526126696</v>
      </c>
      <c r="CX111" s="62">
        <f t="shared" si="68"/>
        <v>753.19458594600292</v>
      </c>
      <c r="CY111" s="62">
        <f ca="1">AVERAGE(OFFSET($CX$3,0,0,'Données projet'!$E$13+1,1))-AVERAGE(OFFSET($H$3,0,0,'Données projet'!$E$13+1,1))</f>
        <v>293.51866463276224</v>
      </c>
      <c r="CZ111" s="62">
        <f t="shared" si="96"/>
        <v>232.78663842203713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1.7053025658242404E-13</v>
      </c>
      <c r="O112" s="14">
        <f>N112*VLOOKUP('Données projet'!$B$9,Paramètres!$A$1:$I$89,3,0)*VLOOKUP('Données projet'!$B$9,Paramètres!$A$1:$I$89,5,0)</f>
        <v>1.4897523215040567E-13</v>
      </c>
      <c r="P112" s="14">
        <f t="shared" si="87"/>
        <v>2.136562777003313E-12</v>
      </c>
      <c r="Q112" s="22">
        <f t="shared" si="107"/>
        <v>3.9806453659427267E-12</v>
      </c>
      <c r="R112" s="62">
        <f t="shared" si="55"/>
        <v>293.33333333333729</v>
      </c>
      <c r="S112" s="62">
        <f ca="1">AVERAGE(OFFSET($R$3,0,0,'Données projet'!$E$9+1,1))-AVERAGE(OFFSET($H$3,0,0,'Données projet'!$E$9+1,1))</f>
        <v>239.16843440041487</v>
      </c>
      <c r="T112" s="62">
        <f t="shared" si="88"/>
        <v>241.82319822554194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0.53135557230122887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0.53135557230122887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-3.4106051316484809E-13</v>
      </c>
      <c r="AJ112" s="14">
        <f>AI112*VLOOKUP('Données projet'!$B$10,Paramètres!$A$1:$I$89,3,0)*VLOOKUP('Données projet'!$B$10,Paramètres!$A$1:$I$89,5,0)</f>
        <v>-2.5006556825246659E-13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376.5422416541544</v>
      </c>
      <c r="AO112" s="62">
        <f t="shared" si="90"/>
        <v>365.76175372075869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1.6117572374121474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1.6117572374121474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405.13433810198853</v>
      </c>
      <c r="BJ112" s="62">
        <f t="shared" si="92"/>
        <v>534.74398214162079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1.7276675527914847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4.9454839942608061E-11</v>
      </c>
      <c r="BS112" s="24">
        <f t="shared" si="63"/>
        <v>1.7276675528409395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5</v>
      </c>
      <c r="BY112" s="13">
        <f>IF('Données projet'!$A$114&gt;35,BY111+BX112-CG111,IF(A112&lt;'Données projet'!$A$114,$BV$205^A112,IF(A112='Données projet'!$A$114,'Données projet'!$B$114,BY111+BX112-CG111)))</f>
        <v>326.99999999999989</v>
      </c>
      <c r="BZ112" s="14">
        <f>BY112*VLOOKUP('Données projet'!$B$12,Paramètres!$A$1:$I$89,3,0)*VLOOKUP('Données projet'!$B$12,Paramètres!$A$1:$I$89,5,0)</f>
        <v>275.46479999999997</v>
      </c>
      <c r="CA112" s="14">
        <f t="shared" si="93"/>
        <v>66.007681781116673</v>
      </c>
      <c r="CB112" s="22">
        <f t="shared" si="64"/>
        <v>594.73123910211143</v>
      </c>
      <c r="CC112" s="62">
        <f t="shared" si="65"/>
        <v>888.06457243544469</v>
      </c>
      <c r="CD112" s="62">
        <f ca="1">AVERAGE(OFFSET($CC$3,0,0,'Données projet'!$E$12+1,1))-AVERAGE(OFFSET($H$3,0,0,'Données projet'!$E$12+1,1))</f>
        <v>411.60020200960821</v>
      </c>
      <c r="CE112" s="62">
        <f t="shared" si="94"/>
        <v>261.95434270986397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261.00000000000017</v>
      </c>
      <c r="CU112" s="18">
        <f>CT112*VLOOKUP('Données projet'!$B$13,Paramètres!$A$1:$I$89,3,0)*VLOOKUP('Données projet'!$B$13,Paramètres!$A$1:$I$89,5,0)</f>
        <v>211.72320000000013</v>
      </c>
      <c r="CV112" s="14">
        <f t="shared" si="95"/>
        <v>52.311968964212078</v>
      </c>
      <c r="CW112" s="22">
        <f t="shared" si="67"/>
        <v>459.8612526126696</v>
      </c>
      <c r="CX112" s="62">
        <f t="shared" si="68"/>
        <v>753.19458594600292</v>
      </c>
      <c r="CY112" s="62">
        <f ca="1">AVERAGE(OFFSET($CX$3,0,0,'Données projet'!$E$13+1,1))-AVERAGE(OFFSET($H$3,0,0,'Données projet'!$E$13+1,1))</f>
        <v>293.51866463276224</v>
      </c>
      <c r="CZ112" s="62">
        <f t="shared" si="96"/>
        <v>232.78663842203713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1.7053025658242404E-13</v>
      </c>
      <c r="O113" s="14">
        <f>N113*VLOOKUP('Données projet'!$B$9,Paramètres!$A$1:$I$89,3,0)*VLOOKUP('Données projet'!$B$9,Paramètres!$A$1:$I$89,5,0)</f>
        <v>1.4897523215040567E-13</v>
      </c>
      <c r="P113" s="14">
        <f t="shared" si="87"/>
        <v>2.136562777003313E-12</v>
      </c>
      <c r="Q113" s="22">
        <f t="shared" si="107"/>
        <v>3.9806453659427267E-12</v>
      </c>
      <c r="R113" s="62">
        <f t="shared" si="55"/>
        <v>293.33333333333729</v>
      </c>
      <c r="S113" s="62">
        <f ca="1">AVERAGE(OFFSET($R$3,0,0,'Données projet'!$E$9+1,1))-AVERAGE(OFFSET($H$3,0,0,'Données projet'!$E$9+1,1))</f>
        <v>239.16843440041487</v>
      </c>
      <c r="T113" s="62">
        <f t="shared" si="88"/>
        <v>241.82319822554194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0.51682562623387662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0.51682562623387662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-3.4106051316484809E-13</v>
      </c>
      <c r="AJ113" s="14">
        <f>AI113*VLOOKUP('Données projet'!$B$10,Paramètres!$A$1:$I$89,3,0)*VLOOKUP('Données projet'!$B$10,Paramètres!$A$1:$I$89,5,0)</f>
        <v>-2.5006556825246659E-13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376.5422416541544</v>
      </c>
      <c r="AO113" s="62">
        <f t="shared" si="90"/>
        <v>365.76175372075869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1.5801516610613393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1.5801516610613393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405.13433810198853</v>
      </c>
      <c r="BJ113" s="62">
        <f t="shared" si="92"/>
        <v>534.74398214162079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1.6937890458543994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3.4969852685913488E-11</v>
      </c>
      <c r="BS113" s="24">
        <f t="shared" si="63"/>
        <v>1.6937890458893692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332</v>
      </c>
      <c r="BW113" s="13">
        <f>VLOOKUP(A113,'Données projet'!$A$113:$I$133,9,0)</f>
        <v>5</v>
      </c>
      <c r="BX113" s="13">
        <f t="array" ref="BX113">INDEX(BW:BW,MIN(IF(ISNUMBER(BW113:BW309),ROW(BW113:BW309),"")))</f>
        <v>5</v>
      </c>
      <c r="BY113" s="13">
        <f>IF('Données projet'!$A$114&gt;35,BY112+BX113-CG112,IF(A113&lt;'Données projet'!$A$114,$BV$205^A113,IF(A113='Données projet'!$A$114,'Données projet'!$B$114,BY112+BX113-CG112)))</f>
        <v>331.99999999999989</v>
      </c>
      <c r="BZ113" s="14">
        <f>BY113*VLOOKUP('Données projet'!$B$12,Paramètres!$A$1:$I$89,3,0)*VLOOKUP('Données projet'!$B$12,Paramètres!$A$1:$I$89,5,0)</f>
        <v>279.6767999999999</v>
      </c>
      <c r="CA113" s="14">
        <f t="shared" si="93"/>
        <v>66.898702839783041</v>
      </c>
      <c r="CB113" s="22">
        <f t="shared" si="64"/>
        <v>603.61900077928851</v>
      </c>
      <c r="CC113" s="62">
        <f t="shared" si="65"/>
        <v>896.95233411262188</v>
      </c>
      <c r="CD113" s="62">
        <f ca="1">AVERAGE(OFFSET($CC$3,0,0,'Données projet'!$E$12+1,1))-AVERAGE(OFFSET($H$3,0,0,'Données projet'!$E$12+1,1))</f>
        <v>411.60020200960821</v>
      </c>
      <c r="CE113" s="62">
        <f t="shared" si="94"/>
        <v>261.95434270986397</v>
      </c>
      <c r="CF113" s="16">
        <f>IF(ISNA(VLOOKUP(A113,'Données projet'!$A$113:$I$133,3,0)),0,VLOOKUP(A113,'Données projet'!$A$113:$I$133,3,0))</f>
        <v>19</v>
      </c>
      <c r="CG113" s="16">
        <f>IF(ISNA(VLOOKUP(A113,'Données projet'!$A$113:$I$133,4,0)),0,VLOOKUP(A113,'Données projet'!$A$113:$I$133,4,0))</f>
        <v>25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261.00000000000017</v>
      </c>
      <c r="CU113" s="18">
        <f>CT113*VLOOKUP('Données projet'!$B$13,Paramètres!$A$1:$I$89,3,0)*VLOOKUP('Données projet'!$B$13,Paramètres!$A$1:$I$89,5,0)</f>
        <v>211.72320000000013</v>
      </c>
      <c r="CV113" s="14">
        <f t="shared" si="95"/>
        <v>52.311968964212078</v>
      </c>
      <c r="CW113" s="22">
        <f t="shared" si="67"/>
        <v>459.8612526126696</v>
      </c>
      <c r="CX113" s="62">
        <f t="shared" si="68"/>
        <v>753.19458594600292</v>
      </c>
      <c r="CY113" s="62">
        <f ca="1">AVERAGE(OFFSET($CX$3,0,0,'Données projet'!$E$13+1,1))-AVERAGE(OFFSET($H$3,0,0,'Données projet'!$E$13+1,1))</f>
        <v>293.51866463276224</v>
      </c>
      <c r="CZ113" s="62">
        <f t="shared" si="96"/>
        <v>232.78663842203713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1.7053025658242404E-13</v>
      </c>
      <c r="O114" s="14">
        <f>N114*VLOOKUP('Données projet'!$B$9,Paramètres!$A$1:$I$89,3,0)*VLOOKUP('Données projet'!$B$9,Paramètres!$A$1:$I$89,5,0)</f>
        <v>1.4897523215040567E-13</v>
      </c>
      <c r="P114" s="14">
        <f t="shared" si="87"/>
        <v>2.136562777003313E-12</v>
      </c>
      <c r="Q114" s="22">
        <f t="shared" si="107"/>
        <v>3.9806453659427267E-12</v>
      </c>
      <c r="R114" s="62">
        <f t="shared" si="55"/>
        <v>293.33333333333729</v>
      </c>
      <c r="S114" s="62">
        <f ca="1">AVERAGE(OFFSET($R$3,0,0,'Données projet'!$E$9+1,1))-AVERAGE(OFFSET($H$3,0,0,'Données projet'!$E$9+1,1))</f>
        <v>239.16843440041487</v>
      </c>
      <c r="T114" s="62">
        <f t="shared" si="88"/>
        <v>241.82319822554194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0.5026930023058328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0.5026930023058328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-3.4106051316484809E-13</v>
      </c>
      <c r="AJ114" s="14">
        <f>AI114*VLOOKUP('Données projet'!$B$10,Paramètres!$A$1:$I$89,3,0)*VLOOKUP('Données projet'!$B$10,Paramètres!$A$1:$I$89,5,0)</f>
        <v>-2.5006556825246659E-13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376.5422416541544</v>
      </c>
      <c r="AO114" s="62">
        <f t="shared" si="90"/>
        <v>365.76175372075869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1.5491658507852726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1.5491658507852726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405.13433810198853</v>
      </c>
      <c r="BJ114" s="62">
        <f t="shared" si="92"/>
        <v>534.74398214162079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1.6605748757745016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2.472741997130403E-11</v>
      </c>
      <c r="BS114" s="24">
        <f t="shared" si="63"/>
        <v>1.6605748757992289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4.5999999999999996</v>
      </c>
      <c r="BY114" s="13">
        <f>IF('Données projet'!$A$114&gt;35,BY113+BX114-CG113,IF(A114&lt;'Données projet'!$A$114,$BV$205^A114,IF(A114='Données projet'!$A$114,'Données projet'!$B$114,BY113+BX114-CG113)))</f>
        <v>311.59999999999991</v>
      </c>
      <c r="BZ114" s="14">
        <f>BY114*VLOOKUP('Données projet'!$B$12,Paramètres!$A$1:$I$89,3,0)*VLOOKUP('Données projet'!$B$12,Paramètres!$A$1:$I$89,5,0)</f>
        <v>262.49183999999991</v>
      </c>
      <c r="CA114" s="14">
        <f t="shared" si="93"/>
        <v>63.253242323102796</v>
      </c>
      <c r="CB114" s="22">
        <f t="shared" si="64"/>
        <v>567.33935171273708</v>
      </c>
      <c r="CC114" s="62">
        <f t="shared" si="65"/>
        <v>860.67268504607046</v>
      </c>
      <c r="CD114" s="62">
        <f ca="1">AVERAGE(OFFSET($CC$3,0,0,'Données projet'!$E$12+1,1))-AVERAGE(OFFSET($H$3,0,0,'Données projet'!$E$12+1,1))</f>
        <v>411.60020200960821</v>
      </c>
      <c r="CE114" s="62">
        <f t="shared" si="94"/>
        <v>261.95434270986397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261.00000000000017</v>
      </c>
      <c r="CU114" s="18">
        <f>CT114*VLOOKUP('Données projet'!$B$13,Paramètres!$A$1:$I$89,3,0)*VLOOKUP('Données projet'!$B$13,Paramètres!$A$1:$I$89,5,0)</f>
        <v>211.72320000000013</v>
      </c>
      <c r="CV114" s="14">
        <f t="shared" si="95"/>
        <v>52.311968964212078</v>
      </c>
      <c r="CW114" s="22">
        <f t="shared" si="67"/>
        <v>459.8612526126696</v>
      </c>
      <c r="CX114" s="62">
        <f t="shared" si="68"/>
        <v>753.19458594600292</v>
      </c>
      <c r="CY114" s="62">
        <f ca="1">AVERAGE(OFFSET($CX$3,0,0,'Données projet'!$E$13+1,1))-AVERAGE(OFFSET($H$3,0,0,'Données projet'!$E$13+1,1))</f>
        <v>293.51866463276224</v>
      </c>
      <c r="CZ114" s="62">
        <f t="shared" si="96"/>
        <v>232.78663842203713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1.7053025658242404E-13</v>
      </c>
      <c r="O115" s="14">
        <f>N115*VLOOKUP('Données projet'!$B$9,Paramètres!$A$1:$I$89,3,0)*VLOOKUP('Données projet'!$B$9,Paramètres!$A$1:$I$89,5,0)</f>
        <v>1.4897523215040567E-13</v>
      </c>
      <c r="P115" s="14">
        <f t="shared" si="87"/>
        <v>2.136562777003313E-12</v>
      </c>
      <c r="Q115" s="22">
        <f t="shared" si="107"/>
        <v>3.9806453659427267E-12</v>
      </c>
      <c r="R115" s="62">
        <f t="shared" si="55"/>
        <v>293.33333333333729</v>
      </c>
      <c r="S115" s="62">
        <f ca="1">AVERAGE(OFFSET($R$3,0,0,'Données projet'!$E$9+1,1))-AVERAGE(OFFSET($H$3,0,0,'Données projet'!$E$9+1,1))</f>
        <v>239.16843440041487</v>
      </c>
      <c r="T115" s="62">
        <f t="shared" si="88"/>
        <v>241.82319822554194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0.48894683572230374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0.48894683572230374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-3.4106051316484809E-13</v>
      </c>
      <c r="AJ115" s="14">
        <f>AI115*VLOOKUP('Données projet'!$B$10,Paramètres!$A$1:$I$89,3,0)*VLOOKUP('Données projet'!$B$10,Paramètres!$A$1:$I$89,5,0)</f>
        <v>-2.5006556825246659E-13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376.5422416541544</v>
      </c>
      <c r="AO115" s="62">
        <f t="shared" si="90"/>
        <v>365.76175372075869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1.5187876533492415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1.5187876533492415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405.13433810198853</v>
      </c>
      <c r="BJ115" s="62">
        <f t="shared" si="92"/>
        <v>534.74398214162079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1.6280120153112272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1.7484926342956744E-11</v>
      </c>
      <c r="BS115" s="24">
        <f t="shared" si="63"/>
        <v>1.6280120153287121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4.5999999999999996</v>
      </c>
      <c r="BY115" s="13">
        <f>IF('Données projet'!$A$114&gt;35,BY114+BX115-CG114,IF(A115&lt;'Données projet'!$A$114,$BV$205^A115,IF(A115='Données projet'!$A$114,'Données projet'!$B$114,BY114+BX115-CG114)))</f>
        <v>316.19999999999993</v>
      </c>
      <c r="BZ115" s="14">
        <f>BY115*VLOOKUP('Données projet'!$B$12,Paramètres!$A$1:$I$89,3,0)*VLOOKUP('Données projet'!$B$12,Paramètres!$A$1:$I$89,5,0)</f>
        <v>266.36687999999992</v>
      </c>
      <c r="CA115" s="14">
        <f t="shared" si="93"/>
        <v>64.077622653233107</v>
      </c>
      <c r="CB115" s="22">
        <f t="shared" si="64"/>
        <v>575.52417545438084</v>
      </c>
      <c r="CC115" s="62">
        <f t="shared" si="65"/>
        <v>868.8575087877141</v>
      </c>
      <c r="CD115" s="62">
        <f ca="1">AVERAGE(OFFSET($CC$3,0,0,'Données projet'!$E$12+1,1))-AVERAGE(OFFSET($H$3,0,0,'Données projet'!$E$12+1,1))</f>
        <v>411.60020200960821</v>
      </c>
      <c r="CE115" s="62">
        <f t="shared" si="94"/>
        <v>261.95434270986397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261.00000000000017</v>
      </c>
      <c r="CU115" s="18">
        <f>CT115*VLOOKUP('Données projet'!$B$13,Paramètres!$A$1:$I$89,3,0)*VLOOKUP('Données projet'!$B$13,Paramètres!$A$1:$I$89,5,0)</f>
        <v>211.72320000000013</v>
      </c>
      <c r="CV115" s="14">
        <f t="shared" si="95"/>
        <v>52.311968964212078</v>
      </c>
      <c r="CW115" s="22">
        <f t="shared" si="67"/>
        <v>459.8612526126696</v>
      </c>
      <c r="CX115" s="62">
        <f t="shared" si="68"/>
        <v>753.19458594600292</v>
      </c>
      <c r="CY115" s="62">
        <f ca="1">AVERAGE(OFFSET($CX$3,0,0,'Données projet'!$E$13+1,1))-AVERAGE(OFFSET($H$3,0,0,'Données projet'!$E$13+1,1))</f>
        <v>293.51866463276224</v>
      </c>
      <c r="CZ115" s="62">
        <f t="shared" si="96"/>
        <v>232.78663842203713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1.7053025658242404E-13</v>
      </c>
      <c r="O116" s="14">
        <f>N116*VLOOKUP('Données projet'!$B$9,Paramètres!$A$1:$I$89,3,0)*VLOOKUP('Données projet'!$B$9,Paramètres!$A$1:$I$89,5,0)</f>
        <v>1.4897523215040567E-13</v>
      </c>
      <c r="P116" s="14">
        <f t="shared" si="87"/>
        <v>2.136562777003313E-12</v>
      </c>
      <c r="Q116" s="22">
        <f t="shared" si="107"/>
        <v>3.9806453659427267E-12</v>
      </c>
      <c r="R116" s="62">
        <f t="shared" si="55"/>
        <v>293.33333333333729</v>
      </c>
      <c r="S116" s="62">
        <f ca="1">AVERAGE(OFFSET($R$3,0,0,'Données projet'!$E$9+1,1))-AVERAGE(OFFSET($H$3,0,0,'Données projet'!$E$9+1,1))</f>
        <v>239.16843440041487</v>
      </c>
      <c r="T116" s="62">
        <f t="shared" si="88"/>
        <v>241.82319822554194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0.47557655878688077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0.47557655878688077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-3.4106051316484809E-13</v>
      </c>
      <c r="AJ116" s="14">
        <f>AI116*VLOOKUP('Données projet'!$B$10,Paramètres!$A$1:$I$89,3,0)*VLOOKUP('Données projet'!$B$10,Paramètres!$A$1:$I$89,5,0)</f>
        <v>-2.5006556825246659E-13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376.5422416541544</v>
      </c>
      <c r="AO116" s="62">
        <f t="shared" si="90"/>
        <v>365.76175372075869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1.48900515383606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1.48900515383606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405.13433810198853</v>
      </c>
      <c r="BJ116" s="62">
        <f t="shared" si="92"/>
        <v>534.74398214162079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1.5960876926802539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1.2363709985652015E-11</v>
      </c>
      <c r="BS116" s="24">
        <f t="shared" si="63"/>
        <v>1.5960876926926175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4.5999999999999996</v>
      </c>
      <c r="BY116" s="13">
        <f>IF('Données projet'!$A$114&gt;35,BY115+BX116-CG115,IF(A116&lt;'Données projet'!$A$114,$BV$205^A116,IF(A116='Données projet'!$A$114,'Données projet'!$B$114,BY115+BX116-CG115)))</f>
        <v>320.79999999999995</v>
      </c>
      <c r="BZ116" s="14">
        <f>BY116*VLOOKUP('Données projet'!$B$12,Paramètres!$A$1:$I$89,3,0)*VLOOKUP('Données projet'!$B$12,Paramètres!$A$1:$I$89,5,0)</f>
        <v>270.24191999999999</v>
      </c>
      <c r="CA116" s="14">
        <f t="shared" si="93"/>
        <v>64.900608141065092</v>
      </c>
      <c r="CB116" s="22">
        <f t="shared" si="64"/>
        <v>583.70656984568836</v>
      </c>
      <c r="CC116" s="62">
        <f t="shared" si="65"/>
        <v>877.03990317902162</v>
      </c>
      <c r="CD116" s="62">
        <f ca="1">AVERAGE(OFFSET($CC$3,0,0,'Données projet'!$E$12+1,1))-AVERAGE(OFFSET($H$3,0,0,'Données projet'!$E$12+1,1))</f>
        <v>411.60020200960821</v>
      </c>
      <c r="CE116" s="62">
        <f t="shared" si="94"/>
        <v>261.95434270986397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261.00000000000017</v>
      </c>
      <c r="CU116" s="18">
        <f>CT116*VLOOKUP('Données projet'!$B$13,Paramètres!$A$1:$I$89,3,0)*VLOOKUP('Données projet'!$B$13,Paramètres!$A$1:$I$89,5,0)</f>
        <v>211.72320000000013</v>
      </c>
      <c r="CV116" s="14">
        <f t="shared" si="95"/>
        <v>52.311968964212078</v>
      </c>
      <c r="CW116" s="22">
        <f t="shared" si="67"/>
        <v>459.8612526126696</v>
      </c>
      <c r="CX116" s="62">
        <f t="shared" si="68"/>
        <v>753.19458594600292</v>
      </c>
      <c r="CY116" s="62">
        <f ca="1">AVERAGE(OFFSET($CX$3,0,0,'Données projet'!$E$13+1,1))-AVERAGE(OFFSET($H$3,0,0,'Données projet'!$E$13+1,1))</f>
        <v>293.51866463276224</v>
      </c>
      <c r="CZ116" s="62">
        <f t="shared" si="96"/>
        <v>232.78663842203713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1.7053025658242404E-13</v>
      </c>
      <c r="O117" s="14">
        <f>N117*VLOOKUP('Données projet'!$B$9,Paramètres!$A$1:$I$89,3,0)*VLOOKUP('Données projet'!$B$9,Paramètres!$A$1:$I$89,5,0)</f>
        <v>1.4897523215040567E-13</v>
      </c>
      <c r="P117" s="14">
        <f t="shared" si="87"/>
        <v>2.136562777003313E-12</v>
      </c>
      <c r="Q117" s="22">
        <f t="shared" si="107"/>
        <v>3.9806453659427267E-12</v>
      </c>
      <c r="R117" s="62">
        <f t="shared" si="55"/>
        <v>293.33333333333729</v>
      </c>
      <c r="S117" s="62">
        <f ca="1">AVERAGE(OFFSET($R$3,0,0,'Données projet'!$E$9+1,1))-AVERAGE(OFFSET($H$3,0,0,'Données projet'!$E$9+1,1))</f>
        <v>239.16843440041487</v>
      </c>
      <c r="T117" s="62">
        <f t="shared" si="88"/>
        <v>241.82319822554194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0.46257189277736921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0.46257189277736921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-3.4106051316484809E-13</v>
      </c>
      <c r="AJ117" s="14">
        <f>AI117*VLOOKUP('Données projet'!$B$10,Paramètres!$A$1:$I$89,3,0)*VLOOKUP('Données projet'!$B$10,Paramètres!$A$1:$I$89,5,0)</f>
        <v>-2.5006556825246659E-13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376.5422416541544</v>
      </c>
      <c r="AO117" s="62">
        <f t="shared" si="90"/>
        <v>365.76175372075869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1.459806670972801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1.459806670972801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405.13433810198853</v>
      </c>
      <c r="BJ117" s="62">
        <f t="shared" si="92"/>
        <v>534.74398214162079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1.5647893865441598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8.7424631714783719E-12</v>
      </c>
      <c r="BS117" s="24">
        <f t="shared" si="63"/>
        <v>1.5647893865529023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4.5999999999999996</v>
      </c>
      <c r="BY117" s="13">
        <f>IF('Données projet'!$A$114&gt;35,BY116+BX117-CG116,IF(A117&lt;'Données projet'!$A$114,$BV$205^A117,IF(A117='Données projet'!$A$114,'Données projet'!$B$114,BY116+BX117-CG116)))</f>
        <v>325.39999999999998</v>
      </c>
      <c r="BZ117" s="14">
        <f>BY117*VLOOKUP('Données projet'!$B$12,Paramètres!$A$1:$I$89,3,0)*VLOOKUP('Données projet'!$B$12,Paramètres!$A$1:$I$89,5,0)</f>
        <v>274.11696000000001</v>
      </c>
      <c r="CA117" s="14">
        <f t="shared" si="93"/>
        <v>65.722221098469348</v>
      </c>
      <c r="CB117" s="22">
        <f t="shared" si="64"/>
        <v>591.88657374650074</v>
      </c>
      <c r="CC117" s="62">
        <f t="shared" si="65"/>
        <v>885.219907079834</v>
      </c>
      <c r="CD117" s="62">
        <f ca="1">AVERAGE(OFFSET($CC$3,0,0,'Données projet'!$E$12+1,1))-AVERAGE(OFFSET($H$3,0,0,'Données projet'!$E$12+1,1))</f>
        <v>411.60020200960821</v>
      </c>
      <c r="CE117" s="62">
        <f t="shared" si="94"/>
        <v>261.95434270986397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261.00000000000017</v>
      </c>
      <c r="CU117" s="18">
        <f>CT117*VLOOKUP('Données projet'!$B$13,Paramètres!$A$1:$I$89,3,0)*VLOOKUP('Données projet'!$B$13,Paramètres!$A$1:$I$89,5,0)</f>
        <v>211.72320000000013</v>
      </c>
      <c r="CV117" s="14">
        <f t="shared" si="95"/>
        <v>52.311968964212078</v>
      </c>
      <c r="CW117" s="22">
        <f t="shared" si="67"/>
        <v>459.8612526126696</v>
      </c>
      <c r="CX117" s="62">
        <f t="shared" si="68"/>
        <v>753.19458594600292</v>
      </c>
      <c r="CY117" s="62">
        <f ca="1">AVERAGE(OFFSET($CX$3,0,0,'Données projet'!$E$13+1,1))-AVERAGE(OFFSET($H$3,0,0,'Données projet'!$E$13+1,1))</f>
        <v>293.51866463276224</v>
      </c>
      <c r="CZ117" s="62">
        <f t="shared" si="96"/>
        <v>232.78663842203713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1.7053025658242404E-13</v>
      </c>
      <c r="O118" s="14">
        <f>N118*VLOOKUP('Données projet'!$B$9,Paramètres!$A$1:$I$89,3,0)*VLOOKUP('Données projet'!$B$9,Paramètres!$A$1:$I$89,5,0)</f>
        <v>1.4897523215040567E-13</v>
      </c>
      <c r="P118" s="14">
        <f t="shared" si="87"/>
        <v>2.136562777003313E-12</v>
      </c>
      <c r="Q118" s="22">
        <f t="shared" si="107"/>
        <v>3.9806453659427267E-12</v>
      </c>
      <c r="R118" s="62">
        <f t="shared" si="55"/>
        <v>293.33333333333729</v>
      </c>
      <c r="S118" s="62">
        <f ca="1">AVERAGE(OFFSET($R$3,0,0,'Données projet'!$E$9+1,1))-AVERAGE(OFFSET($H$3,0,0,'Données projet'!$E$9+1,1))</f>
        <v>239.16843440041487</v>
      </c>
      <c r="T118" s="62">
        <f t="shared" si="88"/>
        <v>241.82319822554194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0.44992284004377342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0.44992284004377342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-3.4106051316484809E-13</v>
      </c>
      <c r="AJ118" s="14">
        <f>AI118*VLOOKUP('Données projet'!$B$10,Paramètres!$A$1:$I$89,3,0)*VLOOKUP('Données projet'!$B$10,Paramètres!$A$1:$I$89,5,0)</f>
        <v>-2.5006556825246659E-13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376.5422416541544</v>
      </c>
      <c r="AO118" s="62">
        <f t="shared" si="90"/>
        <v>365.76175372075869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1.4311807525491747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1.4311807525491747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405.13433810198853</v>
      </c>
      <c r="BJ118" s="62">
        <f t="shared" si="92"/>
        <v>534.74398214162079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1.5341048211013126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6.1818549928260076E-12</v>
      </c>
      <c r="BS118" s="24">
        <f t="shared" si="63"/>
        <v>1.5341048211074946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330</v>
      </c>
      <c r="BW118" s="13">
        <f>VLOOKUP(A118,'Données projet'!$A$113:$I$133,9,0)</f>
        <v>4.5999999999999996</v>
      </c>
      <c r="BX118" s="13">
        <f t="array" ref="BX118">INDEX(BW:BW,MIN(IF(ISNUMBER(BW118:BW314),ROW(BW118:BW314),"")))</f>
        <v>4.5999999999999996</v>
      </c>
      <c r="BY118" s="13">
        <f>IF('Données projet'!$A$114&gt;35,BY117+BX118-CG117,IF(A118&lt;'Données projet'!$A$114,$BV$205^A118,IF(A118='Données projet'!$A$114,'Données projet'!$B$114,BY117+BX118-CG117)))</f>
        <v>330</v>
      </c>
      <c r="BZ118" s="14">
        <f>BY118*VLOOKUP('Données projet'!$B$12,Paramètres!$A$1:$I$89,3,0)*VLOOKUP('Données projet'!$B$12,Paramètres!$A$1:$I$89,5,0)</f>
        <v>277.99200000000002</v>
      </c>
      <c r="CA118" s="14">
        <f t="shared" si="93"/>
        <v>66.542483170264177</v>
      </c>
      <c r="CB118" s="22">
        <f t="shared" si="64"/>
        <v>600.06422485487678</v>
      </c>
      <c r="CC118" s="62">
        <f t="shared" si="65"/>
        <v>893.39755818821004</v>
      </c>
      <c r="CD118" s="62">
        <f ca="1">AVERAGE(OFFSET($CC$3,0,0,'Données projet'!$E$12+1,1))-AVERAGE(OFFSET($H$3,0,0,'Données projet'!$E$12+1,1))</f>
        <v>411.60020200960821</v>
      </c>
      <c r="CE118" s="62">
        <f t="shared" si="94"/>
        <v>261.95434270986397</v>
      </c>
      <c r="CF118" s="16">
        <f>IF(ISNA(VLOOKUP(A118,'Données projet'!$A$113:$I$133,3,0)),0,VLOOKUP(A118,'Données projet'!$A$113:$I$133,3,0))</f>
        <v>20</v>
      </c>
      <c r="CG118" s="16">
        <f>IF(ISNA(VLOOKUP(A118,'Données projet'!$A$113:$I$133,4,0)),0,VLOOKUP(A118,'Données projet'!$A$113:$I$133,4,0))</f>
        <v>330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261.00000000000017</v>
      </c>
      <c r="CU118" s="18">
        <f>CT118*VLOOKUP('Données projet'!$B$13,Paramètres!$A$1:$I$89,3,0)*VLOOKUP('Données projet'!$B$13,Paramètres!$A$1:$I$89,5,0)</f>
        <v>211.72320000000013</v>
      </c>
      <c r="CV118" s="14">
        <f t="shared" si="95"/>
        <v>52.311968964212078</v>
      </c>
      <c r="CW118" s="22">
        <f t="shared" si="67"/>
        <v>459.8612526126696</v>
      </c>
      <c r="CX118" s="62">
        <f t="shared" si="68"/>
        <v>753.19458594600292</v>
      </c>
      <c r="CY118" s="62">
        <f ca="1">AVERAGE(OFFSET($CX$3,0,0,'Données projet'!$E$13+1,1))-AVERAGE(OFFSET($H$3,0,0,'Données projet'!$E$13+1,1))</f>
        <v>293.51866463276224</v>
      </c>
      <c r="CZ118" s="62">
        <f t="shared" si="96"/>
        <v>232.78663842203713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1.7053025658242404E-13</v>
      </c>
      <c r="O119" s="14">
        <f>N119*VLOOKUP('Données projet'!$B$9,Paramètres!$A$1:$I$89,3,0)*VLOOKUP('Données projet'!$B$9,Paramètres!$A$1:$I$89,5,0)</f>
        <v>1.4897523215040567E-13</v>
      </c>
      <c r="P119" s="14">
        <f t="shared" si="87"/>
        <v>2.136562777003313E-12</v>
      </c>
      <c r="Q119" s="22">
        <f t="shared" si="107"/>
        <v>3.9806453659427267E-12</v>
      </c>
      <c r="R119" s="62">
        <f t="shared" si="55"/>
        <v>293.33333333333729</v>
      </c>
      <c r="S119" s="62">
        <f ca="1">AVERAGE(OFFSET($R$3,0,0,'Données projet'!$E$9+1,1))-AVERAGE(OFFSET($H$3,0,0,'Données projet'!$E$9+1,1))</f>
        <v>239.16843440041487</v>
      </c>
      <c r="T119" s="62">
        <f t="shared" si="88"/>
        <v>241.82319822554194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0.43761967632236259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0.43761967632236259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-3.4106051316484809E-13</v>
      </c>
      <c r="AJ119" s="14">
        <f>AI119*VLOOKUP('Données projet'!$B$10,Paramètres!$A$1:$I$89,3,0)*VLOOKUP('Données projet'!$B$10,Paramètres!$A$1:$I$89,5,0)</f>
        <v>-2.5006556825246659E-13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376.5422416541544</v>
      </c>
      <c r="AO119" s="62">
        <f t="shared" si="90"/>
        <v>365.76175372075869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1.4031161709257494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1.4031161709257494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405.13433810198853</v>
      </c>
      <c r="BJ119" s="62">
        <f t="shared" si="92"/>
        <v>534.74398214162079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1.504021961271063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4.371231585739186E-12</v>
      </c>
      <c r="BS119" s="24">
        <f t="shared" si="63"/>
        <v>1.5040219612754342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411.60020200960821</v>
      </c>
      <c r="CE119" s="62">
        <f t="shared" si="94"/>
        <v>261.95434270986397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261.00000000000017</v>
      </c>
      <c r="CU119" s="18">
        <f>CT119*VLOOKUP('Données projet'!$B$13,Paramètres!$A$1:$I$89,3,0)*VLOOKUP('Données projet'!$B$13,Paramètres!$A$1:$I$89,5,0)</f>
        <v>211.72320000000013</v>
      </c>
      <c r="CV119" s="14">
        <f t="shared" si="95"/>
        <v>52.311968964212078</v>
      </c>
      <c r="CW119" s="22">
        <f t="shared" si="67"/>
        <v>459.8612526126696</v>
      </c>
      <c r="CX119" s="62">
        <f t="shared" si="68"/>
        <v>753.19458594600292</v>
      </c>
      <c r="CY119" s="62">
        <f ca="1">AVERAGE(OFFSET($CX$3,0,0,'Données projet'!$E$13+1,1))-AVERAGE(OFFSET($H$3,0,0,'Données projet'!$E$13+1,1))</f>
        <v>293.51866463276224</v>
      </c>
      <c r="CZ119" s="62">
        <f t="shared" si="96"/>
        <v>232.78663842203713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1.7053025658242404E-13</v>
      </c>
      <c r="O120" s="14">
        <f>N120*VLOOKUP('Données projet'!$B$9,Paramètres!$A$1:$I$89,3,0)*VLOOKUP('Données projet'!$B$9,Paramètres!$A$1:$I$89,5,0)</f>
        <v>1.4897523215040567E-13</v>
      </c>
      <c r="P120" s="14">
        <f t="shared" si="87"/>
        <v>2.136562777003313E-12</v>
      </c>
      <c r="Q120" s="22">
        <f t="shared" si="107"/>
        <v>3.9806453659427267E-12</v>
      </c>
      <c r="R120" s="62">
        <f t="shared" si="55"/>
        <v>293.33333333333729</v>
      </c>
      <c r="S120" s="62">
        <f ca="1">AVERAGE(OFFSET($R$3,0,0,'Données projet'!$E$9+1,1))-AVERAGE(OFFSET($H$3,0,0,'Données projet'!$E$9+1,1))</f>
        <v>239.16843440041487</v>
      </c>
      <c r="T120" s="62">
        <f t="shared" si="88"/>
        <v>241.82319822554194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0.42565294325990899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0.42565294325990899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-3.4106051316484809E-13</v>
      </c>
      <c r="AJ120" s="14">
        <f>AI120*VLOOKUP('Données projet'!$B$10,Paramètres!$A$1:$I$89,3,0)*VLOOKUP('Données projet'!$B$10,Paramètres!$A$1:$I$89,5,0)</f>
        <v>-2.5006556825246659E-13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376.5422416541544</v>
      </c>
      <c r="AO120" s="62">
        <f t="shared" si="90"/>
        <v>365.76175372075869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1.3756019186302548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1.3756019186302548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405.13433810198853</v>
      </c>
      <c r="BJ120" s="62">
        <f t="shared" si="92"/>
        <v>534.74398214162079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1.4745290079733517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3.0909274964130038E-12</v>
      </c>
      <c r="BS120" s="24">
        <f t="shared" si="63"/>
        <v>1.4745290079764426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411.60020200960821</v>
      </c>
      <c r="CE120" s="62">
        <f t="shared" si="94"/>
        <v>261.95434270986397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261.00000000000017</v>
      </c>
      <c r="CU120" s="18">
        <f>CT120*VLOOKUP('Données projet'!$B$13,Paramètres!$A$1:$I$89,3,0)*VLOOKUP('Données projet'!$B$13,Paramètres!$A$1:$I$89,5,0)</f>
        <v>211.72320000000013</v>
      </c>
      <c r="CV120" s="14">
        <f t="shared" si="95"/>
        <v>52.311968964212078</v>
      </c>
      <c r="CW120" s="22">
        <f t="shared" si="67"/>
        <v>459.8612526126696</v>
      </c>
      <c r="CX120" s="62">
        <f t="shared" si="68"/>
        <v>753.19458594600292</v>
      </c>
      <c r="CY120" s="62">
        <f ca="1">AVERAGE(OFFSET($CX$3,0,0,'Données projet'!$E$13+1,1))-AVERAGE(OFFSET($H$3,0,0,'Données projet'!$E$13+1,1))</f>
        <v>293.51866463276224</v>
      </c>
      <c r="CZ120" s="62">
        <f t="shared" si="96"/>
        <v>232.78663842203713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1.7053025658242404E-13</v>
      </c>
      <c r="O121" s="14">
        <f>N121*VLOOKUP('Données projet'!$B$9,Paramètres!$A$1:$I$89,3,0)*VLOOKUP('Données projet'!$B$9,Paramètres!$A$1:$I$89,5,0)</f>
        <v>1.4897523215040567E-13</v>
      </c>
      <c r="P121" s="14">
        <f t="shared" si="87"/>
        <v>2.136562777003313E-12</v>
      </c>
      <c r="Q121" s="22">
        <f t="shared" si="107"/>
        <v>3.9806453659427267E-12</v>
      </c>
      <c r="R121" s="62">
        <f t="shared" si="55"/>
        <v>293.33333333333729</v>
      </c>
      <c r="S121" s="62">
        <f ca="1">AVERAGE(OFFSET($R$3,0,0,'Données projet'!$E$9+1,1))-AVERAGE(OFFSET($H$3,0,0,'Données projet'!$E$9+1,1))</f>
        <v>239.16843440041487</v>
      </c>
      <c r="T121" s="62">
        <f t="shared" si="88"/>
        <v>241.82319822554194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0.41401344114235133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0.41401344114235133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-3.4106051316484809E-13</v>
      </c>
      <c r="AJ121" s="14">
        <f>AI121*VLOOKUP('Données projet'!$B$10,Paramètres!$A$1:$I$89,3,0)*VLOOKUP('Données projet'!$B$10,Paramètres!$A$1:$I$89,5,0)</f>
        <v>-2.5006556825246659E-13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376.5422416541544</v>
      </c>
      <c r="AO121" s="62">
        <f t="shared" si="90"/>
        <v>365.76175372075869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1.3486272040402381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1.3486272040402381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405.13433810198853</v>
      </c>
      <c r="BJ121" s="62">
        <f t="shared" si="92"/>
        <v>534.74398214162079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1.4456143935008834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2.185615792869593E-12</v>
      </c>
      <c r="BS121" s="24">
        <f t="shared" si="63"/>
        <v>1.445614393503069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411.60020200960821</v>
      </c>
      <c r="CE121" s="62">
        <f t="shared" si="94"/>
        <v>261.95434270986397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261.00000000000017</v>
      </c>
      <c r="CU121" s="18">
        <f>CT121*VLOOKUP('Données projet'!$B$13,Paramètres!$A$1:$I$89,3,0)*VLOOKUP('Données projet'!$B$13,Paramètres!$A$1:$I$89,5,0)</f>
        <v>211.72320000000013</v>
      </c>
      <c r="CV121" s="14">
        <f t="shared" si="95"/>
        <v>52.311968964212078</v>
      </c>
      <c r="CW121" s="22">
        <f t="shared" si="67"/>
        <v>459.8612526126696</v>
      </c>
      <c r="CX121" s="62">
        <f t="shared" si="68"/>
        <v>753.19458594600292</v>
      </c>
      <c r="CY121" s="62">
        <f ca="1">AVERAGE(OFFSET($CX$3,0,0,'Données projet'!$E$13+1,1))-AVERAGE(OFFSET($H$3,0,0,'Données projet'!$E$13+1,1))</f>
        <v>293.51866463276224</v>
      </c>
      <c r="CZ121" s="62">
        <f t="shared" si="96"/>
        <v>232.78663842203713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1.7053025658242404E-13</v>
      </c>
      <c r="O122" s="14">
        <f>N122*VLOOKUP('Données projet'!$B$9,Paramètres!$A$1:$I$89,3,0)*VLOOKUP('Données projet'!$B$9,Paramètres!$A$1:$I$89,5,0)</f>
        <v>1.4897523215040567E-13</v>
      </c>
      <c r="P122" s="14">
        <f t="shared" si="87"/>
        <v>2.136562777003313E-12</v>
      </c>
      <c r="Q122" s="22">
        <f t="shared" si="107"/>
        <v>3.9806453659427267E-12</v>
      </c>
      <c r="R122" s="62">
        <f t="shared" si="55"/>
        <v>293.33333333333729</v>
      </c>
      <c r="S122" s="62">
        <f ca="1">AVERAGE(OFFSET($R$3,0,0,'Données projet'!$E$9+1,1))-AVERAGE(OFFSET($H$3,0,0,'Données projet'!$E$9+1,1))</f>
        <v>239.16843440041487</v>
      </c>
      <c r="T122" s="62">
        <f t="shared" si="88"/>
        <v>241.82319822554194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0.40269222182229308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0.40269222182229308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-3.4106051316484809E-13</v>
      </c>
      <c r="AJ122" s="14">
        <f>AI122*VLOOKUP('Données projet'!$B$10,Paramètres!$A$1:$I$89,3,0)*VLOOKUP('Données projet'!$B$10,Paramètres!$A$1:$I$89,5,0)</f>
        <v>-2.5006556825246659E-13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376.5422416541544</v>
      </c>
      <c r="AO122" s="62">
        <f t="shared" si="90"/>
        <v>365.76175372075869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1.3221814471503803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1.3221814471503803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405.13433810198853</v>
      </c>
      <c r="BJ122" s="62">
        <f t="shared" si="92"/>
        <v>534.74398214162079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1.4172667769820468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1.5454637482065019E-12</v>
      </c>
      <c r="BS122" s="24">
        <f t="shared" si="63"/>
        <v>1.4172667769835923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411.60020200960821</v>
      </c>
      <c r="CE122" s="62">
        <f t="shared" si="94"/>
        <v>261.95434270986397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261.00000000000017</v>
      </c>
      <c r="CU122" s="18">
        <f>CT122*VLOOKUP('Données projet'!$B$13,Paramètres!$A$1:$I$89,3,0)*VLOOKUP('Données projet'!$B$13,Paramètres!$A$1:$I$89,5,0)</f>
        <v>211.72320000000013</v>
      </c>
      <c r="CV122" s="14">
        <f t="shared" si="95"/>
        <v>52.311968964212078</v>
      </c>
      <c r="CW122" s="22">
        <f t="shared" si="67"/>
        <v>459.8612526126696</v>
      </c>
      <c r="CX122" s="62">
        <f t="shared" si="68"/>
        <v>753.19458594600292</v>
      </c>
      <c r="CY122" s="62">
        <f ca="1">AVERAGE(OFFSET($CX$3,0,0,'Données projet'!$E$13+1,1))-AVERAGE(OFFSET($H$3,0,0,'Données projet'!$E$13+1,1))</f>
        <v>293.51866463276224</v>
      </c>
      <c r="CZ122" s="62">
        <f t="shared" si="96"/>
        <v>232.78663842203713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1.7053025658242404E-13</v>
      </c>
      <c r="O123" s="14">
        <f>N123*VLOOKUP('Données projet'!$B$9,Paramètres!$A$1:$I$89,3,0)*VLOOKUP('Données projet'!$B$9,Paramètres!$A$1:$I$89,5,0)</f>
        <v>1.4897523215040567E-13</v>
      </c>
      <c r="P123" s="14">
        <f t="shared" si="87"/>
        <v>2.136562777003313E-12</v>
      </c>
      <c r="Q123" s="22">
        <f t="shared" si="107"/>
        <v>3.9806453659427267E-12</v>
      </c>
      <c r="R123" s="62">
        <f t="shared" si="55"/>
        <v>293.33333333333729</v>
      </c>
      <c r="S123" s="62">
        <f ca="1">AVERAGE(OFFSET($R$3,0,0,'Données projet'!$E$9+1,1))-AVERAGE(OFFSET($H$3,0,0,'Données projet'!$E$9+1,1))</f>
        <v>239.16843440041487</v>
      </c>
      <c r="T123" s="62">
        <f t="shared" si="88"/>
        <v>241.82319822554194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0.3916805818398989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0.3916805818398989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-3.4106051316484809E-13</v>
      </c>
      <c r="AJ123" s="14">
        <f>AI123*VLOOKUP('Données projet'!$B$10,Paramètres!$A$1:$I$89,3,0)*VLOOKUP('Données projet'!$B$10,Paramètres!$A$1:$I$89,5,0)</f>
        <v>-2.5006556825246659E-13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376.5422416541544</v>
      </c>
      <c r="AO123" s="62">
        <f t="shared" si="90"/>
        <v>365.76175372075869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1.2962542754228137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1.2962542754228137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405.13433810198853</v>
      </c>
      <c r="BJ123" s="62">
        <f t="shared" si="92"/>
        <v>534.74398214162079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1.3894750399328057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1.0928078964347965E-12</v>
      </c>
      <c r="BS123" s="24">
        <f t="shared" si="63"/>
        <v>1.3894750399338986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411.60020200960821</v>
      </c>
      <c r="CE123" s="62">
        <f t="shared" si="94"/>
        <v>261.95434270986397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261.00000000000017</v>
      </c>
      <c r="CU123" s="18">
        <f>CT123*VLOOKUP('Données projet'!$B$13,Paramètres!$A$1:$I$89,3,0)*VLOOKUP('Données projet'!$B$13,Paramètres!$A$1:$I$89,5,0)</f>
        <v>211.72320000000013</v>
      </c>
      <c r="CV123" s="14">
        <f t="shared" si="95"/>
        <v>52.311968964212078</v>
      </c>
      <c r="CW123" s="22">
        <f t="shared" si="67"/>
        <v>459.8612526126696</v>
      </c>
      <c r="CX123" s="62">
        <f t="shared" si="68"/>
        <v>753.19458594600292</v>
      </c>
      <c r="CY123" s="62">
        <f ca="1">AVERAGE(OFFSET($CX$3,0,0,'Données projet'!$E$13+1,1))-AVERAGE(OFFSET($H$3,0,0,'Données projet'!$E$13+1,1))</f>
        <v>293.51866463276224</v>
      </c>
      <c r="CZ123" s="62">
        <f t="shared" si="96"/>
        <v>232.78663842203713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1.7053025658242404E-13</v>
      </c>
      <c r="O124" s="14">
        <f>N124*VLOOKUP('Données projet'!$B$9,Paramètres!$A$1:$I$89,3,0)*VLOOKUP('Données projet'!$B$9,Paramètres!$A$1:$I$89,5,0)</f>
        <v>1.4897523215040567E-13</v>
      </c>
      <c r="P124" s="14">
        <f t="shared" si="87"/>
        <v>2.136562777003313E-12</v>
      </c>
      <c r="Q124" s="22">
        <f t="shared" si="107"/>
        <v>3.9806453659427267E-12</v>
      </c>
      <c r="R124" s="62">
        <f t="shared" si="55"/>
        <v>293.33333333333729</v>
      </c>
      <c r="S124" s="62">
        <f ca="1">AVERAGE(OFFSET($R$3,0,0,'Données projet'!$E$9+1,1))-AVERAGE(OFFSET($H$3,0,0,'Données projet'!$E$9+1,1))</f>
        <v>239.16843440041487</v>
      </c>
      <c r="T124" s="62">
        <f t="shared" si="88"/>
        <v>241.82319822554194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0.38097005573190024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0.38097005573190024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-3.4106051316484809E-13</v>
      </c>
      <c r="AJ124" s="14">
        <f>AI124*VLOOKUP('Données projet'!$B$10,Paramètres!$A$1:$I$89,3,0)*VLOOKUP('Données projet'!$B$10,Paramètres!$A$1:$I$89,5,0)</f>
        <v>-2.5006556825246659E-13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376.5422416541544</v>
      </c>
      <c r="AO124" s="62">
        <f t="shared" si="90"/>
        <v>365.76175372075869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1.2708355197188115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1.2708355197188115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405.13433810198853</v>
      </c>
      <c r="BJ124" s="62">
        <f t="shared" si="92"/>
        <v>534.74398214162079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1.3622282818958145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7.7273187410325095E-13</v>
      </c>
      <c r="BS124" s="24">
        <f t="shared" si="63"/>
        <v>1.3622282818965872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411.60020200960821</v>
      </c>
      <c r="CE124" s="62">
        <f t="shared" si="94"/>
        <v>261.95434270986397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261.00000000000017</v>
      </c>
      <c r="CU124" s="18">
        <f>CT124*VLOOKUP('Données projet'!$B$13,Paramètres!$A$1:$I$89,3,0)*VLOOKUP('Données projet'!$B$13,Paramètres!$A$1:$I$89,5,0)</f>
        <v>211.72320000000013</v>
      </c>
      <c r="CV124" s="14">
        <f t="shared" si="95"/>
        <v>52.311968964212078</v>
      </c>
      <c r="CW124" s="22">
        <f t="shared" si="67"/>
        <v>459.8612526126696</v>
      </c>
      <c r="CX124" s="62">
        <f t="shared" si="68"/>
        <v>753.19458594600292</v>
      </c>
      <c r="CY124" s="62">
        <f ca="1">AVERAGE(OFFSET($CX$3,0,0,'Données projet'!$E$13+1,1))-AVERAGE(OFFSET($H$3,0,0,'Données projet'!$E$13+1,1))</f>
        <v>293.51866463276224</v>
      </c>
      <c r="CZ124" s="62">
        <f t="shared" si="96"/>
        <v>232.78663842203713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1.7053025658242404E-13</v>
      </c>
      <c r="O125" s="14">
        <f>N125*VLOOKUP('Données projet'!$B$9,Paramètres!$A$1:$I$89,3,0)*VLOOKUP('Données projet'!$B$9,Paramètres!$A$1:$I$89,5,0)</f>
        <v>1.4897523215040567E-13</v>
      </c>
      <c r="P125" s="14">
        <f t="shared" si="87"/>
        <v>2.136562777003313E-12</v>
      </c>
      <c r="Q125" s="22">
        <f t="shared" si="107"/>
        <v>3.9806453659427267E-12</v>
      </c>
      <c r="R125" s="62">
        <f t="shared" si="55"/>
        <v>293.33333333333729</v>
      </c>
      <c r="S125" s="62">
        <f ca="1">AVERAGE(OFFSET($R$3,0,0,'Données projet'!$E$9+1,1))-AVERAGE(OFFSET($H$3,0,0,'Données projet'!$E$9+1,1))</f>
        <v>239.16843440041487</v>
      </c>
      <c r="T125" s="62">
        <f t="shared" si="88"/>
        <v>241.82319822554194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0.37055240952356694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0.37055240952356694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-3.4106051316484809E-13</v>
      </c>
      <c r="AJ125" s="14">
        <f>AI125*VLOOKUP('Données projet'!$B$10,Paramètres!$A$1:$I$89,3,0)*VLOOKUP('Données projet'!$B$10,Paramètres!$A$1:$I$89,5,0)</f>
        <v>-2.5006556825246659E-13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376.5422416541544</v>
      </c>
      <c r="AO125" s="62">
        <f t="shared" si="90"/>
        <v>365.76175372075869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1.2459152103102547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1.2459152103102547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405.13433810198853</v>
      </c>
      <c r="BJ125" s="62">
        <f t="shared" si="92"/>
        <v>534.74398214162079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1.3355158161650471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5.4640394821739825E-13</v>
      </c>
      <c r="BS125" s="24">
        <f t="shared" si="63"/>
        <v>1.3355158161655936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411.60020200960821</v>
      </c>
      <c r="CE125" s="62">
        <f t="shared" si="94"/>
        <v>261.95434270986397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261.00000000000017</v>
      </c>
      <c r="CU125" s="18">
        <f>CT125*VLOOKUP('Données projet'!$B$13,Paramètres!$A$1:$I$89,3,0)*VLOOKUP('Données projet'!$B$13,Paramètres!$A$1:$I$89,5,0)</f>
        <v>211.72320000000013</v>
      </c>
      <c r="CV125" s="14">
        <f t="shared" si="95"/>
        <v>52.311968964212078</v>
      </c>
      <c r="CW125" s="22">
        <f t="shared" si="67"/>
        <v>459.8612526126696</v>
      </c>
      <c r="CX125" s="62">
        <f t="shared" si="68"/>
        <v>753.19458594600292</v>
      </c>
      <c r="CY125" s="62">
        <f ca="1">AVERAGE(OFFSET($CX$3,0,0,'Données projet'!$E$13+1,1))-AVERAGE(OFFSET($H$3,0,0,'Données projet'!$E$13+1,1))</f>
        <v>293.51866463276224</v>
      </c>
      <c r="CZ125" s="62">
        <f t="shared" si="96"/>
        <v>232.78663842203713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1.7053025658242404E-13</v>
      </c>
      <c r="O126" s="14">
        <f>N126*VLOOKUP('Données projet'!$B$9,Paramètres!$A$1:$I$89,3,0)*VLOOKUP('Données projet'!$B$9,Paramètres!$A$1:$I$89,5,0)</f>
        <v>1.4897523215040567E-13</v>
      </c>
      <c r="P126" s="14">
        <f t="shared" si="87"/>
        <v>2.136562777003313E-12</v>
      </c>
      <c r="Q126" s="22">
        <f t="shared" si="107"/>
        <v>3.9806453659427267E-12</v>
      </c>
      <c r="R126" s="62">
        <f t="shared" si="55"/>
        <v>293.33333333333729</v>
      </c>
      <c r="S126" s="62">
        <f ca="1">AVERAGE(OFFSET($R$3,0,0,'Données projet'!$E$9+1,1))-AVERAGE(OFFSET($H$3,0,0,'Données projet'!$E$9+1,1))</f>
        <v>239.16843440041487</v>
      </c>
      <c r="T126" s="62">
        <f t="shared" si="88"/>
        <v>241.82319822554194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0.36041963439864072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0.36041963439864072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-3.4106051316484809E-13</v>
      </c>
      <c r="AJ126" s="14">
        <f>AI126*VLOOKUP('Données projet'!$B$10,Paramètres!$A$1:$I$89,3,0)*VLOOKUP('Données projet'!$B$10,Paramètres!$A$1:$I$89,5,0)</f>
        <v>-2.5006556825246659E-13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376.5422416541544</v>
      </c>
      <c r="AO126" s="62">
        <f t="shared" si="90"/>
        <v>365.76175372075869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1.2214835729693116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1.2214835729693116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405.13433810198853</v>
      </c>
      <c r="BJ126" s="62">
        <f t="shared" si="92"/>
        <v>534.74398214162079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1.3093271655942649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3.8636593705162547E-13</v>
      </c>
      <c r="BS126" s="24">
        <f t="shared" si="63"/>
        <v>1.3093271655946512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411.60020200960821</v>
      </c>
      <c r="CE126" s="62">
        <f t="shared" si="94"/>
        <v>261.95434270986397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261.00000000000017</v>
      </c>
      <c r="CU126" s="18">
        <f>CT126*VLOOKUP('Données projet'!$B$13,Paramètres!$A$1:$I$89,3,0)*VLOOKUP('Données projet'!$B$13,Paramètres!$A$1:$I$89,5,0)</f>
        <v>211.72320000000013</v>
      </c>
      <c r="CV126" s="14">
        <f t="shared" si="95"/>
        <v>52.311968964212078</v>
      </c>
      <c r="CW126" s="22">
        <f t="shared" si="67"/>
        <v>459.8612526126696</v>
      </c>
      <c r="CX126" s="62">
        <f t="shared" si="68"/>
        <v>753.19458594600292</v>
      </c>
      <c r="CY126" s="62">
        <f ca="1">AVERAGE(OFFSET($CX$3,0,0,'Données projet'!$E$13+1,1))-AVERAGE(OFFSET($H$3,0,0,'Données projet'!$E$13+1,1))</f>
        <v>293.51866463276224</v>
      </c>
      <c r="CZ126" s="62">
        <f t="shared" si="96"/>
        <v>232.78663842203713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1.7053025658242404E-13</v>
      </c>
      <c r="O127" s="14">
        <f>N127*VLOOKUP('Données projet'!$B$9,Paramètres!$A$1:$I$89,3,0)*VLOOKUP('Données projet'!$B$9,Paramètres!$A$1:$I$89,5,0)</f>
        <v>1.4897523215040567E-13</v>
      </c>
      <c r="P127" s="14">
        <f t="shared" si="87"/>
        <v>2.136562777003313E-12</v>
      </c>
      <c r="Q127" s="22">
        <f t="shared" si="107"/>
        <v>3.9806453659427267E-12</v>
      </c>
      <c r="R127" s="62">
        <f t="shared" si="55"/>
        <v>293.33333333333729</v>
      </c>
      <c r="S127" s="62">
        <f ca="1">AVERAGE(OFFSET($R$3,0,0,'Données projet'!$E$9+1,1))-AVERAGE(OFFSET($H$3,0,0,'Données projet'!$E$9+1,1))</f>
        <v>239.16843440041487</v>
      </c>
      <c r="T127" s="62">
        <f t="shared" si="88"/>
        <v>241.82319822554194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0.35056394054236506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0.35056394054236506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-3.4106051316484809E-13</v>
      </c>
      <c r="AJ127" s="14">
        <f>AI127*VLOOKUP('Données projet'!$B$10,Paramètres!$A$1:$I$89,3,0)*VLOOKUP('Données projet'!$B$10,Paramètres!$A$1:$I$89,5,0)</f>
        <v>-2.5006556825246659E-13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376.5422416541544</v>
      </c>
      <c r="AO127" s="62">
        <f t="shared" si="90"/>
        <v>365.76175372075869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1.1975310251347973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1.1975310251347973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405.13433810198853</v>
      </c>
      <c r="BJ127" s="62">
        <f t="shared" si="92"/>
        <v>534.74398214162079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1.2836520584876761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2.7320197410869912E-13</v>
      </c>
      <c r="BS127" s="24">
        <f t="shared" si="63"/>
        <v>1.2836520584879492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411.60020200960821</v>
      </c>
      <c r="CE127" s="62">
        <f t="shared" si="94"/>
        <v>261.95434270986397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261.00000000000017</v>
      </c>
      <c r="CU127" s="18">
        <f>CT127*VLOOKUP('Données projet'!$B$13,Paramètres!$A$1:$I$89,3,0)*VLOOKUP('Données projet'!$B$13,Paramètres!$A$1:$I$89,5,0)</f>
        <v>211.72320000000013</v>
      </c>
      <c r="CV127" s="14">
        <f t="shared" si="95"/>
        <v>52.311968964212078</v>
      </c>
      <c r="CW127" s="22">
        <f t="shared" si="67"/>
        <v>459.8612526126696</v>
      </c>
      <c r="CX127" s="62">
        <f t="shared" si="68"/>
        <v>753.19458594600292</v>
      </c>
      <c r="CY127" s="62">
        <f ca="1">AVERAGE(OFFSET($CX$3,0,0,'Données projet'!$E$13+1,1))-AVERAGE(OFFSET($H$3,0,0,'Données projet'!$E$13+1,1))</f>
        <v>293.51866463276224</v>
      </c>
      <c r="CZ127" s="62">
        <f t="shared" si="96"/>
        <v>232.78663842203713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1.7053025658242404E-13</v>
      </c>
      <c r="O128" s="14">
        <f>N128*VLOOKUP('Données projet'!$B$9,Paramètres!$A$1:$I$89,3,0)*VLOOKUP('Données projet'!$B$9,Paramètres!$A$1:$I$89,5,0)</f>
        <v>1.4897523215040567E-13</v>
      </c>
      <c r="P128" s="14">
        <f t="shared" si="87"/>
        <v>2.136562777003313E-12</v>
      </c>
      <c r="Q128" s="22">
        <f t="shared" si="107"/>
        <v>3.9806453659427267E-12</v>
      </c>
      <c r="R128" s="62">
        <f t="shared" si="55"/>
        <v>293.33333333333729</v>
      </c>
      <c r="S128" s="62">
        <f ca="1">AVERAGE(OFFSET($R$3,0,0,'Données projet'!$E$9+1,1))-AVERAGE(OFFSET($H$3,0,0,'Données projet'!$E$9+1,1))</f>
        <v>239.16843440041487</v>
      </c>
      <c r="T128" s="62">
        <f t="shared" si="88"/>
        <v>241.82319822554194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0.34097775115287771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0.34097775115287771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-3.4106051316484809E-13</v>
      </c>
      <c r="AJ128" s="14">
        <f>AI128*VLOOKUP('Données projet'!$B$10,Paramètres!$A$1:$I$89,3,0)*VLOOKUP('Données projet'!$B$10,Paramètres!$A$1:$I$89,5,0)</f>
        <v>-2.5006556825246659E-13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376.5422416541544</v>
      </c>
      <c r="AO128" s="62">
        <f t="shared" si="90"/>
        <v>365.76175372075869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1.1740481721537062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1.1740481721537062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405.13433810198853</v>
      </c>
      <c r="BJ128" s="62">
        <f t="shared" si="92"/>
        <v>534.74398214162079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1.2584804245711785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1.9318296852581274E-13</v>
      </c>
      <c r="BS128" s="24">
        <f t="shared" si="63"/>
        <v>1.2584804245713717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411.60020200960821</v>
      </c>
      <c r="CE128" s="62">
        <f t="shared" si="94"/>
        <v>261.95434270986397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261.00000000000017</v>
      </c>
      <c r="CU128" s="18">
        <f>CT128*VLOOKUP('Données projet'!$B$13,Paramètres!$A$1:$I$89,3,0)*VLOOKUP('Données projet'!$B$13,Paramètres!$A$1:$I$89,5,0)</f>
        <v>211.72320000000013</v>
      </c>
      <c r="CV128" s="14">
        <f t="shared" si="95"/>
        <v>52.311968964212078</v>
      </c>
      <c r="CW128" s="22">
        <f t="shared" si="67"/>
        <v>459.8612526126696</v>
      </c>
      <c r="CX128" s="62">
        <f t="shared" si="68"/>
        <v>753.19458594600292</v>
      </c>
      <c r="CY128" s="62">
        <f ca="1">AVERAGE(OFFSET($CX$3,0,0,'Données projet'!$E$13+1,1))-AVERAGE(OFFSET($H$3,0,0,'Données projet'!$E$13+1,1))</f>
        <v>293.51866463276224</v>
      </c>
      <c r="CZ128" s="62">
        <f t="shared" si="96"/>
        <v>232.78663842203713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1.7053025658242404E-13</v>
      </c>
      <c r="O129" s="14">
        <f>N129*VLOOKUP('Données projet'!$B$9,Paramètres!$A$1:$I$89,3,0)*VLOOKUP('Données projet'!$B$9,Paramètres!$A$1:$I$89,5,0)</f>
        <v>1.4897523215040567E-13</v>
      </c>
      <c r="P129" s="14">
        <f t="shared" si="87"/>
        <v>2.136562777003313E-12</v>
      </c>
      <c r="Q129" s="22">
        <f t="shared" si="107"/>
        <v>3.9806453659427267E-12</v>
      </c>
      <c r="R129" s="62">
        <f t="shared" si="55"/>
        <v>293.33333333333729</v>
      </c>
      <c r="S129" s="62">
        <f ca="1">AVERAGE(OFFSET($R$3,0,0,'Données projet'!$E$9+1,1))-AVERAGE(OFFSET($H$3,0,0,'Données projet'!$E$9+1,1))</f>
        <v>239.16843440041487</v>
      </c>
      <c r="T129" s="62">
        <f t="shared" si="88"/>
        <v>241.82319822554194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0.33165369661636163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0.33165369661636163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-3.4106051316484809E-13</v>
      </c>
      <c r="AJ129" s="14">
        <f>AI129*VLOOKUP('Données projet'!$B$10,Paramètres!$A$1:$I$89,3,0)*VLOOKUP('Données projet'!$B$10,Paramètres!$A$1:$I$89,5,0)</f>
        <v>-2.5006556825246659E-13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376.5422416541544</v>
      </c>
      <c r="AO129" s="62">
        <f t="shared" si="90"/>
        <v>365.76175372075869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1.151025803596448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1.151025803596448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405.13433810198853</v>
      </c>
      <c r="BJ129" s="62">
        <f t="shared" si="92"/>
        <v>534.74398214162079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1.2338023910426028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1.3660098705434956E-13</v>
      </c>
      <c r="BS129" s="24">
        <f t="shared" si="63"/>
        <v>1.2338023910427394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411.60020200960821</v>
      </c>
      <c r="CE129" s="62">
        <f t="shared" si="94"/>
        <v>261.95434270986397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261.00000000000017</v>
      </c>
      <c r="CU129" s="18">
        <f>CT129*VLOOKUP('Données projet'!$B$13,Paramètres!$A$1:$I$89,3,0)*VLOOKUP('Données projet'!$B$13,Paramètres!$A$1:$I$89,5,0)</f>
        <v>211.72320000000013</v>
      </c>
      <c r="CV129" s="14">
        <f t="shared" si="95"/>
        <v>52.311968964212078</v>
      </c>
      <c r="CW129" s="22">
        <f t="shared" si="67"/>
        <v>459.8612526126696</v>
      </c>
      <c r="CX129" s="62">
        <f t="shared" si="68"/>
        <v>753.19458594600292</v>
      </c>
      <c r="CY129" s="62">
        <f ca="1">AVERAGE(OFFSET($CX$3,0,0,'Données projet'!$E$13+1,1))-AVERAGE(OFFSET($H$3,0,0,'Données projet'!$E$13+1,1))</f>
        <v>293.51866463276224</v>
      </c>
      <c r="CZ129" s="62">
        <f t="shared" si="96"/>
        <v>232.78663842203713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1.7053025658242404E-13</v>
      </c>
      <c r="O130" s="14">
        <f>N130*VLOOKUP('Données projet'!$B$9,Paramètres!$A$1:$I$89,3,0)*VLOOKUP('Données projet'!$B$9,Paramètres!$A$1:$I$89,5,0)</f>
        <v>1.4897523215040567E-13</v>
      </c>
      <c r="P130" s="14">
        <f t="shared" si="87"/>
        <v>2.136562777003313E-12</v>
      </c>
      <c r="Q130" s="22">
        <f t="shared" si="107"/>
        <v>3.9806453659427267E-12</v>
      </c>
      <c r="R130" s="62">
        <f t="shared" si="55"/>
        <v>293.33333333333729</v>
      </c>
      <c r="S130" s="62">
        <f ca="1">AVERAGE(OFFSET($R$3,0,0,'Données projet'!$E$9+1,1))-AVERAGE(OFFSET($H$3,0,0,'Données projet'!$E$9+1,1))</f>
        <v>239.16843440041487</v>
      </c>
      <c r="T130" s="62">
        <f t="shared" si="88"/>
        <v>241.82319822554194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0.32258460884147733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0.32258460884147733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-3.4106051316484809E-13</v>
      </c>
      <c r="AJ130" s="14">
        <f>AI130*VLOOKUP('Données projet'!$B$10,Paramètres!$A$1:$I$89,3,0)*VLOOKUP('Données projet'!$B$10,Paramètres!$A$1:$I$89,5,0)</f>
        <v>-2.5006556825246659E-13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376.5422416541544</v>
      </c>
      <c r="AO130" s="62">
        <f t="shared" si="90"/>
        <v>365.76175372075869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1.1284548896443396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1.1284548896443396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405.13433810198853</v>
      </c>
      <c r="BJ130" s="62">
        <f t="shared" si="92"/>
        <v>534.74398214162079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1.2096082786994082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9.6591484262906368E-14</v>
      </c>
      <c r="BS130" s="24">
        <f t="shared" si="63"/>
        <v>1.2096082786995048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411.60020200960821</v>
      </c>
      <c r="CE130" s="62">
        <f t="shared" si="94"/>
        <v>261.95434270986397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261.00000000000017</v>
      </c>
      <c r="CU130" s="18">
        <f>CT130*VLOOKUP('Données projet'!$B$13,Paramètres!$A$1:$I$89,3,0)*VLOOKUP('Données projet'!$B$13,Paramètres!$A$1:$I$89,5,0)</f>
        <v>211.72320000000013</v>
      </c>
      <c r="CV130" s="14">
        <f t="shared" si="95"/>
        <v>52.311968964212078</v>
      </c>
      <c r="CW130" s="22">
        <f t="shared" si="67"/>
        <v>459.8612526126696</v>
      </c>
      <c r="CX130" s="62">
        <f t="shared" si="68"/>
        <v>753.19458594600292</v>
      </c>
      <c r="CY130" s="62">
        <f ca="1">AVERAGE(OFFSET($CX$3,0,0,'Données projet'!$E$13+1,1))-AVERAGE(OFFSET($H$3,0,0,'Données projet'!$E$13+1,1))</f>
        <v>293.51866463276224</v>
      </c>
      <c r="CZ130" s="62">
        <f t="shared" si="96"/>
        <v>232.78663842203713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1.7053025658242404E-13</v>
      </c>
      <c r="O131" s="14">
        <f>N131*VLOOKUP('Données projet'!$B$9,Paramètres!$A$1:$I$89,3,0)*VLOOKUP('Données projet'!$B$9,Paramètres!$A$1:$I$89,5,0)</f>
        <v>1.4897523215040567E-13</v>
      </c>
      <c r="P131" s="14">
        <f t="shared" si="87"/>
        <v>2.136562777003313E-12</v>
      </c>
      <c r="Q131" s="22">
        <f t="shared" ref="Q131:Q153" si="108">(O131+P131)*0.475*44/12</f>
        <v>3.9806453659427267E-12</v>
      </c>
      <c r="R131" s="62">
        <f t="shared" ref="R131:R194" si="109">Q131+(I131+J131)*44/12</f>
        <v>293.33333333333729</v>
      </c>
      <c r="S131" s="62">
        <f ca="1">AVERAGE(OFFSET($R$3,0,0,'Données projet'!$E$9+1,1))-AVERAGE(OFFSET($H$3,0,0,'Données projet'!$E$9+1,1))</f>
        <v>239.16843440041487</v>
      </c>
      <c r="T131" s="62">
        <f t="shared" si="88"/>
        <v>241.82319822554194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0.3137635157487198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0.3137635157487198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-3.4106051316484809E-13</v>
      </c>
      <c r="AJ131" s="14">
        <f>AI131*VLOOKUP('Données projet'!$B$10,Paramètres!$A$1:$I$89,3,0)*VLOOKUP('Données projet'!$B$10,Paramètres!$A$1:$I$89,5,0)</f>
        <v>-2.5006556825246659E-13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376.5422416541544</v>
      </c>
      <c r="AO131" s="62">
        <f t="shared" si="90"/>
        <v>365.76175372075869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1.1063265775479338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1.1063265775479338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405.13433810198853</v>
      </c>
      <c r="BJ131" s="62">
        <f t="shared" si="92"/>
        <v>534.74398214162079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1.1858885981423124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6.8300493527174781E-14</v>
      </c>
      <c r="BS131" s="24">
        <f t="shared" si="63"/>
        <v>1.1858885981423808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411.60020200960821</v>
      </c>
      <c r="CE131" s="62">
        <f t="shared" si="94"/>
        <v>261.95434270986397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261.00000000000017</v>
      </c>
      <c r="CU131" s="18">
        <f>CT131*VLOOKUP('Données projet'!$B$13,Paramètres!$A$1:$I$89,3,0)*VLOOKUP('Données projet'!$B$13,Paramètres!$A$1:$I$89,5,0)</f>
        <v>211.72320000000013</v>
      </c>
      <c r="CV131" s="14">
        <f t="shared" si="95"/>
        <v>52.311968964212078</v>
      </c>
      <c r="CW131" s="22">
        <f t="shared" si="67"/>
        <v>459.8612526126696</v>
      </c>
      <c r="CX131" s="62">
        <f t="shared" si="68"/>
        <v>753.19458594600292</v>
      </c>
      <c r="CY131" s="62">
        <f ca="1">AVERAGE(OFFSET($CX$3,0,0,'Données projet'!$E$13+1,1))-AVERAGE(OFFSET($H$3,0,0,'Données projet'!$E$13+1,1))</f>
        <v>293.51866463276224</v>
      </c>
      <c r="CZ131" s="62">
        <f t="shared" si="96"/>
        <v>232.78663842203713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1.7053025658242404E-13</v>
      </c>
      <c r="O132" s="14">
        <f>N132*VLOOKUP('Données projet'!$B$9,Paramètres!$A$1:$I$89,3,0)*VLOOKUP('Données projet'!$B$9,Paramètres!$A$1:$I$89,5,0)</f>
        <v>1.4897523215040567E-13</v>
      </c>
      <c r="P132" s="14">
        <f t="shared" si="87"/>
        <v>2.136562777003313E-12</v>
      </c>
      <c r="Q132" s="22">
        <f t="shared" si="108"/>
        <v>3.9806453659427267E-12</v>
      </c>
      <c r="R132" s="62">
        <f t="shared" si="109"/>
        <v>293.33333333333729</v>
      </c>
      <c r="S132" s="62">
        <f ca="1">AVERAGE(OFFSET($R$3,0,0,'Données projet'!$E$9+1,1))-AVERAGE(OFFSET($H$3,0,0,'Données projet'!$E$9+1,1))</f>
        <v>239.16843440041487</v>
      </c>
      <c r="T132" s="62">
        <f t="shared" si="88"/>
        <v>241.82319822554194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0.30518363591046488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0.30518363591046488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-3.4106051316484809E-13</v>
      </c>
      <c r="AJ132" s="14">
        <f>AI132*VLOOKUP('Données projet'!$B$10,Paramètres!$A$1:$I$89,3,0)*VLOOKUP('Données projet'!$B$10,Paramètres!$A$1:$I$89,5,0)</f>
        <v>-2.5006556825246659E-13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376.5422416541544</v>
      </c>
      <c r="AO132" s="62">
        <f t="shared" si="90"/>
        <v>365.76175372075869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1.0846321881548009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1.0846321881548009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405.13433810198853</v>
      </c>
      <c r="BJ132" s="62">
        <f t="shared" si="92"/>
        <v>534.74398214162079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1.1626340460533646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4.8295742131453184E-14</v>
      </c>
      <c r="BS132" s="24">
        <f t="shared" ref="BS132:BS153" si="117">SUM(BP132:BR132)</f>
        <v>1.162634046053413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411.60020200960821</v>
      </c>
      <c r="CE132" s="62">
        <f t="shared" si="94"/>
        <v>261.95434270986397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261.00000000000017</v>
      </c>
      <c r="CU132" s="18">
        <f>CT132*VLOOKUP('Données projet'!$B$13,Paramètres!$A$1:$I$89,3,0)*VLOOKUP('Données projet'!$B$13,Paramètres!$A$1:$I$89,5,0)</f>
        <v>211.72320000000013</v>
      </c>
      <c r="CV132" s="14">
        <f t="shared" si="95"/>
        <v>52.311968964212078</v>
      </c>
      <c r="CW132" s="22">
        <f t="shared" ref="CW132:CW153" si="121">(CU132+CV132)*0.475*44/12</f>
        <v>459.8612526126696</v>
      </c>
      <c r="CX132" s="62">
        <f t="shared" ref="CX132:CX195" si="122">CW132+(CO132+CP132)*44/12</f>
        <v>753.19458594600292</v>
      </c>
      <c r="CY132" s="62">
        <f ca="1">AVERAGE(OFFSET($CX$3,0,0,'Données projet'!$E$13+1,1))-AVERAGE(OFFSET($H$3,0,0,'Données projet'!$E$13+1,1))</f>
        <v>293.51866463276224</v>
      </c>
      <c r="CZ132" s="62">
        <f t="shared" si="96"/>
        <v>232.78663842203713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1.7053025658242404E-13</v>
      </c>
      <c r="O133" s="14">
        <f>N133*VLOOKUP('Données projet'!$B$9,Paramètres!$A$1:$I$89,3,0)*VLOOKUP('Données projet'!$B$9,Paramètres!$A$1:$I$89,5,0)</f>
        <v>1.4897523215040567E-13</v>
      </c>
      <c r="P133" s="14">
        <f t="shared" ref="P133:P196" si="141">EXP(-1.0587+0.8836*LN(O133)+0.284)</f>
        <v>2.136562777003313E-12</v>
      </c>
      <c r="Q133" s="22">
        <f t="shared" si="108"/>
        <v>3.9806453659427267E-12</v>
      </c>
      <c r="R133" s="62">
        <f t="shared" si="109"/>
        <v>293.33333333333729</v>
      </c>
      <c r="S133" s="62">
        <f ca="1">AVERAGE(OFFSET($R$3,0,0,'Données projet'!$E$9+1,1))-AVERAGE(OFFSET($H$3,0,0,'Données projet'!$E$9+1,1))</f>
        <v>239.16843440041487</v>
      </c>
      <c r="T133" s="62">
        <f t="shared" ref="T133:T196" si="142">$T$3</f>
        <v>241.82319822554194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0.29683837333758328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0.29683837333758328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-3.4106051316484809E-13</v>
      </c>
      <c r="AJ133" s="14">
        <f>AI133*VLOOKUP('Données projet'!$B$10,Paramètres!$A$1:$I$89,3,0)*VLOOKUP('Données projet'!$B$10,Paramètres!$A$1:$I$89,5,0)</f>
        <v>-2.5006556825246659E-13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376.5422416541544</v>
      </c>
      <c r="AO133" s="62">
        <f t="shared" ref="AO133:AO196" si="144">$AO$3</f>
        <v>365.76175372075869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1.0633632125053964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1.0633632125053964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405.13433810198853</v>
      </c>
      <c r="BJ133" s="62">
        <f t="shared" ref="BJ133:BJ196" si="146">$BJ$3</f>
        <v>534.74398214162079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1.1398355015470047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3.415024676358739E-14</v>
      </c>
      <c r="BS133" s="24">
        <f t="shared" si="117"/>
        <v>1.1398355015470389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411.60020200960821</v>
      </c>
      <c r="CE133" s="62">
        <f t="shared" ref="CE133:CE196" si="148">$CE$3</f>
        <v>261.95434270986397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261.00000000000017</v>
      </c>
      <c r="CU133" s="18">
        <f>CT133*VLOOKUP('Données projet'!$B$13,Paramètres!$A$1:$I$89,3,0)*VLOOKUP('Données projet'!$B$13,Paramètres!$A$1:$I$89,5,0)</f>
        <v>211.72320000000013</v>
      </c>
      <c r="CV133" s="14">
        <f t="shared" ref="CV133:CV153" si="149">EXP(-1.0587+0.8836*LN(CU133)+0.284)</f>
        <v>52.311968964212078</v>
      </c>
      <c r="CW133" s="22">
        <f t="shared" si="121"/>
        <v>459.8612526126696</v>
      </c>
      <c r="CX133" s="62">
        <f t="shared" si="122"/>
        <v>753.19458594600292</v>
      </c>
      <c r="CY133" s="62">
        <f ca="1">AVERAGE(OFFSET($CX$3,0,0,'Données projet'!$E$13+1,1))-AVERAGE(OFFSET($H$3,0,0,'Données projet'!$E$13+1,1))</f>
        <v>293.51866463276224</v>
      </c>
      <c r="CZ133" s="62">
        <f t="shared" ref="CZ133:CZ196" si="150">$CZ$3</f>
        <v>232.78663842203713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1.7053025658242404E-13</v>
      </c>
      <c r="O134" s="14">
        <f>N134*VLOOKUP('Données projet'!$B$9,Paramètres!$A$1:$I$89,3,0)*VLOOKUP('Données projet'!$B$9,Paramètres!$A$1:$I$89,5,0)</f>
        <v>1.4897523215040567E-13</v>
      </c>
      <c r="P134" s="14">
        <f t="shared" si="141"/>
        <v>2.136562777003313E-12</v>
      </c>
      <c r="Q134" s="22">
        <f t="shared" si="108"/>
        <v>3.9806453659427267E-12</v>
      </c>
      <c r="R134" s="62">
        <f t="shared" si="109"/>
        <v>293.33333333333729</v>
      </c>
      <c r="S134" s="62">
        <f ca="1">AVERAGE(OFFSET($R$3,0,0,'Données projet'!$E$9+1,1))-AVERAGE(OFFSET($H$3,0,0,'Données projet'!$E$9+1,1))</f>
        <v>239.16843440041487</v>
      </c>
      <c r="T134" s="62">
        <f t="shared" si="142"/>
        <v>241.82319822554194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0.28872131240861543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0.28872131240861543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-3.4106051316484809E-13</v>
      </c>
      <c r="AJ134" s="14">
        <f>AI134*VLOOKUP('Données projet'!$B$10,Paramètres!$A$1:$I$89,3,0)*VLOOKUP('Données projet'!$B$10,Paramètres!$A$1:$I$89,5,0)</f>
        <v>-2.5006556825246659E-13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376.5422416541544</v>
      </c>
      <c r="AO134" s="62">
        <f t="shared" si="144"/>
        <v>365.76175372075869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1.0425113084956825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1.0425113084956825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405.13433810198853</v>
      </c>
      <c r="BJ134" s="62">
        <f t="shared" si="146"/>
        <v>534.74398214162079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1.1174840225926757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2.4147871065726592E-14</v>
      </c>
      <c r="BS134" s="24">
        <f t="shared" si="117"/>
        <v>1.1174840225926999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411.60020200960821</v>
      </c>
      <c r="CE134" s="62">
        <f t="shared" si="148"/>
        <v>261.95434270986397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261.00000000000017</v>
      </c>
      <c r="CU134" s="18">
        <f>CT134*VLOOKUP('Données projet'!$B$13,Paramètres!$A$1:$I$89,3,0)*VLOOKUP('Données projet'!$B$13,Paramètres!$A$1:$I$89,5,0)</f>
        <v>211.72320000000013</v>
      </c>
      <c r="CV134" s="14">
        <f t="shared" si="149"/>
        <v>52.311968964212078</v>
      </c>
      <c r="CW134" s="22">
        <f t="shared" si="121"/>
        <v>459.8612526126696</v>
      </c>
      <c r="CX134" s="62">
        <f t="shared" si="122"/>
        <v>753.19458594600292</v>
      </c>
      <c r="CY134" s="62">
        <f ca="1">AVERAGE(OFFSET($CX$3,0,0,'Données projet'!$E$13+1,1))-AVERAGE(OFFSET($H$3,0,0,'Données projet'!$E$13+1,1))</f>
        <v>293.51866463276224</v>
      </c>
      <c r="CZ134" s="62">
        <f t="shared" si="150"/>
        <v>232.78663842203713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1.7053025658242404E-13</v>
      </c>
      <c r="O135" s="14">
        <f>N135*VLOOKUP('Données projet'!$B$9,Paramètres!$A$1:$I$89,3,0)*VLOOKUP('Données projet'!$B$9,Paramètres!$A$1:$I$89,5,0)</f>
        <v>1.4897523215040567E-13</v>
      </c>
      <c r="P135" s="14">
        <f t="shared" si="141"/>
        <v>2.136562777003313E-12</v>
      </c>
      <c r="Q135" s="22">
        <f t="shared" si="108"/>
        <v>3.9806453659427267E-12</v>
      </c>
      <c r="R135" s="62">
        <f t="shared" si="109"/>
        <v>293.33333333333729</v>
      </c>
      <c r="S135" s="62">
        <f ca="1">AVERAGE(OFFSET($R$3,0,0,'Données projet'!$E$9+1,1))-AVERAGE(OFFSET($H$3,0,0,'Données projet'!$E$9+1,1))</f>
        <v>239.16843440041487</v>
      </c>
      <c r="T135" s="62">
        <f t="shared" si="142"/>
        <v>241.82319822554194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0.2808262129376079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0.2808262129376079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-3.4106051316484809E-13</v>
      </c>
      <c r="AJ135" s="14">
        <f>AI135*VLOOKUP('Données projet'!$B$10,Paramètres!$A$1:$I$89,3,0)*VLOOKUP('Données projet'!$B$10,Paramètres!$A$1:$I$89,5,0)</f>
        <v>-2.5006556825246659E-13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376.5422416541544</v>
      </c>
      <c r="AO135" s="62">
        <f t="shared" si="144"/>
        <v>365.76175372075869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1.0220682976051936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1.0220682976051936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405.13433810198853</v>
      </c>
      <c r="BJ135" s="62">
        <f t="shared" si="146"/>
        <v>534.74398214162079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1.095570842507585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1.7075123381793695E-14</v>
      </c>
      <c r="BS135" s="24">
        <f t="shared" si="117"/>
        <v>1.0955708425076021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411.60020200960821</v>
      </c>
      <c r="CE135" s="62">
        <f t="shared" si="148"/>
        <v>261.95434270986397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261.00000000000017</v>
      </c>
      <c r="CU135" s="18">
        <f>CT135*VLOOKUP('Données projet'!$B$13,Paramètres!$A$1:$I$89,3,0)*VLOOKUP('Données projet'!$B$13,Paramètres!$A$1:$I$89,5,0)</f>
        <v>211.72320000000013</v>
      </c>
      <c r="CV135" s="14">
        <f t="shared" si="149"/>
        <v>52.311968964212078</v>
      </c>
      <c r="CW135" s="22">
        <f t="shared" si="121"/>
        <v>459.8612526126696</v>
      </c>
      <c r="CX135" s="62">
        <f t="shared" si="122"/>
        <v>753.19458594600292</v>
      </c>
      <c r="CY135" s="62">
        <f ca="1">AVERAGE(OFFSET($CX$3,0,0,'Données projet'!$E$13+1,1))-AVERAGE(OFFSET($H$3,0,0,'Données projet'!$E$13+1,1))</f>
        <v>293.51866463276224</v>
      </c>
      <c r="CZ135" s="62">
        <f t="shared" si="150"/>
        <v>232.78663842203713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1.7053025658242404E-13</v>
      </c>
      <c r="O136" s="14">
        <f>N136*VLOOKUP('Données projet'!$B$9,Paramètres!$A$1:$I$89,3,0)*VLOOKUP('Données projet'!$B$9,Paramètres!$A$1:$I$89,5,0)</f>
        <v>1.4897523215040567E-13</v>
      </c>
      <c r="P136" s="14">
        <f t="shared" si="141"/>
        <v>2.136562777003313E-12</v>
      </c>
      <c r="Q136" s="22">
        <f t="shared" si="108"/>
        <v>3.9806453659427267E-12</v>
      </c>
      <c r="R136" s="62">
        <f t="shared" si="109"/>
        <v>293.33333333333729</v>
      </c>
      <c r="S136" s="62">
        <f ca="1">AVERAGE(OFFSET($R$3,0,0,'Données projet'!$E$9+1,1))-AVERAGE(OFFSET($H$3,0,0,'Données projet'!$E$9+1,1))</f>
        <v>239.16843440041487</v>
      </c>
      <c r="T136" s="62">
        <f t="shared" si="142"/>
        <v>241.82319822554194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0.2731470053768203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0.2731470053768203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-3.4106051316484809E-13</v>
      </c>
      <c r="AJ136" s="14">
        <f>AI136*VLOOKUP('Données projet'!$B$10,Paramètres!$A$1:$I$89,3,0)*VLOOKUP('Données projet'!$B$10,Paramètres!$A$1:$I$89,5,0)</f>
        <v>-2.5006556825246659E-13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376.5422416541544</v>
      </c>
      <c r="AO136" s="62">
        <f t="shared" si="144"/>
        <v>365.76175372075869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1.0020261616892616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1.0020261616892616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405.13433810198853</v>
      </c>
      <c r="BJ136" s="62">
        <f t="shared" si="146"/>
        <v>534.74398214162079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1.0740873665182427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1.2073935532863296E-14</v>
      </c>
      <c r="BS136" s="24">
        <f t="shared" si="117"/>
        <v>1.0740873665182546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411.60020200960821</v>
      </c>
      <c r="CE136" s="62">
        <f t="shared" si="148"/>
        <v>261.95434270986397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261.00000000000017</v>
      </c>
      <c r="CU136" s="18">
        <f>CT136*VLOOKUP('Données projet'!$B$13,Paramètres!$A$1:$I$89,3,0)*VLOOKUP('Données projet'!$B$13,Paramètres!$A$1:$I$89,5,0)</f>
        <v>211.72320000000013</v>
      </c>
      <c r="CV136" s="14">
        <f t="shared" si="149"/>
        <v>52.311968964212078</v>
      </c>
      <c r="CW136" s="22">
        <f t="shared" si="121"/>
        <v>459.8612526126696</v>
      </c>
      <c r="CX136" s="62">
        <f t="shared" si="122"/>
        <v>753.19458594600292</v>
      </c>
      <c r="CY136" s="62">
        <f ca="1">AVERAGE(OFFSET($CX$3,0,0,'Données projet'!$E$13+1,1))-AVERAGE(OFFSET($H$3,0,0,'Données projet'!$E$13+1,1))</f>
        <v>293.51866463276224</v>
      </c>
      <c r="CZ136" s="62">
        <f t="shared" si="150"/>
        <v>232.78663842203713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1.7053025658242404E-13</v>
      </c>
      <c r="O137" s="14">
        <f>N137*VLOOKUP('Données projet'!$B$9,Paramètres!$A$1:$I$89,3,0)*VLOOKUP('Données projet'!$B$9,Paramètres!$A$1:$I$89,5,0)</f>
        <v>1.4897523215040567E-13</v>
      </c>
      <c r="P137" s="14">
        <f t="shared" si="141"/>
        <v>2.136562777003313E-12</v>
      </c>
      <c r="Q137" s="22">
        <f t="shared" si="108"/>
        <v>3.9806453659427267E-12</v>
      </c>
      <c r="R137" s="62">
        <f t="shared" si="109"/>
        <v>293.33333333333729</v>
      </c>
      <c r="S137" s="62">
        <f ca="1">AVERAGE(OFFSET($R$3,0,0,'Données projet'!$E$9+1,1))-AVERAGE(OFFSET($H$3,0,0,'Données projet'!$E$9+1,1))</f>
        <v>239.16843440041487</v>
      </c>
      <c r="T137" s="62">
        <f t="shared" si="142"/>
        <v>241.82319822554194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0.26567778615061444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0.26567778615061444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-3.4106051316484809E-13</v>
      </c>
      <c r="AJ137" s="14">
        <f>AI137*VLOOKUP('Données projet'!$B$10,Paramètres!$A$1:$I$89,3,0)*VLOOKUP('Données projet'!$B$10,Paramètres!$A$1:$I$89,5,0)</f>
        <v>-2.5006556825246659E-13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376.5422416541544</v>
      </c>
      <c r="AO137" s="62">
        <f t="shared" si="144"/>
        <v>365.76175372075869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0.98237703983414526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0.98237703983414526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405.13433810198853</v>
      </c>
      <c r="BJ137" s="62">
        <f t="shared" si="146"/>
        <v>534.74398214162079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1.0530251683894249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8.5375616908968476E-15</v>
      </c>
      <c r="BS137" s="24">
        <f t="shared" si="117"/>
        <v>1.0530251683894334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411.60020200960821</v>
      </c>
      <c r="CE137" s="62">
        <f t="shared" si="148"/>
        <v>261.95434270986397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261.00000000000017</v>
      </c>
      <c r="CU137" s="18">
        <f>CT137*VLOOKUP('Données projet'!$B$13,Paramètres!$A$1:$I$89,3,0)*VLOOKUP('Données projet'!$B$13,Paramètres!$A$1:$I$89,5,0)</f>
        <v>211.72320000000013</v>
      </c>
      <c r="CV137" s="14">
        <f t="shared" si="149"/>
        <v>52.311968964212078</v>
      </c>
      <c r="CW137" s="22">
        <f t="shared" si="121"/>
        <v>459.8612526126696</v>
      </c>
      <c r="CX137" s="62">
        <f t="shared" si="122"/>
        <v>753.19458594600292</v>
      </c>
      <c r="CY137" s="62">
        <f ca="1">AVERAGE(OFFSET($CX$3,0,0,'Données projet'!$E$13+1,1))-AVERAGE(OFFSET($H$3,0,0,'Données projet'!$E$13+1,1))</f>
        <v>293.51866463276224</v>
      </c>
      <c r="CZ137" s="62">
        <f t="shared" si="150"/>
        <v>232.78663842203713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1.7053025658242404E-13</v>
      </c>
      <c r="O138" s="14">
        <f>N138*VLOOKUP('Données projet'!$B$9,Paramètres!$A$1:$I$89,3,0)*VLOOKUP('Données projet'!$B$9,Paramètres!$A$1:$I$89,5,0)</f>
        <v>1.4897523215040567E-13</v>
      </c>
      <c r="P138" s="14">
        <f t="shared" si="141"/>
        <v>2.136562777003313E-12</v>
      </c>
      <c r="Q138" s="22">
        <f t="shared" si="108"/>
        <v>3.9806453659427267E-12</v>
      </c>
      <c r="R138" s="62">
        <f t="shared" si="109"/>
        <v>293.33333333333729</v>
      </c>
      <c r="S138" s="62">
        <f ca="1">AVERAGE(OFFSET($R$3,0,0,'Données projet'!$E$9+1,1))-AVERAGE(OFFSET($H$3,0,0,'Données projet'!$E$9+1,1))</f>
        <v>239.16843440041487</v>
      </c>
      <c r="T138" s="62">
        <f t="shared" si="142"/>
        <v>241.82319822554194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0.25841281311693831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0.25841281311693831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-3.4106051316484809E-13</v>
      </c>
      <c r="AJ138" s="14">
        <f>AI138*VLOOKUP('Données projet'!$B$10,Paramètres!$A$1:$I$89,3,0)*VLOOKUP('Données projet'!$B$10,Paramètres!$A$1:$I$89,5,0)</f>
        <v>-2.5006556825246659E-13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376.5422416541544</v>
      </c>
      <c r="AO138" s="62">
        <f t="shared" si="144"/>
        <v>365.76175372075869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0.96311322527382681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0.96311322527382681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405.13433810198853</v>
      </c>
      <c r="BJ138" s="62">
        <f t="shared" si="146"/>
        <v>534.74398214162079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1.0323759871192411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6.036967766431648E-15</v>
      </c>
      <c r="BS138" s="24">
        <f t="shared" si="117"/>
        <v>1.0323759871192471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411.60020200960821</v>
      </c>
      <c r="CE138" s="62">
        <f t="shared" si="148"/>
        <v>261.95434270986397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261.00000000000017</v>
      </c>
      <c r="CU138" s="18">
        <f>CT138*VLOOKUP('Données projet'!$B$13,Paramètres!$A$1:$I$89,3,0)*VLOOKUP('Données projet'!$B$13,Paramètres!$A$1:$I$89,5,0)</f>
        <v>211.72320000000013</v>
      </c>
      <c r="CV138" s="14">
        <f t="shared" si="149"/>
        <v>52.311968964212078</v>
      </c>
      <c r="CW138" s="22">
        <f t="shared" si="121"/>
        <v>459.8612526126696</v>
      </c>
      <c r="CX138" s="62">
        <f t="shared" si="122"/>
        <v>753.19458594600292</v>
      </c>
      <c r="CY138" s="62">
        <f ca="1">AVERAGE(OFFSET($CX$3,0,0,'Données projet'!$E$13+1,1))-AVERAGE(OFFSET($H$3,0,0,'Données projet'!$E$13+1,1))</f>
        <v>293.51866463276224</v>
      </c>
      <c r="CZ138" s="62">
        <f t="shared" si="150"/>
        <v>232.78663842203713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1.7053025658242404E-13</v>
      </c>
      <c r="O139" s="14">
        <f>N139*VLOOKUP('Données projet'!$B$9,Paramètres!$A$1:$I$89,3,0)*VLOOKUP('Données projet'!$B$9,Paramètres!$A$1:$I$89,5,0)</f>
        <v>1.4897523215040567E-13</v>
      </c>
      <c r="P139" s="14">
        <f t="shared" si="141"/>
        <v>2.136562777003313E-12</v>
      </c>
      <c r="Q139" s="22">
        <f t="shared" si="108"/>
        <v>3.9806453659427267E-12</v>
      </c>
      <c r="R139" s="62">
        <f t="shared" si="109"/>
        <v>293.33333333333729</v>
      </c>
      <c r="S139" s="62">
        <f ca="1">AVERAGE(OFFSET($R$3,0,0,'Données projet'!$E$9+1,1))-AVERAGE(OFFSET($H$3,0,0,'Données projet'!$E$9+1,1))</f>
        <v>239.16843440041487</v>
      </c>
      <c r="T139" s="62">
        <f t="shared" si="142"/>
        <v>241.82319822554194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0.2513465011529164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0.2513465011529164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-3.4106051316484809E-13</v>
      </c>
      <c r="AJ139" s="14">
        <f>AI139*VLOOKUP('Données projet'!$B$10,Paramètres!$A$1:$I$89,3,0)*VLOOKUP('Données projet'!$B$10,Paramètres!$A$1:$I$89,5,0)</f>
        <v>-2.5006556825246659E-13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376.5422416541544</v>
      </c>
      <c r="AO139" s="62">
        <f t="shared" si="144"/>
        <v>365.76175372075869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0.94422716236726945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0.94422716236726945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405.13433810198853</v>
      </c>
      <c r="BJ139" s="62">
        <f t="shared" si="146"/>
        <v>534.74398214162079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1.0121317236990084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4.2687808454484238E-15</v>
      </c>
      <c r="BS139" s="24">
        <f t="shared" si="117"/>
        <v>1.0121317236990126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411.60020200960821</v>
      </c>
      <c r="CE139" s="62">
        <f t="shared" si="148"/>
        <v>261.95434270986397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261.00000000000017</v>
      </c>
      <c r="CU139" s="18">
        <f>CT139*VLOOKUP('Données projet'!$B$13,Paramètres!$A$1:$I$89,3,0)*VLOOKUP('Données projet'!$B$13,Paramètres!$A$1:$I$89,5,0)</f>
        <v>211.72320000000013</v>
      </c>
      <c r="CV139" s="14">
        <f t="shared" si="149"/>
        <v>52.311968964212078</v>
      </c>
      <c r="CW139" s="22">
        <f t="shared" si="121"/>
        <v>459.8612526126696</v>
      </c>
      <c r="CX139" s="62">
        <f t="shared" si="122"/>
        <v>753.19458594600292</v>
      </c>
      <c r="CY139" s="62">
        <f ca="1">AVERAGE(OFFSET($CX$3,0,0,'Données projet'!$E$13+1,1))-AVERAGE(OFFSET($H$3,0,0,'Données projet'!$E$13+1,1))</f>
        <v>293.51866463276224</v>
      </c>
      <c r="CZ139" s="62">
        <f t="shared" si="150"/>
        <v>232.78663842203713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1.7053025658242404E-13</v>
      </c>
      <c r="O140" s="14">
        <f>N140*VLOOKUP('Données projet'!$B$9,Paramètres!$A$1:$I$89,3,0)*VLOOKUP('Données projet'!$B$9,Paramètres!$A$1:$I$89,5,0)</f>
        <v>1.4897523215040567E-13</v>
      </c>
      <c r="P140" s="14">
        <f t="shared" si="141"/>
        <v>2.136562777003313E-12</v>
      </c>
      <c r="Q140" s="22">
        <f t="shared" si="108"/>
        <v>3.9806453659427267E-12</v>
      </c>
      <c r="R140" s="62">
        <f t="shared" si="109"/>
        <v>293.33333333333729</v>
      </c>
      <c r="S140" s="62">
        <f ca="1">AVERAGE(OFFSET($R$3,0,0,'Données projet'!$E$9+1,1))-AVERAGE(OFFSET($H$3,0,0,'Données projet'!$E$9+1,1))</f>
        <v>239.16843440041487</v>
      </c>
      <c r="T140" s="62">
        <f t="shared" si="142"/>
        <v>241.82319822554194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0.24447341786115187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0.24447341786115187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-3.4106051316484809E-13</v>
      </c>
      <c r="AJ140" s="14">
        <f>AI140*VLOOKUP('Données projet'!$B$10,Paramètres!$A$1:$I$89,3,0)*VLOOKUP('Données projet'!$B$10,Paramètres!$A$1:$I$89,5,0)</f>
        <v>-2.5006556825246659E-13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376.5422416541544</v>
      </c>
      <c r="AO140" s="62">
        <f t="shared" si="144"/>
        <v>365.76175372075869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0.92571144363494884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0.92571144363494884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405.13433810198853</v>
      </c>
      <c r="BJ140" s="62">
        <f t="shared" si="146"/>
        <v>534.74398214162079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0.9922844379366651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3.018483883215824E-15</v>
      </c>
      <c r="BS140" s="24">
        <f t="shared" si="117"/>
        <v>0.9922844379366681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411.60020200960821</v>
      </c>
      <c r="CE140" s="62">
        <f t="shared" si="148"/>
        <v>261.95434270986397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261.00000000000017</v>
      </c>
      <c r="CU140" s="18">
        <f>CT140*VLOOKUP('Données projet'!$B$13,Paramètres!$A$1:$I$89,3,0)*VLOOKUP('Données projet'!$B$13,Paramètres!$A$1:$I$89,5,0)</f>
        <v>211.72320000000013</v>
      </c>
      <c r="CV140" s="14">
        <f t="shared" si="149"/>
        <v>52.311968964212078</v>
      </c>
      <c r="CW140" s="22">
        <f t="shared" si="121"/>
        <v>459.8612526126696</v>
      </c>
      <c r="CX140" s="62">
        <f t="shared" si="122"/>
        <v>753.19458594600292</v>
      </c>
      <c r="CY140" s="62">
        <f ca="1">AVERAGE(OFFSET($CX$3,0,0,'Données projet'!$E$13+1,1))-AVERAGE(OFFSET($H$3,0,0,'Données projet'!$E$13+1,1))</f>
        <v>293.51866463276224</v>
      </c>
      <c r="CZ140" s="62">
        <f t="shared" si="150"/>
        <v>232.78663842203713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1.7053025658242404E-13</v>
      </c>
      <c r="O141" s="14">
        <f>N141*VLOOKUP('Données projet'!$B$9,Paramètres!$A$1:$I$89,3,0)*VLOOKUP('Données projet'!$B$9,Paramètres!$A$1:$I$89,5,0)</f>
        <v>1.4897523215040567E-13</v>
      </c>
      <c r="P141" s="14">
        <f t="shared" si="141"/>
        <v>2.136562777003313E-12</v>
      </c>
      <c r="Q141" s="22">
        <f t="shared" si="108"/>
        <v>3.9806453659427267E-12</v>
      </c>
      <c r="R141" s="62">
        <f t="shared" si="109"/>
        <v>293.33333333333729</v>
      </c>
      <c r="S141" s="62">
        <f ca="1">AVERAGE(OFFSET($R$3,0,0,'Données projet'!$E$9+1,1))-AVERAGE(OFFSET($H$3,0,0,'Données projet'!$E$9+1,1))</f>
        <v>239.16843440041487</v>
      </c>
      <c r="T141" s="62">
        <f t="shared" si="142"/>
        <v>241.82319822554194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0.23778827939344038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0.23778827939344038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-3.4106051316484809E-13</v>
      </c>
      <c r="AJ141" s="14">
        <f>AI141*VLOOKUP('Données projet'!$B$10,Paramètres!$A$1:$I$89,3,0)*VLOOKUP('Données projet'!$B$10,Paramètres!$A$1:$I$89,5,0)</f>
        <v>-2.5006556825246659E-13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376.5422416541544</v>
      </c>
      <c r="AO141" s="62">
        <f t="shared" si="144"/>
        <v>365.76175372075869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0.90755880685349566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0.90755880685349566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405.13433810198853</v>
      </c>
      <c r="BJ141" s="62">
        <f t="shared" si="146"/>
        <v>534.74398214162079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0.97282634534247237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2.1343904227242119E-15</v>
      </c>
      <c r="BS141" s="24">
        <f t="shared" si="117"/>
        <v>0.97282634534247447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411.60020200960821</v>
      </c>
      <c r="CE141" s="62">
        <f t="shared" si="148"/>
        <v>261.95434270986397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261.00000000000017</v>
      </c>
      <c r="CU141" s="18">
        <f>CT141*VLOOKUP('Données projet'!$B$13,Paramètres!$A$1:$I$89,3,0)*VLOOKUP('Données projet'!$B$13,Paramètres!$A$1:$I$89,5,0)</f>
        <v>211.72320000000013</v>
      </c>
      <c r="CV141" s="14">
        <f t="shared" si="149"/>
        <v>52.311968964212078</v>
      </c>
      <c r="CW141" s="22">
        <f t="shared" si="121"/>
        <v>459.8612526126696</v>
      </c>
      <c r="CX141" s="62">
        <f t="shared" si="122"/>
        <v>753.19458594600292</v>
      </c>
      <c r="CY141" s="62">
        <f ca="1">AVERAGE(OFFSET($CX$3,0,0,'Données projet'!$E$13+1,1))-AVERAGE(OFFSET($H$3,0,0,'Données projet'!$E$13+1,1))</f>
        <v>293.51866463276224</v>
      </c>
      <c r="CZ141" s="62">
        <f t="shared" si="150"/>
        <v>232.78663842203713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1.7053025658242404E-13</v>
      </c>
      <c r="O142" s="14">
        <f>N142*VLOOKUP('Données projet'!$B$9,Paramètres!$A$1:$I$89,3,0)*VLOOKUP('Données projet'!$B$9,Paramètres!$A$1:$I$89,5,0)</f>
        <v>1.4897523215040567E-13</v>
      </c>
      <c r="P142" s="14">
        <f t="shared" si="141"/>
        <v>2.136562777003313E-12</v>
      </c>
      <c r="Q142" s="22">
        <f t="shared" si="108"/>
        <v>3.9806453659427267E-12</v>
      </c>
      <c r="R142" s="62">
        <f t="shared" si="109"/>
        <v>293.33333333333729</v>
      </c>
      <c r="S142" s="62">
        <f ca="1">AVERAGE(OFFSET($R$3,0,0,'Données projet'!$E$9+1,1))-AVERAGE(OFFSET($H$3,0,0,'Données projet'!$E$9+1,1))</f>
        <v>239.16843440041487</v>
      </c>
      <c r="T142" s="62">
        <f t="shared" si="142"/>
        <v>241.82319822554194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0.2312859463886846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0.2312859463886846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-3.4106051316484809E-13</v>
      </c>
      <c r="AJ142" s="14">
        <f>AI142*VLOOKUP('Données projet'!$B$10,Paramètres!$A$1:$I$89,3,0)*VLOOKUP('Données projet'!$B$10,Paramètres!$A$1:$I$89,5,0)</f>
        <v>-2.5006556825246659E-13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376.5422416541544</v>
      </c>
      <c r="AO142" s="62">
        <f t="shared" si="144"/>
        <v>365.76175372075869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0.88976213220731171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0.88976213220731171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405.13433810198853</v>
      </c>
      <c r="BJ142" s="62">
        <f t="shared" si="146"/>
        <v>534.74398214162079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0.95374981407578718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1.509241941607912E-15</v>
      </c>
      <c r="BS142" s="24">
        <f t="shared" si="117"/>
        <v>0.95374981407578874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411.60020200960821</v>
      </c>
      <c r="CE142" s="62">
        <f t="shared" si="148"/>
        <v>261.95434270986397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261.00000000000017</v>
      </c>
      <c r="CU142" s="18">
        <f>CT142*VLOOKUP('Données projet'!$B$13,Paramètres!$A$1:$I$89,3,0)*VLOOKUP('Données projet'!$B$13,Paramètres!$A$1:$I$89,5,0)</f>
        <v>211.72320000000013</v>
      </c>
      <c r="CV142" s="14">
        <f t="shared" si="149"/>
        <v>52.311968964212078</v>
      </c>
      <c r="CW142" s="22">
        <f t="shared" si="121"/>
        <v>459.8612526126696</v>
      </c>
      <c r="CX142" s="62">
        <f t="shared" si="122"/>
        <v>753.19458594600292</v>
      </c>
      <c r="CY142" s="62">
        <f ca="1">AVERAGE(OFFSET($CX$3,0,0,'Données projet'!$E$13+1,1))-AVERAGE(OFFSET($H$3,0,0,'Données projet'!$E$13+1,1))</f>
        <v>293.51866463276224</v>
      </c>
      <c r="CZ142" s="62">
        <f t="shared" si="150"/>
        <v>232.78663842203713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1.7053025658242404E-13</v>
      </c>
      <c r="O143" s="14">
        <f>N143*VLOOKUP('Données projet'!$B$9,Paramètres!$A$1:$I$89,3,0)*VLOOKUP('Données projet'!$B$9,Paramètres!$A$1:$I$89,5,0)</f>
        <v>1.4897523215040567E-13</v>
      </c>
      <c r="P143" s="14">
        <f t="shared" si="141"/>
        <v>2.136562777003313E-12</v>
      </c>
      <c r="Q143" s="22">
        <f t="shared" si="108"/>
        <v>3.9806453659427267E-12</v>
      </c>
      <c r="R143" s="62">
        <f t="shared" si="109"/>
        <v>293.33333333333729</v>
      </c>
      <c r="S143" s="62">
        <f ca="1">AVERAGE(OFFSET($R$3,0,0,'Données projet'!$E$9+1,1))-AVERAGE(OFFSET($H$3,0,0,'Données projet'!$E$9+1,1))</f>
        <v>239.16843440041487</v>
      </c>
      <c r="T143" s="62">
        <f t="shared" si="142"/>
        <v>241.82319822554194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0.22496142002188671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0.22496142002188671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-3.4106051316484809E-13</v>
      </c>
      <c r="AJ143" s="14">
        <f>AI143*VLOOKUP('Données projet'!$B$10,Paramètres!$A$1:$I$89,3,0)*VLOOKUP('Données projet'!$B$10,Paramètres!$A$1:$I$89,5,0)</f>
        <v>-2.5006556825246659E-13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376.5422416541544</v>
      </c>
      <c r="AO143" s="62">
        <f t="shared" si="144"/>
        <v>365.76175372075869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0.87231443949603971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0.87231443949603971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405.13433810198853</v>
      </c>
      <c r="BJ143" s="62">
        <f t="shared" si="146"/>
        <v>534.74398214162079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0.93504736195170657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1.067195211362106E-15</v>
      </c>
      <c r="BS143" s="24">
        <f t="shared" si="117"/>
        <v>0.93504736195170768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411.60020200960821</v>
      </c>
      <c r="CE143" s="62">
        <f t="shared" si="148"/>
        <v>261.95434270986397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261.00000000000017</v>
      </c>
      <c r="CU143" s="18">
        <f>CT143*VLOOKUP('Données projet'!$B$13,Paramètres!$A$1:$I$89,3,0)*VLOOKUP('Données projet'!$B$13,Paramètres!$A$1:$I$89,5,0)</f>
        <v>211.72320000000013</v>
      </c>
      <c r="CV143" s="14">
        <f t="shared" si="149"/>
        <v>52.311968964212078</v>
      </c>
      <c r="CW143" s="22">
        <f t="shared" si="121"/>
        <v>459.8612526126696</v>
      </c>
      <c r="CX143" s="62">
        <f t="shared" si="122"/>
        <v>753.19458594600292</v>
      </c>
      <c r="CY143" s="62">
        <f ca="1">AVERAGE(OFFSET($CX$3,0,0,'Données projet'!$E$13+1,1))-AVERAGE(OFFSET($H$3,0,0,'Données projet'!$E$13+1,1))</f>
        <v>293.51866463276224</v>
      </c>
      <c r="CZ143" s="62">
        <f t="shared" si="150"/>
        <v>232.78663842203713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1.7053025658242404E-13</v>
      </c>
      <c r="O144" s="14">
        <f>N144*VLOOKUP('Données projet'!$B$9,Paramètres!$A$1:$I$89,3,0)*VLOOKUP('Données projet'!$B$9,Paramètres!$A$1:$I$89,5,0)</f>
        <v>1.4897523215040567E-13</v>
      </c>
      <c r="P144" s="14">
        <f t="shared" si="141"/>
        <v>2.136562777003313E-12</v>
      </c>
      <c r="Q144" s="22">
        <f t="shared" si="108"/>
        <v>3.9806453659427267E-12</v>
      </c>
      <c r="R144" s="62">
        <f t="shared" si="109"/>
        <v>293.33333333333729</v>
      </c>
      <c r="S144" s="62">
        <f ca="1">AVERAGE(OFFSET($R$3,0,0,'Données projet'!$E$9+1,1))-AVERAGE(OFFSET($H$3,0,0,'Données projet'!$E$9+1,1))</f>
        <v>239.16843440041487</v>
      </c>
      <c r="T144" s="62">
        <f t="shared" si="142"/>
        <v>241.82319822554194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0.2188098381611813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0.2188098381611813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-3.4106051316484809E-13</v>
      </c>
      <c r="AJ144" s="14">
        <f>AI144*VLOOKUP('Données projet'!$B$10,Paramètres!$A$1:$I$89,3,0)*VLOOKUP('Données projet'!$B$10,Paramètres!$A$1:$I$89,5,0)</f>
        <v>-2.5006556825246659E-13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376.5422416541544</v>
      </c>
      <c r="AO144" s="62">
        <f t="shared" si="144"/>
        <v>365.76175372075869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0.85520888539679396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0.85520888539679396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405.13433810198853</v>
      </c>
      <c r="BJ144" s="62">
        <f t="shared" si="146"/>
        <v>534.74398214162079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0.91671165350640971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7.54620970803956E-16</v>
      </c>
      <c r="BS144" s="24">
        <f t="shared" si="117"/>
        <v>0.91671165350641048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411.60020200960821</v>
      </c>
      <c r="CE144" s="62">
        <f t="shared" si="148"/>
        <v>261.95434270986397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261.00000000000017</v>
      </c>
      <c r="CU144" s="18">
        <f>CT144*VLOOKUP('Données projet'!$B$13,Paramètres!$A$1:$I$89,3,0)*VLOOKUP('Données projet'!$B$13,Paramètres!$A$1:$I$89,5,0)</f>
        <v>211.72320000000013</v>
      </c>
      <c r="CV144" s="14">
        <f t="shared" si="149"/>
        <v>52.311968964212078</v>
      </c>
      <c r="CW144" s="22">
        <f t="shared" si="121"/>
        <v>459.8612526126696</v>
      </c>
      <c r="CX144" s="62">
        <f t="shared" si="122"/>
        <v>753.19458594600292</v>
      </c>
      <c r="CY144" s="62">
        <f ca="1">AVERAGE(OFFSET($CX$3,0,0,'Données projet'!$E$13+1,1))-AVERAGE(OFFSET($H$3,0,0,'Données projet'!$E$13+1,1))</f>
        <v>293.51866463276224</v>
      </c>
      <c r="CZ144" s="62">
        <f t="shared" si="150"/>
        <v>232.78663842203713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1.7053025658242404E-13</v>
      </c>
      <c r="O145" s="14">
        <f>N145*VLOOKUP('Données projet'!$B$9,Paramètres!$A$1:$I$89,3,0)*VLOOKUP('Données projet'!$B$9,Paramètres!$A$1:$I$89,5,0)</f>
        <v>1.4897523215040567E-13</v>
      </c>
      <c r="P145" s="14">
        <f t="shared" si="141"/>
        <v>2.136562777003313E-12</v>
      </c>
      <c r="Q145" s="22">
        <f t="shared" si="108"/>
        <v>3.9806453659427267E-12</v>
      </c>
      <c r="R145" s="62">
        <f t="shared" si="109"/>
        <v>293.33333333333729</v>
      </c>
      <c r="S145" s="62">
        <f ca="1">AVERAGE(OFFSET($R$3,0,0,'Données projet'!$E$9+1,1))-AVERAGE(OFFSET($H$3,0,0,'Données projet'!$E$9+1,1))</f>
        <v>239.16843440041487</v>
      </c>
      <c r="T145" s="62">
        <f t="shared" si="142"/>
        <v>241.82319822554194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0.21282647162995449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0.21282647162995449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-3.4106051316484809E-13</v>
      </c>
      <c r="AJ145" s="14">
        <f>AI145*VLOOKUP('Données projet'!$B$10,Paramètres!$A$1:$I$89,3,0)*VLOOKUP('Données projet'!$B$10,Paramètres!$A$1:$I$89,5,0)</f>
        <v>-2.5006556825246659E-13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376.5422416541544</v>
      </c>
      <c r="AO145" s="62">
        <f t="shared" si="144"/>
        <v>365.76175372075869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0.83843876078007662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0.83843876078007662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405.13433810198853</v>
      </c>
      <c r="BJ145" s="62">
        <f t="shared" si="146"/>
        <v>534.74398214162079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0.8987354971200473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5.3359760568105298E-16</v>
      </c>
      <c r="BS145" s="24">
        <f t="shared" si="117"/>
        <v>0.89873549712004785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411.60020200960821</v>
      </c>
      <c r="CE145" s="62">
        <f t="shared" si="148"/>
        <v>261.95434270986397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261.00000000000017</v>
      </c>
      <c r="CU145" s="18">
        <f>CT145*VLOOKUP('Données projet'!$B$13,Paramètres!$A$1:$I$89,3,0)*VLOOKUP('Données projet'!$B$13,Paramètres!$A$1:$I$89,5,0)</f>
        <v>211.72320000000013</v>
      </c>
      <c r="CV145" s="14">
        <f t="shared" si="149"/>
        <v>52.311968964212078</v>
      </c>
      <c r="CW145" s="22">
        <f t="shared" si="121"/>
        <v>459.8612526126696</v>
      </c>
      <c r="CX145" s="62">
        <f t="shared" si="122"/>
        <v>753.19458594600292</v>
      </c>
      <c r="CY145" s="62">
        <f ca="1">AVERAGE(OFFSET($CX$3,0,0,'Données projet'!$E$13+1,1))-AVERAGE(OFFSET($H$3,0,0,'Données projet'!$E$13+1,1))</f>
        <v>293.51866463276224</v>
      </c>
      <c r="CZ145" s="62">
        <f t="shared" si="150"/>
        <v>232.78663842203713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1.7053025658242404E-13</v>
      </c>
      <c r="O146" s="14">
        <f>N146*VLOOKUP('Données projet'!$B$9,Paramètres!$A$1:$I$89,3,0)*VLOOKUP('Données projet'!$B$9,Paramètres!$A$1:$I$89,5,0)</f>
        <v>1.4897523215040567E-13</v>
      </c>
      <c r="P146" s="14">
        <f t="shared" si="141"/>
        <v>2.136562777003313E-12</v>
      </c>
      <c r="Q146" s="22">
        <f t="shared" si="108"/>
        <v>3.9806453659427267E-12</v>
      </c>
      <c r="R146" s="62">
        <f t="shared" si="109"/>
        <v>293.33333333333729</v>
      </c>
      <c r="S146" s="62">
        <f ca="1">AVERAGE(OFFSET($R$3,0,0,'Données projet'!$E$9+1,1))-AVERAGE(OFFSET($H$3,0,0,'Données projet'!$E$9+1,1))</f>
        <v>239.16843440041487</v>
      </c>
      <c r="T146" s="62">
        <f t="shared" si="142"/>
        <v>241.82319822554194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0.20700672057117567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0.20700672057117567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-3.4106051316484809E-13</v>
      </c>
      <c r="AJ146" s="14">
        <f>AI146*VLOOKUP('Données projet'!$B$10,Paramètres!$A$1:$I$89,3,0)*VLOOKUP('Données projet'!$B$10,Paramètres!$A$1:$I$89,5,0)</f>
        <v>-2.5006556825246659E-13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376.5422416541544</v>
      </c>
      <c r="AO146" s="62">
        <f t="shared" si="144"/>
        <v>365.76175372075869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0.82199748807832707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0.82199748807832707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405.13433810198853</v>
      </c>
      <c r="BJ146" s="62">
        <f t="shared" si="146"/>
        <v>534.74398214162079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0.88111184219604866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3.77310485401978E-16</v>
      </c>
      <c r="BS146" s="24">
        <f t="shared" si="117"/>
        <v>0.88111184219604899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411.60020200960821</v>
      </c>
      <c r="CE146" s="62">
        <f t="shared" si="148"/>
        <v>261.95434270986397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261.00000000000017</v>
      </c>
      <c r="CU146" s="18">
        <f>CT146*VLOOKUP('Données projet'!$B$13,Paramètres!$A$1:$I$89,3,0)*VLOOKUP('Données projet'!$B$13,Paramètres!$A$1:$I$89,5,0)</f>
        <v>211.72320000000013</v>
      </c>
      <c r="CV146" s="14">
        <f t="shared" si="149"/>
        <v>52.311968964212078</v>
      </c>
      <c r="CW146" s="22">
        <f t="shared" si="121"/>
        <v>459.8612526126696</v>
      </c>
      <c r="CX146" s="62">
        <f t="shared" si="122"/>
        <v>753.19458594600292</v>
      </c>
      <c r="CY146" s="62">
        <f ca="1">AVERAGE(OFFSET($CX$3,0,0,'Données projet'!$E$13+1,1))-AVERAGE(OFFSET($H$3,0,0,'Données projet'!$E$13+1,1))</f>
        <v>293.51866463276224</v>
      </c>
      <c r="CZ146" s="62">
        <f t="shared" si="150"/>
        <v>232.78663842203713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1.7053025658242404E-13</v>
      </c>
      <c r="O147" s="14">
        <f>N147*VLOOKUP('Données projet'!$B$9,Paramètres!$A$1:$I$89,3,0)*VLOOKUP('Données projet'!$B$9,Paramètres!$A$1:$I$89,5,0)</f>
        <v>1.4897523215040567E-13</v>
      </c>
      <c r="P147" s="14">
        <f t="shared" si="141"/>
        <v>2.136562777003313E-12</v>
      </c>
      <c r="Q147" s="22">
        <f t="shared" si="108"/>
        <v>3.9806453659427267E-12</v>
      </c>
      <c r="R147" s="62">
        <f t="shared" si="109"/>
        <v>293.33333333333729</v>
      </c>
      <c r="S147" s="62">
        <f ca="1">AVERAGE(OFFSET($R$3,0,0,'Données projet'!$E$9+1,1))-AVERAGE(OFFSET($H$3,0,0,'Données projet'!$E$9+1,1))</f>
        <v>239.16843440041487</v>
      </c>
      <c r="T147" s="62">
        <f t="shared" si="142"/>
        <v>241.82319822554194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0.20134611091114654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0.20134611091114654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-3.4106051316484809E-13</v>
      </c>
      <c r="AJ147" s="14">
        <f>AI147*VLOOKUP('Données projet'!$B$10,Paramètres!$A$1:$I$89,3,0)*VLOOKUP('Données projet'!$B$10,Paramètres!$A$1:$I$89,5,0)</f>
        <v>-2.5006556825246659E-13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376.5422416541544</v>
      </c>
      <c r="AO147" s="62">
        <f t="shared" si="144"/>
        <v>365.76175372075869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0.80587861870607269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0.80587861870607269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405.13433810198853</v>
      </c>
      <c r="BJ147" s="62">
        <f t="shared" si="146"/>
        <v>534.74398214162079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0.86383377639574155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2.6679880284052649E-16</v>
      </c>
      <c r="BS147" s="24">
        <f t="shared" si="117"/>
        <v>0.86383377639574177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411.60020200960821</v>
      </c>
      <c r="CE147" s="62">
        <f t="shared" si="148"/>
        <v>261.95434270986397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261.00000000000017</v>
      </c>
      <c r="CU147" s="18">
        <f>CT147*VLOOKUP('Données projet'!$B$13,Paramètres!$A$1:$I$89,3,0)*VLOOKUP('Données projet'!$B$13,Paramètres!$A$1:$I$89,5,0)</f>
        <v>211.72320000000013</v>
      </c>
      <c r="CV147" s="14">
        <f t="shared" si="149"/>
        <v>52.311968964212078</v>
      </c>
      <c r="CW147" s="22">
        <f t="shared" si="121"/>
        <v>459.8612526126696</v>
      </c>
      <c r="CX147" s="62">
        <f t="shared" si="122"/>
        <v>753.19458594600292</v>
      </c>
      <c r="CY147" s="62">
        <f ca="1">AVERAGE(OFFSET($CX$3,0,0,'Données projet'!$E$13+1,1))-AVERAGE(OFFSET($H$3,0,0,'Données projet'!$E$13+1,1))</f>
        <v>293.51866463276224</v>
      </c>
      <c r="CZ147" s="62">
        <f t="shared" si="150"/>
        <v>232.78663842203713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1.7053025658242404E-13</v>
      </c>
      <c r="O148" s="14">
        <f>N148*VLOOKUP('Données projet'!$B$9,Paramètres!$A$1:$I$89,3,0)*VLOOKUP('Données projet'!$B$9,Paramètres!$A$1:$I$89,5,0)</f>
        <v>1.4897523215040567E-13</v>
      </c>
      <c r="P148" s="14">
        <f t="shared" si="141"/>
        <v>2.136562777003313E-12</v>
      </c>
      <c r="Q148" s="22">
        <f t="shared" si="108"/>
        <v>3.9806453659427267E-12</v>
      </c>
      <c r="R148" s="62">
        <f t="shared" si="109"/>
        <v>293.33333333333729</v>
      </c>
      <c r="S148" s="62">
        <f ca="1">AVERAGE(OFFSET($R$3,0,0,'Données projet'!$E$9+1,1))-AVERAGE(OFFSET($H$3,0,0,'Données projet'!$E$9+1,1))</f>
        <v>239.16843440041487</v>
      </c>
      <c r="T148" s="62">
        <f t="shared" si="142"/>
        <v>241.82319822554194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0.19584029091994945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0.19584029091994945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-3.4106051316484809E-13</v>
      </c>
      <c r="AJ148" s="14">
        <f>AI148*VLOOKUP('Données projet'!$B$10,Paramètres!$A$1:$I$89,3,0)*VLOOKUP('Données projet'!$B$10,Paramètres!$A$1:$I$89,5,0)</f>
        <v>-2.5006556825246659E-13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376.5422416541544</v>
      </c>
      <c r="AO148" s="62">
        <f t="shared" si="144"/>
        <v>365.76175372075869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0.79007583053066877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0.79007583053066877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405.13433810198853</v>
      </c>
      <c r="BJ148" s="62">
        <f t="shared" si="146"/>
        <v>534.74398214162079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0.84689452292719891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1.88655242700989E-16</v>
      </c>
      <c r="BS148" s="24">
        <f t="shared" si="117"/>
        <v>0.84689452292719913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411.60020200960821</v>
      </c>
      <c r="CE148" s="62">
        <f t="shared" si="148"/>
        <v>261.95434270986397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261.00000000000017</v>
      </c>
      <c r="CU148" s="18">
        <f>CT148*VLOOKUP('Données projet'!$B$13,Paramètres!$A$1:$I$89,3,0)*VLOOKUP('Données projet'!$B$13,Paramètres!$A$1:$I$89,5,0)</f>
        <v>211.72320000000013</v>
      </c>
      <c r="CV148" s="14">
        <f t="shared" si="149"/>
        <v>52.311968964212078</v>
      </c>
      <c r="CW148" s="22">
        <f t="shared" si="121"/>
        <v>459.8612526126696</v>
      </c>
      <c r="CX148" s="62">
        <f t="shared" si="122"/>
        <v>753.19458594600292</v>
      </c>
      <c r="CY148" s="62">
        <f ca="1">AVERAGE(OFFSET($CX$3,0,0,'Données projet'!$E$13+1,1))-AVERAGE(OFFSET($H$3,0,0,'Données projet'!$E$13+1,1))</f>
        <v>293.51866463276224</v>
      </c>
      <c r="CZ148" s="62">
        <f t="shared" si="150"/>
        <v>232.78663842203713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1.7053025658242404E-13</v>
      </c>
      <c r="O149" s="14">
        <f>N149*VLOOKUP('Données projet'!$B$9,Paramètres!$A$1:$I$89,3,0)*VLOOKUP('Données projet'!$B$9,Paramètres!$A$1:$I$89,5,0)</f>
        <v>1.4897523215040567E-13</v>
      </c>
      <c r="P149" s="14">
        <f t="shared" si="141"/>
        <v>2.136562777003313E-12</v>
      </c>
      <c r="Q149" s="22">
        <f t="shared" si="108"/>
        <v>3.9806453659427267E-12</v>
      </c>
      <c r="R149" s="62">
        <f t="shared" si="109"/>
        <v>293.33333333333729</v>
      </c>
      <c r="S149" s="62">
        <f ca="1">AVERAGE(OFFSET($R$3,0,0,'Données projet'!$E$9+1,1))-AVERAGE(OFFSET($H$3,0,0,'Données projet'!$E$9+1,1))</f>
        <v>239.16843440041487</v>
      </c>
      <c r="T149" s="62">
        <f t="shared" si="142"/>
        <v>241.82319822554194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0.19048502786595012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0.19048502786595012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-3.4106051316484809E-13</v>
      </c>
      <c r="AJ149" s="14">
        <f>AI149*VLOOKUP('Données projet'!$B$10,Paramètres!$A$1:$I$89,3,0)*VLOOKUP('Données projet'!$B$10,Paramètres!$A$1:$I$89,5,0)</f>
        <v>-2.5006556825246659E-13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376.5422416541544</v>
      </c>
      <c r="AO149" s="62">
        <f t="shared" si="144"/>
        <v>365.76175372075869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0.7745829253926354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0.7745829253926354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405.13433810198853</v>
      </c>
      <c r="BJ149" s="62">
        <f t="shared" si="146"/>
        <v>534.74398214162079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0.83028743788725001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1.3339940142026324E-16</v>
      </c>
      <c r="BS149" s="24">
        <f t="shared" si="117"/>
        <v>0.83028743788725012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411.60020200960821</v>
      </c>
      <c r="CE149" s="62">
        <f t="shared" si="148"/>
        <v>261.95434270986397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261.00000000000017</v>
      </c>
      <c r="CU149" s="18">
        <f>CT149*VLOOKUP('Données projet'!$B$13,Paramètres!$A$1:$I$89,3,0)*VLOOKUP('Données projet'!$B$13,Paramètres!$A$1:$I$89,5,0)</f>
        <v>211.72320000000013</v>
      </c>
      <c r="CV149" s="14">
        <f t="shared" si="149"/>
        <v>52.311968964212078</v>
      </c>
      <c r="CW149" s="22">
        <f t="shared" si="121"/>
        <v>459.8612526126696</v>
      </c>
      <c r="CX149" s="62">
        <f t="shared" si="122"/>
        <v>753.19458594600292</v>
      </c>
      <c r="CY149" s="62">
        <f ca="1">AVERAGE(OFFSET($CX$3,0,0,'Données projet'!$E$13+1,1))-AVERAGE(OFFSET($H$3,0,0,'Données projet'!$E$13+1,1))</f>
        <v>293.51866463276224</v>
      </c>
      <c r="CZ149" s="62">
        <f t="shared" si="150"/>
        <v>232.78663842203713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1.7053025658242404E-13</v>
      </c>
      <c r="O150" s="14">
        <f>N150*VLOOKUP('Données projet'!$B$9,Paramètres!$A$1:$I$89,3,0)*VLOOKUP('Données projet'!$B$9,Paramètres!$A$1:$I$89,5,0)</f>
        <v>1.4897523215040567E-13</v>
      </c>
      <c r="P150" s="14">
        <f t="shared" si="141"/>
        <v>2.136562777003313E-12</v>
      </c>
      <c r="Q150" s="22">
        <f t="shared" si="108"/>
        <v>3.9806453659427267E-12</v>
      </c>
      <c r="R150" s="62">
        <f t="shared" si="109"/>
        <v>293.33333333333729</v>
      </c>
      <c r="S150" s="62">
        <f ca="1">AVERAGE(OFFSET($R$3,0,0,'Données projet'!$E$9+1,1))-AVERAGE(OFFSET($H$3,0,0,'Données projet'!$E$9+1,1))</f>
        <v>239.16843440041487</v>
      </c>
      <c r="T150" s="62">
        <f t="shared" si="142"/>
        <v>241.82319822554194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0.18527620476178347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0.18527620476178347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-3.4106051316484809E-13</v>
      </c>
      <c r="AJ150" s="14">
        <f>AI150*VLOOKUP('Données projet'!$B$10,Paramètres!$A$1:$I$89,3,0)*VLOOKUP('Données projet'!$B$10,Paramètres!$A$1:$I$89,5,0)</f>
        <v>-2.5006556825246659E-13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376.5422416541544</v>
      </c>
      <c r="AO150" s="62">
        <f t="shared" si="144"/>
        <v>365.76175372075869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0.75939382667461985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0.75939382667461985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405.13433810198853</v>
      </c>
      <c r="BJ150" s="62">
        <f t="shared" si="146"/>
        <v>534.74398214162079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0.81400600765561282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9.43276213504945E-17</v>
      </c>
      <c r="BS150" s="24">
        <f t="shared" si="117"/>
        <v>0.81400600765561293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411.60020200960821</v>
      </c>
      <c r="CE150" s="62">
        <f t="shared" si="148"/>
        <v>261.95434270986397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261.00000000000017</v>
      </c>
      <c r="CU150" s="18">
        <f>CT150*VLOOKUP('Données projet'!$B$13,Paramètres!$A$1:$I$89,3,0)*VLOOKUP('Données projet'!$B$13,Paramètres!$A$1:$I$89,5,0)</f>
        <v>211.72320000000013</v>
      </c>
      <c r="CV150" s="14">
        <f t="shared" si="149"/>
        <v>52.311968964212078</v>
      </c>
      <c r="CW150" s="22">
        <f t="shared" si="121"/>
        <v>459.8612526126696</v>
      </c>
      <c r="CX150" s="62">
        <f t="shared" si="122"/>
        <v>753.19458594600292</v>
      </c>
      <c r="CY150" s="62">
        <f ca="1">AVERAGE(OFFSET($CX$3,0,0,'Données projet'!$E$13+1,1))-AVERAGE(OFFSET($H$3,0,0,'Données projet'!$E$13+1,1))</f>
        <v>293.51866463276224</v>
      </c>
      <c r="CZ150" s="62">
        <f t="shared" si="150"/>
        <v>232.78663842203713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1.7053025658242404E-13</v>
      </c>
      <c r="O151" s="14">
        <f>N151*VLOOKUP('Données projet'!$B$9,Paramètres!$A$1:$I$89,3,0)*VLOOKUP('Données projet'!$B$9,Paramètres!$A$1:$I$89,5,0)</f>
        <v>1.4897523215040567E-13</v>
      </c>
      <c r="P151" s="14">
        <f t="shared" si="141"/>
        <v>2.136562777003313E-12</v>
      </c>
      <c r="Q151" s="22">
        <f t="shared" si="108"/>
        <v>3.9806453659427267E-12</v>
      </c>
      <c r="R151" s="62">
        <f t="shared" si="109"/>
        <v>293.33333333333729</v>
      </c>
      <c r="S151" s="62">
        <f ca="1">AVERAGE(OFFSET($R$3,0,0,'Données projet'!$E$9+1,1))-AVERAGE(OFFSET($H$3,0,0,'Données projet'!$E$9+1,1))</f>
        <v>239.16843440041487</v>
      </c>
      <c r="T151" s="62">
        <f t="shared" si="142"/>
        <v>241.82319822554194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0.18020981719932036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0.18020981719932036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-3.4106051316484809E-13</v>
      </c>
      <c r="AJ151" s="14">
        <f>AI151*VLOOKUP('Données projet'!$B$10,Paramètres!$A$1:$I$89,3,0)*VLOOKUP('Données projet'!$B$10,Paramètres!$A$1:$I$89,5,0)</f>
        <v>-2.5006556825246659E-13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376.5422416541544</v>
      </c>
      <c r="AO151" s="62">
        <f t="shared" si="144"/>
        <v>365.76175372075869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0.74450257691802912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0.74450257691802912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405.13433810198853</v>
      </c>
      <c r="BJ151" s="62">
        <f t="shared" si="146"/>
        <v>534.74398214162079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0.79804384634012615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6.6699700710131622E-17</v>
      </c>
      <c r="BS151" s="24">
        <f t="shared" si="117"/>
        <v>0.79804384634012626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411.60020200960821</v>
      </c>
      <c r="CE151" s="62">
        <f t="shared" si="148"/>
        <v>261.95434270986397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261.00000000000017</v>
      </c>
      <c r="CU151" s="18">
        <f>CT151*VLOOKUP('Données projet'!$B$13,Paramètres!$A$1:$I$89,3,0)*VLOOKUP('Données projet'!$B$13,Paramètres!$A$1:$I$89,5,0)</f>
        <v>211.72320000000013</v>
      </c>
      <c r="CV151" s="14">
        <f t="shared" si="149"/>
        <v>52.311968964212078</v>
      </c>
      <c r="CW151" s="22">
        <f t="shared" si="121"/>
        <v>459.8612526126696</v>
      </c>
      <c r="CX151" s="62">
        <f t="shared" si="122"/>
        <v>753.19458594600292</v>
      </c>
      <c r="CY151" s="62">
        <f ca="1">AVERAGE(OFFSET($CX$3,0,0,'Données projet'!$E$13+1,1))-AVERAGE(OFFSET($H$3,0,0,'Données projet'!$E$13+1,1))</f>
        <v>293.51866463276224</v>
      </c>
      <c r="CZ151" s="62">
        <f t="shared" si="150"/>
        <v>232.78663842203713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1.7053025658242404E-13</v>
      </c>
      <c r="O152" s="14">
        <f>N152*VLOOKUP('Données projet'!$B$9,Paramètres!$A$1:$I$89,3,0)*VLOOKUP('Données projet'!$B$9,Paramètres!$A$1:$I$89,5,0)</f>
        <v>1.4897523215040567E-13</v>
      </c>
      <c r="P152" s="14">
        <f t="shared" si="141"/>
        <v>2.136562777003313E-12</v>
      </c>
      <c r="Q152" s="22">
        <f t="shared" si="108"/>
        <v>3.9806453659427267E-12</v>
      </c>
      <c r="R152" s="62">
        <f t="shared" si="109"/>
        <v>293.33333333333729</v>
      </c>
      <c r="S152" s="62">
        <f ca="1">AVERAGE(OFFSET($R$3,0,0,'Données projet'!$E$9+1,1))-AVERAGE(OFFSET($H$3,0,0,'Données projet'!$E$9+1,1))</f>
        <v>239.16843440041487</v>
      </c>
      <c r="T152" s="62">
        <f t="shared" si="142"/>
        <v>241.82319822554194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0.17528197027118253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0.17528197027118253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-3.4106051316484809E-13</v>
      </c>
      <c r="AJ152" s="14">
        <f>AI152*VLOOKUP('Données projet'!$B$10,Paramètres!$A$1:$I$89,3,0)*VLOOKUP('Données projet'!$B$10,Paramètres!$A$1:$I$89,5,0)</f>
        <v>-2.5006556825246659E-13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376.5422416541544</v>
      </c>
      <c r="AO152" s="62">
        <f t="shared" si="144"/>
        <v>365.76175372075869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0.72990333548639963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0.72990333548639963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405.13433810198853</v>
      </c>
      <c r="BJ152" s="62">
        <f t="shared" si="146"/>
        <v>534.74398214162079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0.78239469327207911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4.716381067524725E-17</v>
      </c>
      <c r="BS152" s="24">
        <f t="shared" si="117"/>
        <v>0.78239469327207911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411.60020200960821</v>
      </c>
      <c r="CE152" s="62">
        <f t="shared" si="148"/>
        <v>261.95434270986397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261.00000000000017</v>
      </c>
      <c r="CU152" s="18">
        <f>CT152*VLOOKUP('Données projet'!$B$13,Paramètres!$A$1:$I$89,3,0)*VLOOKUP('Données projet'!$B$13,Paramètres!$A$1:$I$89,5,0)</f>
        <v>211.72320000000013</v>
      </c>
      <c r="CV152" s="14">
        <f t="shared" si="149"/>
        <v>52.311968964212078</v>
      </c>
      <c r="CW152" s="22">
        <f t="shared" si="121"/>
        <v>459.8612526126696</v>
      </c>
      <c r="CX152" s="62">
        <f t="shared" si="122"/>
        <v>753.19458594600292</v>
      </c>
      <c r="CY152" s="62">
        <f ca="1">AVERAGE(OFFSET($CX$3,0,0,'Données projet'!$E$13+1,1))-AVERAGE(OFFSET($H$3,0,0,'Données projet'!$E$13+1,1))</f>
        <v>293.51866463276224</v>
      </c>
      <c r="CZ152" s="62">
        <f t="shared" si="150"/>
        <v>232.78663842203713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1.7053025658242404E-13</v>
      </c>
      <c r="O153" s="14">
        <f>N153*VLOOKUP('Données projet'!$B$9,Paramètres!$A$1:$I$89,3,0)*VLOOKUP('Données projet'!$B$9,Paramètres!$A$1:$I$89,5,0)</f>
        <v>1.4897523215040567E-13</v>
      </c>
      <c r="P153" s="14">
        <f t="shared" si="141"/>
        <v>2.136562777003313E-12</v>
      </c>
      <c r="Q153" s="22">
        <f t="shared" si="108"/>
        <v>3.9806453659427267E-12</v>
      </c>
      <c r="R153" s="62">
        <f t="shared" si="109"/>
        <v>293.33333333333729</v>
      </c>
      <c r="S153" s="62">
        <f ca="1">AVERAGE(OFFSET($R$3,0,0,'Données projet'!$E$9+1,1))-AVERAGE(OFFSET($H$3,0,0,'Données projet'!$E$9+1,1))</f>
        <v>239.16843440041487</v>
      </c>
      <c r="T153" s="62">
        <f t="shared" si="142"/>
        <v>241.82319822554194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0.17048887557643885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0.17048887557643885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-3.4106051316484809E-13</v>
      </c>
      <c r="AJ153" s="14">
        <f>AI153*VLOOKUP('Données projet'!$B$10,Paramètres!$A$1:$I$89,3,0)*VLOOKUP('Données projet'!$B$10,Paramètres!$A$1:$I$89,5,0)</f>
        <v>-2.5006556825246659E-13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376.5422416541544</v>
      </c>
      <c r="AO153" s="62">
        <f t="shared" si="144"/>
        <v>365.76175372075869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0.71559037627458644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0.71559037627458644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405.13433810198853</v>
      </c>
      <c r="BJ153" s="62">
        <f t="shared" si="146"/>
        <v>534.74398214162079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0.76705241055065565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3.3349850355065811E-17</v>
      </c>
      <c r="BS153" s="24">
        <f t="shared" si="117"/>
        <v>0.76705241055065565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411.60020200960821</v>
      </c>
      <c r="CE153" s="62">
        <f t="shared" si="148"/>
        <v>261.95434270986397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261.00000000000017</v>
      </c>
      <c r="CU153" s="18">
        <f>CT153*VLOOKUP('Données projet'!$B$13,Paramètres!$A$1:$I$89,3,0)*VLOOKUP('Données projet'!$B$13,Paramètres!$A$1:$I$89,5,0)</f>
        <v>211.72320000000013</v>
      </c>
      <c r="CV153" s="14">
        <f t="shared" si="149"/>
        <v>52.311968964212078</v>
      </c>
      <c r="CW153" s="22">
        <f t="shared" si="121"/>
        <v>459.8612526126696</v>
      </c>
      <c r="CX153" s="62">
        <f t="shared" si="122"/>
        <v>753.19458594600292</v>
      </c>
      <c r="CY153" s="62">
        <f ca="1">AVERAGE(OFFSET($CX$3,0,0,'Données projet'!$E$13+1,1))-AVERAGE(OFFSET($H$3,0,0,'Données projet'!$E$13+1,1))</f>
        <v>293.51866463276224</v>
      </c>
      <c r="CZ153" s="62">
        <f t="shared" si="150"/>
        <v>232.78663842203713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1.7053025658242404E-13</v>
      </c>
      <c r="O154" s="14">
        <f>N154*VLOOKUP('Données projet'!$B$9,Paramètres!$A$1:$I$89,3,0)*VLOOKUP('Données projet'!$B$9,Paramètres!$A$1:$I$89,5,0)</f>
        <v>1.4897523215040567E-13</v>
      </c>
      <c r="P154" s="14">
        <f t="shared" si="141"/>
        <v>2.136562777003313E-12</v>
      </c>
      <c r="Q154" s="22">
        <f t="shared" ref="Q154:Q203" si="162">(O154+P154)*0.475*44/12</f>
        <v>3.9806453659427267E-12</v>
      </c>
      <c r="R154" s="62">
        <f t="shared" si="109"/>
        <v>293.33333333333729</v>
      </c>
      <c r="S154" s="62">
        <f ca="1">AVERAGE(OFFSET($R$3,0,0,'Données projet'!$E$9+1,1))-AVERAGE(OFFSET($H$3,0,0,'Données projet'!$E$9+1,1))</f>
        <v>239.16843440041487</v>
      </c>
      <c r="T154" s="62">
        <f t="shared" si="142"/>
        <v>241.82319822554194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0.16582684830818081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0.16582684830818081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-3.4106051316484809E-13</v>
      </c>
      <c r="AJ154" s="14">
        <f>AI154*VLOOKUP('Données projet'!$B$10,Paramètres!$A$1:$I$89,3,0)*VLOOKUP('Données projet'!$B$10,Paramètres!$A$1:$I$89,5,0)</f>
        <v>-2.5006556825246659E-13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376.5422416541544</v>
      </c>
      <c r="AO154" s="62">
        <f t="shared" si="144"/>
        <v>365.76175372075869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0.70155808546287379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0.70155808546287379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405.13433810198853</v>
      </c>
      <c r="BJ154" s="62">
        <f t="shared" si="146"/>
        <v>534.74398214162079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0.75201098063553085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2.3581905337623625E-17</v>
      </c>
      <c r="BS154" s="24">
        <f t="shared" ref="BS154:BS203" si="169">SUM(BP154:BR154)</f>
        <v>0.75201098063553085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411.60020200960821</v>
      </c>
      <c r="CE154" s="62">
        <f t="shared" si="148"/>
        <v>261.95434270986397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261.00000000000017</v>
      </c>
      <c r="CU154" s="18">
        <f>CT154*VLOOKUP('Données projet'!$B$13,Paramètres!$A$1:$I$89,3,0)*VLOOKUP('Données projet'!$B$13,Paramètres!$A$1:$I$89,5,0)</f>
        <v>211.72320000000013</v>
      </c>
      <c r="CV154" s="14">
        <f t="shared" ref="CV154:CV203" si="173">EXP(-1.0587+0.8836*LN(CU154)+0.284)</f>
        <v>52.311968964212078</v>
      </c>
      <c r="CW154" s="22">
        <f t="shared" ref="CW154:CW203" si="174">(CU154+CV154)*0.475*44/12</f>
        <v>459.8612526126696</v>
      </c>
      <c r="CX154" s="62">
        <f t="shared" si="122"/>
        <v>753.19458594600292</v>
      </c>
      <c r="CY154" s="62">
        <f ca="1">AVERAGE(OFFSET($CX$3,0,0,'Données projet'!$E$13+1,1))-AVERAGE(OFFSET($H$3,0,0,'Données projet'!$E$13+1,1))</f>
        <v>293.51866463276224</v>
      </c>
      <c r="CZ154" s="62">
        <f t="shared" si="150"/>
        <v>232.78663842203713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1.7053025658242404E-13</v>
      </c>
      <c r="O155" s="14">
        <f>N155*VLOOKUP('Données projet'!$B$9,Paramètres!$A$1:$I$89,3,0)*VLOOKUP('Données projet'!$B$9,Paramètres!$A$1:$I$89,5,0)</f>
        <v>1.4897523215040567E-13</v>
      </c>
      <c r="P155" s="14">
        <f t="shared" si="141"/>
        <v>2.136562777003313E-12</v>
      </c>
      <c r="Q155" s="22">
        <f t="shared" si="162"/>
        <v>3.9806453659427267E-12</v>
      </c>
      <c r="R155" s="62">
        <f t="shared" si="109"/>
        <v>293.33333333333729</v>
      </c>
      <c r="S155" s="62">
        <f ca="1">AVERAGE(OFFSET($R$3,0,0,'Données projet'!$E$9+1,1))-AVERAGE(OFFSET($H$3,0,0,'Données projet'!$E$9+1,1))</f>
        <v>239.16843440041487</v>
      </c>
      <c r="T155" s="62">
        <f t="shared" si="142"/>
        <v>241.82319822554194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0.16129230442073866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0.16129230442073866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-3.4106051316484809E-13</v>
      </c>
      <c r="AJ155" s="14">
        <f>AI155*VLOOKUP('Données projet'!$B$10,Paramètres!$A$1:$I$89,3,0)*VLOOKUP('Données projet'!$B$10,Paramètres!$A$1:$I$89,5,0)</f>
        <v>-2.5006556825246659E-13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376.5422416541544</v>
      </c>
      <c r="AO155" s="62">
        <f t="shared" si="144"/>
        <v>365.76175372075869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0.68780095931512653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0.68780095931512653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405.13433810198853</v>
      </c>
      <c r="BJ155" s="62">
        <f t="shared" si="146"/>
        <v>534.74398214162079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0.7372645039866752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1.6674925177532905E-17</v>
      </c>
      <c r="BS155" s="24">
        <f t="shared" si="169"/>
        <v>0.7372645039866752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411.60020200960821</v>
      </c>
      <c r="CE155" s="62">
        <f t="shared" si="148"/>
        <v>261.95434270986397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261.00000000000017</v>
      </c>
      <c r="CU155" s="18">
        <f>CT155*VLOOKUP('Données projet'!$B$13,Paramètres!$A$1:$I$89,3,0)*VLOOKUP('Données projet'!$B$13,Paramètres!$A$1:$I$89,5,0)</f>
        <v>211.72320000000013</v>
      </c>
      <c r="CV155" s="14">
        <f t="shared" si="173"/>
        <v>52.311968964212078</v>
      </c>
      <c r="CW155" s="22">
        <f t="shared" si="174"/>
        <v>459.8612526126696</v>
      </c>
      <c r="CX155" s="62">
        <f t="shared" si="122"/>
        <v>753.19458594600292</v>
      </c>
      <c r="CY155" s="62">
        <f ca="1">AVERAGE(OFFSET($CX$3,0,0,'Données projet'!$E$13+1,1))-AVERAGE(OFFSET($H$3,0,0,'Données projet'!$E$13+1,1))</f>
        <v>293.51866463276224</v>
      </c>
      <c r="CZ155" s="62">
        <f t="shared" si="150"/>
        <v>232.78663842203713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1.7053025658242404E-13</v>
      </c>
      <c r="O156" s="14">
        <f>N156*VLOOKUP('Données projet'!$B$9,Paramètres!$A$1:$I$89,3,0)*VLOOKUP('Données projet'!$B$9,Paramètres!$A$1:$I$89,5,0)</f>
        <v>1.4897523215040567E-13</v>
      </c>
      <c r="P156" s="14">
        <f t="shared" si="141"/>
        <v>2.136562777003313E-12</v>
      </c>
      <c r="Q156" s="22">
        <f t="shared" si="162"/>
        <v>3.9806453659427267E-12</v>
      </c>
      <c r="R156" s="62">
        <f t="shared" si="109"/>
        <v>293.33333333333729</v>
      </c>
      <c r="S156" s="62">
        <f ca="1">AVERAGE(OFFSET($R$3,0,0,'Données projet'!$E$9+1,1))-AVERAGE(OFFSET($H$3,0,0,'Données projet'!$E$9+1,1))</f>
        <v>239.16843440041487</v>
      </c>
      <c r="T156" s="62">
        <f t="shared" si="142"/>
        <v>241.82319822554194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0.1568817578743599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0.1568817578743599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-3.4106051316484809E-13</v>
      </c>
      <c r="AJ156" s="14">
        <f>AI156*VLOOKUP('Données projet'!$B$10,Paramètres!$A$1:$I$89,3,0)*VLOOKUP('Données projet'!$B$10,Paramètres!$A$1:$I$89,5,0)</f>
        <v>-2.5006556825246659E-13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376.5422416541544</v>
      </c>
      <c r="AO156" s="62">
        <f t="shared" si="144"/>
        <v>365.76175372075869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0.67431360202011825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0.67431360202011825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405.13433810198853</v>
      </c>
      <c r="BJ156" s="62">
        <f t="shared" si="146"/>
        <v>534.74398214162079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0.72280719675044103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1.1790952668811813E-17</v>
      </c>
      <c r="BS156" s="24">
        <f t="shared" si="169"/>
        <v>0.72280719675044103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411.60020200960821</v>
      </c>
      <c r="CE156" s="62">
        <f t="shared" si="148"/>
        <v>261.95434270986397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261.00000000000017</v>
      </c>
      <c r="CU156" s="18">
        <f>CT156*VLOOKUP('Données projet'!$B$13,Paramètres!$A$1:$I$89,3,0)*VLOOKUP('Données projet'!$B$13,Paramètres!$A$1:$I$89,5,0)</f>
        <v>211.72320000000013</v>
      </c>
      <c r="CV156" s="14">
        <f t="shared" si="173"/>
        <v>52.311968964212078</v>
      </c>
      <c r="CW156" s="22">
        <f t="shared" si="174"/>
        <v>459.8612526126696</v>
      </c>
      <c r="CX156" s="62">
        <f t="shared" si="122"/>
        <v>753.19458594600292</v>
      </c>
      <c r="CY156" s="62">
        <f ca="1">AVERAGE(OFFSET($CX$3,0,0,'Données projet'!$E$13+1,1))-AVERAGE(OFFSET($H$3,0,0,'Données projet'!$E$13+1,1))</f>
        <v>293.51866463276224</v>
      </c>
      <c r="CZ156" s="62">
        <f t="shared" si="150"/>
        <v>232.78663842203713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1.7053025658242404E-13</v>
      </c>
      <c r="O157" s="14">
        <f>N157*VLOOKUP('Données projet'!$B$9,Paramètres!$A$1:$I$89,3,0)*VLOOKUP('Données projet'!$B$9,Paramètres!$A$1:$I$89,5,0)</f>
        <v>1.4897523215040567E-13</v>
      </c>
      <c r="P157" s="14">
        <f t="shared" si="141"/>
        <v>2.136562777003313E-12</v>
      </c>
      <c r="Q157" s="22">
        <f t="shared" si="162"/>
        <v>3.9806453659427267E-12</v>
      </c>
      <c r="R157" s="62">
        <f t="shared" si="109"/>
        <v>293.33333333333729</v>
      </c>
      <c r="S157" s="62">
        <f ca="1">AVERAGE(OFFSET($R$3,0,0,'Données projet'!$E$9+1,1))-AVERAGE(OFFSET($H$3,0,0,'Données projet'!$E$9+1,1))</f>
        <v>239.16843440041487</v>
      </c>
      <c r="T157" s="62">
        <f t="shared" si="142"/>
        <v>241.82319822554194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0.15259181795523244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0.15259181795523244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-3.4106051316484809E-13</v>
      </c>
      <c r="AJ157" s="14">
        <f>AI157*VLOOKUP('Données projet'!$B$10,Paramètres!$A$1:$I$89,3,0)*VLOOKUP('Données projet'!$B$10,Paramètres!$A$1:$I$89,5,0)</f>
        <v>-2.5006556825246659E-13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376.5422416541544</v>
      </c>
      <c r="AO157" s="62">
        <f t="shared" si="144"/>
        <v>365.76175372075869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0.66109072357518939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0.66109072357518939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405.13433810198853</v>
      </c>
      <c r="BJ157" s="62">
        <f t="shared" si="146"/>
        <v>534.74398214162079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0.70863338849102275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8.3374625887664527E-18</v>
      </c>
      <c r="BS157" s="24">
        <f t="shared" si="169"/>
        <v>0.70863338849102275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411.60020200960821</v>
      </c>
      <c r="CE157" s="62">
        <f t="shared" si="148"/>
        <v>261.95434270986397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261.00000000000017</v>
      </c>
      <c r="CU157" s="18">
        <f>CT157*VLOOKUP('Données projet'!$B$13,Paramètres!$A$1:$I$89,3,0)*VLOOKUP('Données projet'!$B$13,Paramètres!$A$1:$I$89,5,0)</f>
        <v>211.72320000000013</v>
      </c>
      <c r="CV157" s="14">
        <f t="shared" si="173"/>
        <v>52.311968964212078</v>
      </c>
      <c r="CW157" s="22">
        <f t="shared" si="174"/>
        <v>459.8612526126696</v>
      </c>
      <c r="CX157" s="62">
        <f t="shared" si="122"/>
        <v>753.19458594600292</v>
      </c>
      <c r="CY157" s="62">
        <f ca="1">AVERAGE(OFFSET($CX$3,0,0,'Données projet'!$E$13+1,1))-AVERAGE(OFFSET($H$3,0,0,'Données projet'!$E$13+1,1))</f>
        <v>293.51866463276224</v>
      </c>
      <c r="CZ157" s="62">
        <f t="shared" si="150"/>
        <v>232.78663842203713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1.7053025658242404E-13</v>
      </c>
      <c r="O158" s="14">
        <f>N158*VLOOKUP('Données projet'!$B$9,Paramètres!$A$1:$I$89,3,0)*VLOOKUP('Données projet'!$B$9,Paramètres!$A$1:$I$89,5,0)</f>
        <v>1.4897523215040567E-13</v>
      </c>
      <c r="P158" s="14">
        <f t="shared" si="141"/>
        <v>2.136562777003313E-12</v>
      </c>
      <c r="Q158" s="22">
        <f t="shared" si="162"/>
        <v>3.9806453659427267E-12</v>
      </c>
      <c r="R158" s="62">
        <f t="shared" si="109"/>
        <v>293.33333333333729</v>
      </c>
      <c r="S158" s="62">
        <f ca="1">AVERAGE(OFFSET($R$3,0,0,'Données projet'!$E$9+1,1))-AVERAGE(OFFSET($H$3,0,0,'Données projet'!$E$9+1,1))</f>
        <v>239.16843440041487</v>
      </c>
      <c r="T158" s="62">
        <f t="shared" si="142"/>
        <v>241.82319822554194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0.14841918666879164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0.14841918666879164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-3.4106051316484809E-13</v>
      </c>
      <c r="AJ158" s="14">
        <f>AI158*VLOOKUP('Données projet'!$B$10,Paramètres!$A$1:$I$89,3,0)*VLOOKUP('Données projet'!$B$10,Paramètres!$A$1:$I$89,5,0)</f>
        <v>-2.5006556825246659E-13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376.5422416541544</v>
      </c>
      <c r="AO158" s="62">
        <f t="shared" si="144"/>
        <v>365.76175372075869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0.64812713771140607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0.64812713771140607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405.13433810198853</v>
      </c>
      <c r="BJ158" s="62">
        <f t="shared" si="146"/>
        <v>534.74398214162079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0.69473751996640221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5.8954763344059063E-18</v>
      </c>
      <c r="BS158" s="24">
        <f t="shared" si="169"/>
        <v>0.69473751996640221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411.60020200960821</v>
      </c>
      <c r="CE158" s="62">
        <f t="shared" si="148"/>
        <v>261.95434270986397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261.00000000000017</v>
      </c>
      <c r="CU158" s="18">
        <f>CT158*VLOOKUP('Données projet'!$B$13,Paramètres!$A$1:$I$89,3,0)*VLOOKUP('Données projet'!$B$13,Paramètres!$A$1:$I$89,5,0)</f>
        <v>211.72320000000013</v>
      </c>
      <c r="CV158" s="14">
        <f t="shared" si="173"/>
        <v>52.311968964212078</v>
      </c>
      <c r="CW158" s="22">
        <f t="shared" si="174"/>
        <v>459.8612526126696</v>
      </c>
      <c r="CX158" s="62">
        <f t="shared" si="122"/>
        <v>753.19458594600292</v>
      </c>
      <c r="CY158" s="62">
        <f ca="1">AVERAGE(OFFSET($CX$3,0,0,'Données projet'!$E$13+1,1))-AVERAGE(OFFSET($H$3,0,0,'Données projet'!$E$13+1,1))</f>
        <v>293.51866463276224</v>
      </c>
      <c r="CZ158" s="62">
        <f t="shared" si="150"/>
        <v>232.78663842203713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1.7053025658242404E-13</v>
      </c>
      <c r="O159" s="14">
        <f>N159*VLOOKUP('Données projet'!$B$9,Paramètres!$A$1:$I$89,3,0)*VLOOKUP('Données projet'!$B$9,Paramètres!$A$1:$I$89,5,0)</f>
        <v>1.4897523215040567E-13</v>
      </c>
      <c r="P159" s="14">
        <f t="shared" si="141"/>
        <v>2.136562777003313E-12</v>
      </c>
      <c r="Q159" s="22">
        <f t="shared" si="162"/>
        <v>3.9806453659427267E-12</v>
      </c>
      <c r="R159" s="62">
        <f t="shared" si="109"/>
        <v>293.33333333333729</v>
      </c>
      <c r="S159" s="62">
        <f ca="1">AVERAGE(OFFSET($R$3,0,0,'Données projet'!$E$9+1,1))-AVERAGE(OFFSET($H$3,0,0,'Données projet'!$E$9+1,1))</f>
        <v>239.16843440041487</v>
      </c>
      <c r="T159" s="62">
        <f t="shared" si="142"/>
        <v>241.82319822554194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0.14436065620430771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0.14436065620430771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-3.4106051316484809E-13</v>
      </c>
      <c r="AJ159" s="14">
        <f>AI159*VLOOKUP('Données projet'!$B$10,Paramètres!$A$1:$I$89,3,0)*VLOOKUP('Données projet'!$B$10,Paramètres!$A$1:$I$89,5,0)</f>
        <v>-2.5006556825246659E-13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376.5422416541544</v>
      </c>
      <c r="AO159" s="62">
        <f t="shared" si="144"/>
        <v>365.76175372075869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0.63541775985940496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0.63541775985940496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405.13433810198853</v>
      </c>
      <c r="BJ159" s="62">
        <f t="shared" si="146"/>
        <v>534.74398214162079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0.68111414094790657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4.1687312943832264E-18</v>
      </c>
      <c r="BS159" s="24">
        <f t="shared" si="169"/>
        <v>0.68111414094790657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411.60020200960821</v>
      </c>
      <c r="CE159" s="62">
        <f t="shared" si="148"/>
        <v>261.95434270986397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261.00000000000017</v>
      </c>
      <c r="CU159" s="18">
        <f>CT159*VLOOKUP('Données projet'!$B$13,Paramètres!$A$1:$I$89,3,0)*VLOOKUP('Données projet'!$B$13,Paramètres!$A$1:$I$89,5,0)</f>
        <v>211.72320000000013</v>
      </c>
      <c r="CV159" s="14">
        <f t="shared" si="173"/>
        <v>52.311968964212078</v>
      </c>
      <c r="CW159" s="22">
        <f t="shared" si="174"/>
        <v>459.8612526126696</v>
      </c>
      <c r="CX159" s="62">
        <f t="shared" si="122"/>
        <v>753.19458594600292</v>
      </c>
      <c r="CY159" s="62">
        <f ca="1">AVERAGE(OFFSET($CX$3,0,0,'Données projet'!$E$13+1,1))-AVERAGE(OFFSET($H$3,0,0,'Données projet'!$E$13+1,1))</f>
        <v>293.51866463276224</v>
      </c>
      <c r="CZ159" s="62">
        <f t="shared" si="150"/>
        <v>232.78663842203713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1.7053025658242404E-13</v>
      </c>
      <c r="O160" s="14">
        <f>N160*VLOOKUP('Données projet'!$B$9,Paramètres!$A$1:$I$89,3,0)*VLOOKUP('Données projet'!$B$9,Paramètres!$A$1:$I$89,5,0)</f>
        <v>1.4897523215040567E-13</v>
      </c>
      <c r="P160" s="14">
        <f t="shared" si="141"/>
        <v>2.136562777003313E-12</v>
      </c>
      <c r="Q160" s="22">
        <f t="shared" si="162"/>
        <v>3.9806453659427267E-12</v>
      </c>
      <c r="R160" s="62">
        <f t="shared" si="109"/>
        <v>293.33333333333729</v>
      </c>
      <c r="S160" s="62">
        <f ca="1">AVERAGE(OFFSET($R$3,0,0,'Données projet'!$E$9+1,1))-AVERAGE(OFFSET($H$3,0,0,'Données projet'!$E$9+1,1))</f>
        <v>239.16843440041487</v>
      </c>
      <c r="T160" s="62">
        <f t="shared" si="142"/>
        <v>241.82319822554194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0.14041310646880395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0.14041310646880395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-3.4106051316484809E-13</v>
      </c>
      <c r="AJ160" s="14">
        <f>AI160*VLOOKUP('Données projet'!$B$10,Paramètres!$A$1:$I$89,3,0)*VLOOKUP('Données projet'!$B$10,Paramètres!$A$1:$I$89,5,0)</f>
        <v>-2.5006556825246659E-13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376.5422416541544</v>
      </c>
      <c r="AO160" s="62">
        <f t="shared" si="144"/>
        <v>365.76175372075869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0.62295760515512655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0.62295760515512655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405.13433810198853</v>
      </c>
      <c r="BJ160" s="62">
        <f t="shared" si="146"/>
        <v>534.74398214162079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0.66775790808252289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2.9477381672029531E-18</v>
      </c>
      <c r="BS160" s="24">
        <f t="shared" si="169"/>
        <v>0.66775790808252289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411.60020200960821</v>
      </c>
      <c r="CE160" s="62">
        <f t="shared" si="148"/>
        <v>261.95434270986397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261.00000000000017</v>
      </c>
      <c r="CU160" s="18">
        <f>CT160*VLOOKUP('Données projet'!$B$13,Paramètres!$A$1:$I$89,3,0)*VLOOKUP('Données projet'!$B$13,Paramètres!$A$1:$I$89,5,0)</f>
        <v>211.72320000000013</v>
      </c>
      <c r="CV160" s="14">
        <f t="shared" si="173"/>
        <v>52.311968964212078</v>
      </c>
      <c r="CW160" s="22">
        <f t="shared" si="174"/>
        <v>459.8612526126696</v>
      </c>
      <c r="CX160" s="62">
        <f t="shared" si="122"/>
        <v>753.19458594600292</v>
      </c>
      <c r="CY160" s="62">
        <f ca="1">AVERAGE(OFFSET($CX$3,0,0,'Données projet'!$E$13+1,1))-AVERAGE(OFFSET($H$3,0,0,'Données projet'!$E$13+1,1))</f>
        <v>293.51866463276224</v>
      </c>
      <c r="CZ160" s="62">
        <f t="shared" si="150"/>
        <v>232.78663842203713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1.7053025658242404E-13</v>
      </c>
      <c r="O161" s="14">
        <f>N161*VLOOKUP('Données projet'!$B$9,Paramètres!$A$1:$I$89,3,0)*VLOOKUP('Données projet'!$B$9,Paramètres!$A$1:$I$89,5,0)</f>
        <v>1.4897523215040567E-13</v>
      </c>
      <c r="P161" s="14">
        <f t="shared" si="141"/>
        <v>2.136562777003313E-12</v>
      </c>
      <c r="Q161" s="22">
        <f t="shared" si="162"/>
        <v>3.9806453659427267E-12</v>
      </c>
      <c r="R161" s="62">
        <f t="shared" si="109"/>
        <v>293.33333333333729</v>
      </c>
      <c r="S161" s="62">
        <f ca="1">AVERAGE(OFFSET($R$3,0,0,'Données projet'!$E$9+1,1))-AVERAGE(OFFSET($H$3,0,0,'Données projet'!$E$9+1,1))</f>
        <v>239.16843440041487</v>
      </c>
      <c r="T161" s="62">
        <f t="shared" si="142"/>
        <v>241.82319822554194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0.13657350268841015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0.13657350268841015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-3.4106051316484809E-13</v>
      </c>
      <c r="AJ161" s="14">
        <f>AI161*VLOOKUP('Données projet'!$B$10,Paramètres!$A$1:$I$89,3,0)*VLOOKUP('Données projet'!$B$10,Paramètres!$A$1:$I$89,5,0)</f>
        <v>-2.5006556825246659E-13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376.5422416541544</v>
      </c>
      <c r="AO161" s="62">
        <f t="shared" si="144"/>
        <v>365.76175372075869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0.61074178648465505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0.61074178648465505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405.13433810198853</v>
      </c>
      <c r="BJ161" s="62">
        <f t="shared" si="146"/>
        <v>534.74398214162079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0.65466358279713177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2.0843656471916132E-18</v>
      </c>
      <c r="BS161" s="24">
        <f t="shared" si="169"/>
        <v>0.65466358279713177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411.60020200960821</v>
      </c>
      <c r="CE161" s="62">
        <f t="shared" si="148"/>
        <v>261.95434270986397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261.00000000000017</v>
      </c>
      <c r="CU161" s="18">
        <f>CT161*VLOOKUP('Données projet'!$B$13,Paramètres!$A$1:$I$89,3,0)*VLOOKUP('Données projet'!$B$13,Paramètres!$A$1:$I$89,5,0)</f>
        <v>211.72320000000013</v>
      </c>
      <c r="CV161" s="14">
        <f t="shared" si="173"/>
        <v>52.311968964212078</v>
      </c>
      <c r="CW161" s="22">
        <f t="shared" si="174"/>
        <v>459.8612526126696</v>
      </c>
      <c r="CX161" s="62">
        <f t="shared" si="122"/>
        <v>753.19458594600292</v>
      </c>
      <c r="CY161" s="62">
        <f ca="1">AVERAGE(OFFSET($CX$3,0,0,'Données projet'!$E$13+1,1))-AVERAGE(OFFSET($H$3,0,0,'Données projet'!$E$13+1,1))</f>
        <v>293.51866463276224</v>
      </c>
      <c r="CZ161" s="62">
        <f t="shared" si="150"/>
        <v>232.78663842203713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1.7053025658242404E-13</v>
      </c>
      <c r="O162" s="14">
        <f>N162*VLOOKUP('Données projet'!$B$9,Paramètres!$A$1:$I$89,3,0)*VLOOKUP('Données projet'!$B$9,Paramètres!$A$1:$I$89,5,0)</f>
        <v>1.4897523215040567E-13</v>
      </c>
      <c r="P162" s="14">
        <f t="shared" si="141"/>
        <v>2.136562777003313E-12</v>
      </c>
      <c r="Q162" s="22">
        <f t="shared" si="162"/>
        <v>3.9806453659427267E-12</v>
      </c>
      <c r="R162" s="62">
        <f t="shared" si="109"/>
        <v>293.33333333333729</v>
      </c>
      <c r="S162" s="62">
        <f ca="1">AVERAGE(OFFSET($R$3,0,0,'Données projet'!$E$9+1,1))-AVERAGE(OFFSET($H$3,0,0,'Données projet'!$E$9+1,1))</f>
        <v>239.16843440041487</v>
      </c>
      <c r="T162" s="62">
        <f t="shared" si="142"/>
        <v>241.82319822554194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0.13283889307530722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0.13283889307530722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-3.4106051316484809E-13</v>
      </c>
      <c r="AJ162" s="14">
        <f>AI162*VLOOKUP('Données projet'!$B$10,Paramètres!$A$1:$I$89,3,0)*VLOOKUP('Données projet'!$B$10,Paramètres!$A$1:$I$89,5,0)</f>
        <v>-2.5006556825246659E-13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376.5422416541544</v>
      </c>
      <c r="AO162" s="62">
        <f t="shared" si="144"/>
        <v>365.76175372075869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0.59876551256739785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0.59876551256739785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405.13433810198853</v>
      </c>
      <c r="BJ162" s="62">
        <f t="shared" si="146"/>
        <v>534.74398214162079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0.64182602924383736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1.4738690836014766E-18</v>
      </c>
      <c r="BS162" s="24">
        <f t="shared" si="169"/>
        <v>0.64182602924383736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411.60020200960821</v>
      </c>
      <c r="CE162" s="62">
        <f t="shared" si="148"/>
        <v>261.95434270986397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261.00000000000017</v>
      </c>
      <c r="CU162" s="18">
        <f>CT162*VLOOKUP('Données projet'!$B$13,Paramètres!$A$1:$I$89,3,0)*VLOOKUP('Données projet'!$B$13,Paramètres!$A$1:$I$89,5,0)</f>
        <v>211.72320000000013</v>
      </c>
      <c r="CV162" s="14">
        <f t="shared" si="173"/>
        <v>52.311968964212078</v>
      </c>
      <c r="CW162" s="22">
        <f t="shared" si="174"/>
        <v>459.8612526126696</v>
      </c>
      <c r="CX162" s="62">
        <f t="shared" si="122"/>
        <v>753.19458594600292</v>
      </c>
      <c r="CY162" s="62">
        <f ca="1">AVERAGE(OFFSET($CX$3,0,0,'Données projet'!$E$13+1,1))-AVERAGE(OFFSET($H$3,0,0,'Données projet'!$E$13+1,1))</f>
        <v>293.51866463276224</v>
      </c>
      <c r="CZ162" s="62">
        <f t="shared" si="150"/>
        <v>232.78663842203713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1.7053025658242404E-13</v>
      </c>
      <c r="O163" s="14">
        <f>N163*VLOOKUP('Données projet'!$B$9,Paramètres!$A$1:$I$89,3,0)*VLOOKUP('Données projet'!$B$9,Paramètres!$A$1:$I$89,5,0)</f>
        <v>1.4897523215040567E-13</v>
      </c>
      <c r="P163" s="14">
        <f t="shared" si="141"/>
        <v>2.136562777003313E-12</v>
      </c>
      <c r="Q163" s="22">
        <f t="shared" si="162"/>
        <v>3.9806453659427267E-12</v>
      </c>
      <c r="R163" s="62">
        <f t="shared" si="109"/>
        <v>293.33333333333729</v>
      </c>
      <c r="S163" s="62">
        <f ca="1">AVERAGE(OFFSET($R$3,0,0,'Données projet'!$E$9+1,1))-AVERAGE(OFFSET($H$3,0,0,'Données projet'!$E$9+1,1))</f>
        <v>239.16843440041487</v>
      </c>
      <c r="T163" s="62">
        <f t="shared" si="142"/>
        <v>241.82319822554194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0.12920640655846916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0.12920640655846916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-3.4106051316484809E-13</v>
      </c>
      <c r="AJ163" s="14">
        <f>AI163*VLOOKUP('Données projet'!$B$10,Paramètres!$A$1:$I$89,3,0)*VLOOKUP('Données projet'!$B$10,Paramètres!$A$1:$I$89,5,0)</f>
        <v>-2.5006556825246659E-13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376.5422416541544</v>
      </c>
      <c r="AO163" s="62">
        <f t="shared" si="144"/>
        <v>365.76175372075869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0.5870240860768523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0.5870240860768523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405.13433810198853</v>
      </c>
      <c r="BJ163" s="62">
        <f t="shared" si="146"/>
        <v>534.74398214162079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0.62924021228558857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1.0421828235958066E-18</v>
      </c>
      <c r="BS163" s="24">
        <f t="shared" si="169"/>
        <v>0.62924021228558857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411.60020200960821</v>
      </c>
      <c r="CE163" s="62">
        <f t="shared" si="148"/>
        <v>261.95434270986397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261.00000000000017</v>
      </c>
      <c r="CU163" s="18">
        <f>CT163*VLOOKUP('Données projet'!$B$13,Paramètres!$A$1:$I$89,3,0)*VLOOKUP('Données projet'!$B$13,Paramètres!$A$1:$I$89,5,0)</f>
        <v>211.72320000000013</v>
      </c>
      <c r="CV163" s="14">
        <f t="shared" si="173"/>
        <v>52.311968964212078</v>
      </c>
      <c r="CW163" s="22">
        <f t="shared" si="174"/>
        <v>459.8612526126696</v>
      </c>
      <c r="CX163" s="62">
        <f t="shared" si="122"/>
        <v>753.19458594600292</v>
      </c>
      <c r="CY163" s="62">
        <f ca="1">AVERAGE(OFFSET($CX$3,0,0,'Données projet'!$E$13+1,1))-AVERAGE(OFFSET($H$3,0,0,'Données projet'!$E$13+1,1))</f>
        <v>293.51866463276224</v>
      </c>
      <c r="CZ163" s="62">
        <f t="shared" si="150"/>
        <v>232.78663842203713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1.7053025658242404E-13</v>
      </c>
      <c r="O164" s="14">
        <f>N164*VLOOKUP('Données projet'!$B$9,Paramètres!$A$1:$I$89,3,0)*VLOOKUP('Données projet'!$B$9,Paramètres!$A$1:$I$89,5,0)</f>
        <v>1.4897523215040567E-13</v>
      </c>
      <c r="P164" s="14">
        <f t="shared" si="141"/>
        <v>2.136562777003313E-12</v>
      </c>
      <c r="Q164" s="22">
        <f t="shared" si="162"/>
        <v>3.9806453659427267E-12</v>
      </c>
      <c r="R164" s="62">
        <f t="shared" si="109"/>
        <v>293.33333333333729</v>
      </c>
      <c r="S164" s="62">
        <f ca="1">AVERAGE(OFFSET($R$3,0,0,'Données projet'!$E$9+1,1))-AVERAGE(OFFSET($H$3,0,0,'Données projet'!$E$9+1,1))</f>
        <v>239.16843440041487</v>
      </c>
      <c r="T164" s="62">
        <f t="shared" si="142"/>
        <v>241.82319822554194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0.1256732505764582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0.1256732505764582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-3.4106051316484809E-13</v>
      </c>
      <c r="AJ164" s="14">
        <f>AI164*VLOOKUP('Données projet'!$B$10,Paramètres!$A$1:$I$89,3,0)*VLOOKUP('Données projet'!$B$10,Paramètres!$A$1:$I$89,5,0)</f>
        <v>-2.5006556825246659E-13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376.5422416541544</v>
      </c>
      <c r="AO164" s="62">
        <f t="shared" si="144"/>
        <v>365.76175372075869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0.57551290179822334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0.57551290179822334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405.13433810198853</v>
      </c>
      <c r="BJ164" s="62">
        <f t="shared" si="146"/>
        <v>534.74398214162079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0.61690119552130074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7.3693454180073828E-19</v>
      </c>
      <c r="BS164" s="24">
        <f t="shared" si="169"/>
        <v>0.61690119552130074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411.60020200960821</v>
      </c>
      <c r="CE164" s="62">
        <f t="shared" si="148"/>
        <v>261.95434270986397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261.00000000000017</v>
      </c>
      <c r="CU164" s="18">
        <f>CT164*VLOOKUP('Données projet'!$B$13,Paramètres!$A$1:$I$89,3,0)*VLOOKUP('Données projet'!$B$13,Paramètres!$A$1:$I$89,5,0)</f>
        <v>211.72320000000013</v>
      </c>
      <c r="CV164" s="14">
        <f t="shared" si="173"/>
        <v>52.311968964212078</v>
      </c>
      <c r="CW164" s="22">
        <f t="shared" si="174"/>
        <v>459.8612526126696</v>
      </c>
      <c r="CX164" s="62">
        <f t="shared" si="122"/>
        <v>753.19458594600292</v>
      </c>
      <c r="CY164" s="62">
        <f ca="1">AVERAGE(OFFSET($CX$3,0,0,'Données projet'!$E$13+1,1))-AVERAGE(OFFSET($H$3,0,0,'Données projet'!$E$13+1,1))</f>
        <v>293.51866463276224</v>
      </c>
      <c r="CZ164" s="62">
        <f t="shared" si="150"/>
        <v>232.78663842203713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1.7053025658242404E-13</v>
      </c>
      <c r="O165" s="14">
        <f>N165*VLOOKUP('Données projet'!$B$9,Paramètres!$A$1:$I$89,3,0)*VLOOKUP('Données projet'!$B$9,Paramètres!$A$1:$I$89,5,0)</f>
        <v>1.4897523215040567E-13</v>
      </c>
      <c r="P165" s="14">
        <f t="shared" si="141"/>
        <v>2.136562777003313E-12</v>
      </c>
      <c r="Q165" s="22">
        <f t="shared" si="162"/>
        <v>3.9806453659427267E-12</v>
      </c>
      <c r="R165" s="62">
        <f t="shared" si="109"/>
        <v>293.33333333333729</v>
      </c>
      <c r="S165" s="62">
        <f ca="1">AVERAGE(OFFSET($R$3,0,0,'Données projet'!$E$9+1,1))-AVERAGE(OFFSET($H$3,0,0,'Données projet'!$E$9+1,1))</f>
        <v>239.16843440041487</v>
      </c>
      <c r="T165" s="62">
        <f t="shared" si="142"/>
        <v>241.82319822554194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0.12223670893057594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0.12223670893057594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-3.4106051316484809E-13</v>
      </c>
      <c r="AJ165" s="14">
        <f>AI165*VLOOKUP('Données projet'!$B$10,Paramètres!$A$1:$I$89,3,0)*VLOOKUP('Données projet'!$B$10,Paramètres!$A$1:$I$89,5,0)</f>
        <v>-2.5006556825246659E-13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376.5422416541544</v>
      </c>
      <c r="AO165" s="62">
        <f t="shared" si="144"/>
        <v>365.76175372075869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0.56422744482216913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0.56422744482216913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405.13433810198853</v>
      </c>
      <c r="BJ165" s="62">
        <f t="shared" si="146"/>
        <v>534.74398214162079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0.60480413934970345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5.210914117979033E-19</v>
      </c>
      <c r="BS165" s="24">
        <f t="shared" si="169"/>
        <v>0.60480413934970345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411.60020200960821</v>
      </c>
      <c r="CE165" s="62">
        <f t="shared" si="148"/>
        <v>261.95434270986397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261.00000000000017</v>
      </c>
      <c r="CU165" s="18">
        <f>CT165*VLOOKUP('Données projet'!$B$13,Paramètres!$A$1:$I$89,3,0)*VLOOKUP('Données projet'!$B$13,Paramètres!$A$1:$I$89,5,0)</f>
        <v>211.72320000000013</v>
      </c>
      <c r="CV165" s="14">
        <f t="shared" si="173"/>
        <v>52.311968964212078</v>
      </c>
      <c r="CW165" s="22">
        <f t="shared" si="174"/>
        <v>459.8612526126696</v>
      </c>
      <c r="CX165" s="62">
        <f t="shared" si="122"/>
        <v>753.19458594600292</v>
      </c>
      <c r="CY165" s="62">
        <f ca="1">AVERAGE(OFFSET($CX$3,0,0,'Données projet'!$E$13+1,1))-AVERAGE(OFFSET($H$3,0,0,'Données projet'!$E$13+1,1))</f>
        <v>293.51866463276224</v>
      </c>
      <c r="CZ165" s="62">
        <f t="shared" si="150"/>
        <v>232.78663842203713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1.7053025658242404E-13</v>
      </c>
      <c r="O166" s="14">
        <f>N166*VLOOKUP('Données projet'!$B$9,Paramètres!$A$1:$I$89,3,0)*VLOOKUP('Données projet'!$B$9,Paramètres!$A$1:$I$89,5,0)</f>
        <v>1.4897523215040567E-13</v>
      </c>
      <c r="P166" s="14">
        <f t="shared" si="141"/>
        <v>2.136562777003313E-12</v>
      </c>
      <c r="Q166" s="22">
        <f t="shared" si="162"/>
        <v>3.9806453659427267E-12</v>
      </c>
      <c r="R166" s="62">
        <f t="shared" si="109"/>
        <v>293.33333333333729</v>
      </c>
      <c r="S166" s="62">
        <f ca="1">AVERAGE(OFFSET($R$3,0,0,'Données projet'!$E$9+1,1))-AVERAGE(OFFSET($H$3,0,0,'Données projet'!$E$9+1,1))</f>
        <v>239.16843440041487</v>
      </c>
      <c r="T166" s="62">
        <f t="shared" si="142"/>
        <v>241.82319822554194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0.11889413969672019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0.11889413969672019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-3.4106051316484809E-13</v>
      </c>
      <c r="AJ166" s="14">
        <f>AI166*VLOOKUP('Données projet'!$B$10,Paramètres!$A$1:$I$89,3,0)*VLOOKUP('Données projet'!$B$10,Paramètres!$A$1:$I$89,5,0)</f>
        <v>-2.5006556825246659E-13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376.5422416541544</v>
      </c>
      <c r="AO166" s="62">
        <f t="shared" si="144"/>
        <v>365.76175372075869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0.55316328877396626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0.55316328877396626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405.13433810198853</v>
      </c>
      <c r="BJ166" s="62">
        <f t="shared" si="146"/>
        <v>534.74398214162079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0.59294429907115553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3.6846727090036914E-19</v>
      </c>
      <c r="BS166" s="24">
        <f t="shared" si="169"/>
        <v>0.59294429907115553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411.60020200960821</v>
      </c>
      <c r="CE166" s="62">
        <f t="shared" si="148"/>
        <v>261.95434270986397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261.00000000000017</v>
      </c>
      <c r="CU166" s="18">
        <f>CT166*VLOOKUP('Données projet'!$B$13,Paramètres!$A$1:$I$89,3,0)*VLOOKUP('Données projet'!$B$13,Paramètres!$A$1:$I$89,5,0)</f>
        <v>211.72320000000013</v>
      </c>
      <c r="CV166" s="14">
        <f t="shared" si="173"/>
        <v>52.311968964212078</v>
      </c>
      <c r="CW166" s="22">
        <f t="shared" si="174"/>
        <v>459.8612526126696</v>
      </c>
      <c r="CX166" s="62">
        <f t="shared" si="122"/>
        <v>753.19458594600292</v>
      </c>
      <c r="CY166" s="62">
        <f ca="1">AVERAGE(OFFSET($CX$3,0,0,'Données projet'!$E$13+1,1))-AVERAGE(OFFSET($H$3,0,0,'Données projet'!$E$13+1,1))</f>
        <v>293.51866463276224</v>
      </c>
      <c r="CZ166" s="62">
        <f t="shared" si="150"/>
        <v>232.78663842203713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1.7053025658242404E-13</v>
      </c>
      <c r="O167" s="14">
        <f>N167*VLOOKUP('Données projet'!$B$9,Paramètres!$A$1:$I$89,3,0)*VLOOKUP('Données projet'!$B$9,Paramètres!$A$1:$I$89,5,0)</f>
        <v>1.4897523215040567E-13</v>
      </c>
      <c r="P167" s="14">
        <f t="shared" si="141"/>
        <v>2.136562777003313E-12</v>
      </c>
      <c r="Q167" s="22">
        <f t="shared" si="162"/>
        <v>3.9806453659427267E-12</v>
      </c>
      <c r="R167" s="62">
        <f t="shared" si="109"/>
        <v>293.33333333333729</v>
      </c>
      <c r="S167" s="62">
        <f ca="1">AVERAGE(OFFSET($R$3,0,0,'Données projet'!$E$9+1,1))-AVERAGE(OFFSET($H$3,0,0,'Données projet'!$E$9+1,1))</f>
        <v>239.16843440041487</v>
      </c>
      <c r="T167" s="62">
        <f t="shared" si="142"/>
        <v>241.82319822554194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0.1156429731943423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0.1156429731943423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-3.4106051316484809E-13</v>
      </c>
      <c r="AJ167" s="14">
        <f>AI167*VLOOKUP('Données projet'!$B$10,Paramètres!$A$1:$I$89,3,0)*VLOOKUP('Données projet'!$B$10,Paramètres!$A$1:$I$89,5,0)</f>
        <v>-2.5006556825246659E-13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376.5422416541544</v>
      </c>
      <c r="AO167" s="62">
        <f t="shared" si="144"/>
        <v>365.76175372075869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0.54231609407739978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0.54231609407739978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405.13433810198853</v>
      </c>
      <c r="BJ167" s="62">
        <f t="shared" si="146"/>
        <v>534.74398214162079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0.58131702302668165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2.6054570589895165E-19</v>
      </c>
      <c r="BS167" s="24">
        <f t="shared" si="169"/>
        <v>0.58131702302668165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411.60020200960821</v>
      </c>
      <c r="CE167" s="62">
        <f t="shared" si="148"/>
        <v>261.95434270986397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261.00000000000017</v>
      </c>
      <c r="CU167" s="18">
        <f>CT167*VLOOKUP('Données projet'!$B$13,Paramètres!$A$1:$I$89,3,0)*VLOOKUP('Données projet'!$B$13,Paramètres!$A$1:$I$89,5,0)</f>
        <v>211.72320000000013</v>
      </c>
      <c r="CV167" s="14">
        <f t="shared" si="173"/>
        <v>52.311968964212078</v>
      </c>
      <c r="CW167" s="22">
        <f t="shared" si="174"/>
        <v>459.8612526126696</v>
      </c>
      <c r="CX167" s="62">
        <f t="shared" si="122"/>
        <v>753.19458594600292</v>
      </c>
      <c r="CY167" s="62">
        <f ca="1">AVERAGE(OFFSET($CX$3,0,0,'Données projet'!$E$13+1,1))-AVERAGE(OFFSET($H$3,0,0,'Données projet'!$E$13+1,1))</f>
        <v>293.51866463276224</v>
      </c>
      <c r="CZ167" s="62">
        <f t="shared" si="150"/>
        <v>232.78663842203713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1.7053025658242404E-13</v>
      </c>
      <c r="O168" s="14">
        <f>N168*VLOOKUP('Données projet'!$B$9,Paramètres!$A$1:$I$89,3,0)*VLOOKUP('Données projet'!$B$9,Paramètres!$A$1:$I$89,5,0)</f>
        <v>1.4897523215040567E-13</v>
      </c>
      <c r="P168" s="14">
        <f t="shared" si="141"/>
        <v>2.136562777003313E-12</v>
      </c>
      <c r="Q168" s="22">
        <f t="shared" si="162"/>
        <v>3.9806453659427267E-12</v>
      </c>
      <c r="R168" s="62">
        <f t="shared" si="109"/>
        <v>293.33333333333729</v>
      </c>
      <c r="S168" s="62">
        <f ca="1">AVERAGE(OFFSET($R$3,0,0,'Données projet'!$E$9+1,1))-AVERAGE(OFFSET($H$3,0,0,'Données projet'!$E$9+1,1))</f>
        <v>239.16843440041487</v>
      </c>
      <c r="T168" s="62">
        <f t="shared" si="142"/>
        <v>241.82319822554194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0.11248071001094335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0.11248071001094335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-3.4106051316484809E-13</v>
      </c>
      <c r="AJ168" s="14">
        <f>AI168*VLOOKUP('Données projet'!$B$10,Paramètres!$A$1:$I$89,3,0)*VLOOKUP('Données projet'!$B$10,Paramètres!$A$1:$I$89,5,0)</f>
        <v>-2.5006556825246659E-13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376.5422416541544</v>
      </c>
      <c r="AO168" s="62">
        <f t="shared" si="144"/>
        <v>365.76175372075869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0.53168160625269756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0.53168160625269756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405.13433810198853</v>
      </c>
      <c r="BJ168" s="62">
        <f t="shared" si="146"/>
        <v>534.74398214162079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0.56991775077350171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1.8423363545018457E-19</v>
      </c>
      <c r="BS168" s="24">
        <f t="shared" si="169"/>
        <v>0.56991775077350171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411.60020200960821</v>
      </c>
      <c r="CE168" s="62">
        <f t="shared" si="148"/>
        <v>261.95434270986397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261.00000000000017</v>
      </c>
      <c r="CU168" s="18">
        <f>CT168*VLOOKUP('Données projet'!$B$13,Paramètres!$A$1:$I$89,3,0)*VLOOKUP('Données projet'!$B$13,Paramètres!$A$1:$I$89,5,0)</f>
        <v>211.72320000000013</v>
      </c>
      <c r="CV168" s="14">
        <f t="shared" si="173"/>
        <v>52.311968964212078</v>
      </c>
      <c r="CW168" s="22">
        <f t="shared" si="174"/>
        <v>459.8612526126696</v>
      </c>
      <c r="CX168" s="62">
        <f t="shared" si="122"/>
        <v>753.19458594600292</v>
      </c>
      <c r="CY168" s="62">
        <f ca="1">AVERAGE(OFFSET($CX$3,0,0,'Données projet'!$E$13+1,1))-AVERAGE(OFFSET($H$3,0,0,'Données projet'!$E$13+1,1))</f>
        <v>293.51866463276224</v>
      </c>
      <c r="CZ168" s="62">
        <f t="shared" si="150"/>
        <v>232.78663842203713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1.7053025658242404E-13</v>
      </c>
      <c r="O169" s="14">
        <f>N169*VLOOKUP('Données projet'!$B$9,Paramètres!$A$1:$I$89,3,0)*VLOOKUP('Données projet'!$B$9,Paramètres!$A$1:$I$89,5,0)</f>
        <v>1.4897523215040567E-13</v>
      </c>
      <c r="P169" s="14">
        <f t="shared" si="141"/>
        <v>2.136562777003313E-12</v>
      </c>
      <c r="Q169" s="22">
        <f t="shared" si="162"/>
        <v>3.9806453659427267E-12</v>
      </c>
      <c r="R169" s="62">
        <f t="shared" si="109"/>
        <v>293.33333333333729</v>
      </c>
      <c r="S169" s="62">
        <f ca="1">AVERAGE(OFFSET($R$3,0,0,'Données projet'!$E$9+1,1))-AVERAGE(OFFSET($H$3,0,0,'Données projet'!$E$9+1,1))</f>
        <v>239.16843440041487</v>
      </c>
      <c r="T169" s="62">
        <f t="shared" si="142"/>
        <v>241.82319822554194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0.10940491908059065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0.10940491908059065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-3.4106051316484809E-13</v>
      </c>
      <c r="AJ169" s="14">
        <f>AI169*VLOOKUP('Données projet'!$B$10,Paramètres!$A$1:$I$89,3,0)*VLOOKUP('Données projet'!$B$10,Paramètres!$A$1:$I$89,5,0)</f>
        <v>-2.5006556825246659E-13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376.5422416541544</v>
      </c>
      <c r="AO169" s="62">
        <f t="shared" si="144"/>
        <v>365.76175372075869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0.52125565424784059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0.52125565424784059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405.13433810198853</v>
      </c>
      <c r="BJ169" s="62">
        <f t="shared" si="146"/>
        <v>534.74398214162079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0.55874201129633716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1.3027285294947582E-19</v>
      </c>
      <c r="BS169" s="24">
        <f t="shared" si="169"/>
        <v>0.55874201129633716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411.60020200960821</v>
      </c>
      <c r="CE169" s="62">
        <f t="shared" si="148"/>
        <v>261.95434270986397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261.00000000000017</v>
      </c>
      <c r="CU169" s="18">
        <f>CT169*VLOOKUP('Données projet'!$B$13,Paramètres!$A$1:$I$89,3,0)*VLOOKUP('Données projet'!$B$13,Paramètres!$A$1:$I$89,5,0)</f>
        <v>211.72320000000013</v>
      </c>
      <c r="CV169" s="14">
        <f t="shared" si="173"/>
        <v>52.311968964212078</v>
      </c>
      <c r="CW169" s="22">
        <f t="shared" si="174"/>
        <v>459.8612526126696</v>
      </c>
      <c r="CX169" s="62">
        <f t="shared" si="122"/>
        <v>753.19458594600292</v>
      </c>
      <c r="CY169" s="62">
        <f ca="1">AVERAGE(OFFSET($CX$3,0,0,'Données projet'!$E$13+1,1))-AVERAGE(OFFSET($H$3,0,0,'Données projet'!$E$13+1,1))</f>
        <v>293.51866463276224</v>
      </c>
      <c r="CZ169" s="62">
        <f t="shared" si="150"/>
        <v>232.78663842203713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1.7053025658242404E-13</v>
      </c>
      <c r="O170" s="14">
        <f>N170*VLOOKUP('Données projet'!$B$9,Paramètres!$A$1:$I$89,3,0)*VLOOKUP('Données projet'!$B$9,Paramètres!$A$1:$I$89,5,0)</f>
        <v>1.4897523215040567E-13</v>
      </c>
      <c r="P170" s="14">
        <f t="shared" si="141"/>
        <v>2.136562777003313E-12</v>
      </c>
      <c r="Q170" s="22">
        <f t="shared" si="162"/>
        <v>3.9806453659427267E-12</v>
      </c>
      <c r="R170" s="62">
        <f t="shared" si="109"/>
        <v>293.33333333333729</v>
      </c>
      <c r="S170" s="62">
        <f ca="1">AVERAGE(OFFSET($R$3,0,0,'Données projet'!$E$9+1,1))-AVERAGE(OFFSET($H$3,0,0,'Données projet'!$E$9+1,1))</f>
        <v>239.16843440041487</v>
      </c>
      <c r="T170" s="62">
        <f t="shared" si="142"/>
        <v>241.82319822554194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0.10641323581497725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0.10641323581497725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-3.4106051316484809E-13</v>
      </c>
      <c r="AJ170" s="14">
        <f>AI170*VLOOKUP('Données projet'!$B$10,Paramètres!$A$1:$I$89,3,0)*VLOOKUP('Données projet'!$B$10,Paramètres!$A$1:$I$89,5,0)</f>
        <v>-2.5006556825246659E-13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376.5422416541544</v>
      </c>
      <c r="AO170" s="62">
        <f t="shared" si="144"/>
        <v>365.76175372075869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0.51103414880259612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0.51103414880259612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405.13433810198853</v>
      </c>
      <c r="BJ170" s="62">
        <f t="shared" si="146"/>
        <v>534.74398214162079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0.54778542125379182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9.2116817725092285E-20</v>
      </c>
      <c r="BS170" s="24">
        <f t="shared" si="169"/>
        <v>0.54778542125379182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411.60020200960821</v>
      </c>
      <c r="CE170" s="62">
        <f t="shared" si="148"/>
        <v>261.95434270986397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261.00000000000017</v>
      </c>
      <c r="CU170" s="18">
        <f>CT170*VLOOKUP('Données projet'!$B$13,Paramètres!$A$1:$I$89,3,0)*VLOOKUP('Données projet'!$B$13,Paramètres!$A$1:$I$89,5,0)</f>
        <v>211.72320000000013</v>
      </c>
      <c r="CV170" s="14">
        <f t="shared" si="173"/>
        <v>52.311968964212078</v>
      </c>
      <c r="CW170" s="22">
        <f t="shared" si="174"/>
        <v>459.8612526126696</v>
      </c>
      <c r="CX170" s="62">
        <f t="shared" si="122"/>
        <v>753.19458594600292</v>
      </c>
      <c r="CY170" s="62">
        <f ca="1">AVERAGE(OFFSET($CX$3,0,0,'Données projet'!$E$13+1,1))-AVERAGE(OFFSET($H$3,0,0,'Données projet'!$E$13+1,1))</f>
        <v>293.51866463276224</v>
      </c>
      <c r="CZ170" s="62">
        <f t="shared" si="150"/>
        <v>232.78663842203713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1.7053025658242404E-13</v>
      </c>
      <c r="O171" s="14">
        <f>N171*VLOOKUP('Données projet'!$B$9,Paramètres!$A$1:$I$89,3,0)*VLOOKUP('Données projet'!$B$9,Paramètres!$A$1:$I$89,5,0)</f>
        <v>1.4897523215040567E-13</v>
      </c>
      <c r="P171" s="14">
        <f t="shared" si="141"/>
        <v>2.136562777003313E-12</v>
      </c>
      <c r="Q171" s="22">
        <f t="shared" si="162"/>
        <v>3.9806453659427267E-12</v>
      </c>
      <c r="R171" s="62">
        <f t="shared" si="109"/>
        <v>293.33333333333729</v>
      </c>
      <c r="S171" s="62">
        <f ca="1">AVERAGE(OFFSET($R$3,0,0,'Données projet'!$E$9+1,1))-AVERAGE(OFFSET($H$3,0,0,'Données projet'!$E$9+1,1))</f>
        <v>239.16843440041487</v>
      </c>
      <c r="T171" s="62">
        <f t="shared" si="142"/>
        <v>241.82319822554194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0.10350336028558783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0.10350336028558783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-3.4106051316484809E-13</v>
      </c>
      <c r="AJ171" s="14">
        <f>AI171*VLOOKUP('Données projet'!$B$10,Paramètres!$A$1:$I$89,3,0)*VLOOKUP('Données projet'!$B$10,Paramètres!$A$1:$I$89,5,0)</f>
        <v>-2.5006556825246659E-13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376.5422416541544</v>
      </c>
      <c r="AO171" s="62">
        <f t="shared" si="144"/>
        <v>365.76175372075869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0.50101308084463014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0.50101308084463014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405.13433810198853</v>
      </c>
      <c r="BJ171" s="62">
        <f t="shared" si="146"/>
        <v>534.74398214162079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0.53704368325912066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6.5136426474737912E-20</v>
      </c>
      <c r="BS171" s="24">
        <f t="shared" si="169"/>
        <v>0.53704368325912066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411.60020200960821</v>
      </c>
      <c r="CE171" s="62">
        <f t="shared" si="148"/>
        <v>261.95434270986397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261.00000000000017</v>
      </c>
      <c r="CU171" s="18">
        <f>CT171*VLOOKUP('Données projet'!$B$13,Paramètres!$A$1:$I$89,3,0)*VLOOKUP('Données projet'!$B$13,Paramètres!$A$1:$I$89,5,0)</f>
        <v>211.72320000000013</v>
      </c>
      <c r="CV171" s="14">
        <f t="shared" si="173"/>
        <v>52.311968964212078</v>
      </c>
      <c r="CW171" s="22">
        <f t="shared" si="174"/>
        <v>459.8612526126696</v>
      </c>
      <c r="CX171" s="62">
        <f t="shared" si="122"/>
        <v>753.19458594600292</v>
      </c>
      <c r="CY171" s="62">
        <f ca="1">AVERAGE(OFFSET($CX$3,0,0,'Données projet'!$E$13+1,1))-AVERAGE(OFFSET($H$3,0,0,'Données projet'!$E$13+1,1))</f>
        <v>293.51866463276224</v>
      </c>
      <c r="CZ171" s="62">
        <f t="shared" si="150"/>
        <v>232.78663842203713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1.7053025658242404E-13</v>
      </c>
      <c r="O172" s="14">
        <f>N172*VLOOKUP('Données projet'!$B$9,Paramètres!$A$1:$I$89,3,0)*VLOOKUP('Données projet'!$B$9,Paramètres!$A$1:$I$89,5,0)</f>
        <v>1.4897523215040567E-13</v>
      </c>
      <c r="P172" s="14">
        <f t="shared" si="141"/>
        <v>2.136562777003313E-12</v>
      </c>
      <c r="Q172" s="22">
        <f t="shared" si="162"/>
        <v>3.9806453659427267E-12</v>
      </c>
      <c r="R172" s="62">
        <f t="shared" si="109"/>
        <v>293.33333333333729</v>
      </c>
      <c r="S172" s="62">
        <f ca="1">AVERAGE(OFFSET($R$3,0,0,'Données projet'!$E$9+1,1))-AVERAGE(OFFSET($H$3,0,0,'Données projet'!$E$9+1,1))</f>
        <v>239.16843440041487</v>
      </c>
      <c r="T172" s="62">
        <f t="shared" si="142"/>
        <v>241.82319822554194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0.10067305545557327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0.10067305545557327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-3.4106051316484809E-13</v>
      </c>
      <c r="AJ172" s="14">
        <f>AI172*VLOOKUP('Données projet'!$B$10,Paramètres!$A$1:$I$89,3,0)*VLOOKUP('Données projet'!$B$10,Paramètres!$A$1:$I$89,5,0)</f>
        <v>-2.5006556825246659E-13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376.5422416541544</v>
      </c>
      <c r="AO172" s="62">
        <f t="shared" si="144"/>
        <v>365.76175372075869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0.49118851991707196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0.49118851991707196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405.13433810198853</v>
      </c>
      <c r="BJ172" s="62">
        <f t="shared" si="146"/>
        <v>534.74398214162079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0.52651258419471181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4.6058408862546143E-20</v>
      </c>
      <c r="BS172" s="24">
        <f t="shared" si="169"/>
        <v>0.52651258419471181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411.60020200960821</v>
      </c>
      <c r="CE172" s="62">
        <f t="shared" si="148"/>
        <v>261.95434270986397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261.00000000000017</v>
      </c>
      <c r="CU172" s="18">
        <f>CT172*VLOOKUP('Données projet'!$B$13,Paramètres!$A$1:$I$89,3,0)*VLOOKUP('Données projet'!$B$13,Paramètres!$A$1:$I$89,5,0)</f>
        <v>211.72320000000013</v>
      </c>
      <c r="CV172" s="14">
        <f t="shared" si="173"/>
        <v>52.311968964212078</v>
      </c>
      <c r="CW172" s="22">
        <f t="shared" si="174"/>
        <v>459.8612526126696</v>
      </c>
      <c r="CX172" s="62">
        <f t="shared" si="122"/>
        <v>753.19458594600292</v>
      </c>
      <c r="CY172" s="62">
        <f ca="1">AVERAGE(OFFSET($CX$3,0,0,'Données projet'!$E$13+1,1))-AVERAGE(OFFSET($H$3,0,0,'Données projet'!$E$13+1,1))</f>
        <v>293.51866463276224</v>
      </c>
      <c r="CZ172" s="62">
        <f t="shared" si="150"/>
        <v>232.78663842203713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1.7053025658242404E-13</v>
      </c>
      <c r="O173" s="14">
        <f>N173*VLOOKUP('Données projet'!$B$9,Paramètres!$A$1:$I$89,3,0)*VLOOKUP('Données projet'!$B$9,Paramètres!$A$1:$I$89,5,0)</f>
        <v>1.4897523215040567E-13</v>
      </c>
      <c r="P173" s="14">
        <f t="shared" si="141"/>
        <v>2.136562777003313E-12</v>
      </c>
      <c r="Q173" s="22">
        <f t="shared" si="162"/>
        <v>3.9806453659427267E-12</v>
      </c>
      <c r="R173" s="62">
        <f t="shared" si="109"/>
        <v>293.33333333333729</v>
      </c>
      <c r="S173" s="62">
        <f ca="1">AVERAGE(OFFSET($R$3,0,0,'Données projet'!$E$9+1,1))-AVERAGE(OFFSET($H$3,0,0,'Données projet'!$E$9+1,1))</f>
        <v>239.16843440041487</v>
      </c>
      <c r="T173" s="62">
        <f t="shared" si="142"/>
        <v>241.82319822554194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9.7920145459974725E-2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9.7920145459974725E-2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-3.4106051316484809E-13</v>
      </c>
      <c r="AJ173" s="14">
        <f>AI173*VLOOKUP('Données projet'!$B$10,Paramètres!$A$1:$I$89,3,0)*VLOOKUP('Données projet'!$B$10,Paramètres!$A$1:$I$89,5,0)</f>
        <v>-2.5006556825246659E-13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376.5422416541544</v>
      </c>
      <c r="AO173" s="62">
        <f t="shared" si="144"/>
        <v>365.76175372075869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0.48155661263691274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0.48155661263691274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405.13433810198853</v>
      </c>
      <c r="BJ173" s="62">
        <f t="shared" si="146"/>
        <v>534.74398214162079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0.51618799355961986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3.2568213237368956E-20</v>
      </c>
      <c r="BS173" s="24">
        <f t="shared" si="169"/>
        <v>0.51618799355961986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411.60020200960821</v>
      </c>
      <c r="CE173" s="62">
        <f t="shared" si="148"/>
        <v>261.95434270986397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261.00000000000017</v>
      </c>
      <c r="CU173" s="18">
        <f>CT173*VLOOKUP('Données projet'!$B$13,Paramètres!$A$1:$I$89,3,0)*VLOOKUP('Données projet'!$B$13,Paramètres!$A$1:$I$89,5,0)</f>
        <v>211.72320000000013</v>
      </c>
      <c r="CV173" s="14">
        <f t="shared" si="173"/>
        <v>52.311968964212078</v>
      </c>
      <c r="CW173" s="22">
        <f t="shared" si="174"/>
        <v>459.8612526126696</v>
      </c>
      <c r="CX173" s="62">
        <f t="shared" si="122"/>
        <v>753.19458594600292</v>
      </c>
      <c r="CY173" s="62">
        <f ca="1">AVERAGE(OFFSET($CX$3,0,0,'Données projet'!$E$13+1,1))-AVERAGE(OFFSET($H$3,0,0,'Données projet'!$E$13+1,1))</f>
        <v>293.51866463276224</v>
      </c>
      <c r="CZ173" s="62">
        <f t="shared" si="150"/>
        <v>232.78663842203713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1.7053025658242404E-13</v>
      </c>
      <c r="O174" s="14">
        <f>N174*VLOOKUP('Données projet'!$B$9,Paramètres!$A$1:$I$89,3,0)*VLOOKUP('Données projet'!$B$9,Paramètres!$A$1:$I$89,5,0)</f>
        <v>1.4897523215040567E-13</v>
      </c>
      <c r="P174" s="14">
        <f t="shared" si="141"/>
        <v>2.136562777003313E-12</v>
      </c>
      <c r="Q174" s="22">
        <f t="shared" si="162"/>
        <v>3.9806453659427267E-12</v>
      </c>
      <c r="R174" s="62">
        <f t="shared" si="109"/>
        <v>293.33333333333729</v>
      </c>
      <c r="S174" s="62">
        <f ca="1">AVERAGE(OFFSET($R$3,0,0,'Données projet'!$E$9+1,1))-AVERAGE(OFFSET($H$3,0,0,'Données projet'!$E$9+1,1))</f>
        <v>239.16843440041487</v>
      </c>
      <c r="T174" s="62">
        <f t="shared" si="142"/>
        <v>241.82319822554194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9.5242513932975059E-2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9.5242513932975059E-2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-3.4106051316484809E-13</v>
      </c>
      <c r="AJ174" s="14">
        <f>AI174*VLOOKUP('Données projet'!$B$10,Paramètres!$A$1:$I$89,3,0)*VLOOKUP('Données projet'!$B$10,Paramètres!$A$1:$I$89,5,0)</f>
        <v>-2.5006556825246659E-13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376.5422416541544</v>
      </c>
      <c r="AO174" s="62">
        <f t="shared" si="144"/>
        <v>365.76175372075869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0.47211358118363411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0.47211358118363411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405.13433810198853</v>
      </c>
      <c r="BJ174" s="62">
        <f t="shared" si="146"/>
        <v>534.74398214162079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0.50606586184950353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2.3029204431273071E-20</v>
      </c>
      <c r="BS174" s="24">
        <f t="shared" si="169"/>
        <v>0.50606586184950353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411.60020200960821</v>
      </c>
      <c r="CE174" s="62">
        <f t="shared" si="148"/>
        <v>261.95434270986397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261.00000000000017</v>
      </c>
      <c r="CU174" s="18">
        <f>CT174*VLOOKUP('Données projet'!$B$13,Paramètres!$A$1:$I$89,3,0)*VLOOKUP('Données projet'!$B$13,Paramètres!$A$1:$I$89,5,0)</f>
        <v>211.72320000000013</v>
      </c>
      <c r="CV174" s="14">
        <f t="shared" si="173"/>
        <v>52.311968964212078</v>
      </c>
      <c r="CW174" s="22">
        <f t="shared" si="174"/>
        <v>459.8612526126696</v>
      </c>
      <c r="CX174" s="62">
        <f t="shared" si="122"/>
        <v>753.19458594600292</v>
      </c>
      <c r="CY174" s="62">
        <f ca="1">AVERAGE(OFFSET($CX$3,0,0,'Données projet'!$E$13+1,1))-AVERAGE(OFFSET($H$3,0,0,'Données projet'!$E$13+1,1))</f>
        <v>293.51866463276224</v>
      </c>
      <c r="CZ174" s="62">
        <f t="shared" si="150"/>
        <v>232.78663842203713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1.7053025658242404E-13</v>
      </c>
      <c r="O175" s="14">
        <f>N175*VLOOKUP('Données projet'!$B$9,Paramètres!$A$1:$I$89,3,0)*VLOOKUP('Données projet'!$B$9,Paramètres!$A$1:$I$89,5,0)</f>
        <v>1.4897523215040567E-13</v>
      </c>
      <c r="P175" s="14">
        <f t="shared" si="141"/>
        <v>2.136562777003313E-12</v>
      </c>
      <c r="Q175" s="22">
        <f t="shared" si="162"/>
        <v>3.9806453659427267E-12</v>
      </c>
      <c r="R175" s="62">
        <f t="shared" si="109"/>
        <v>293.33333333333729</v>
      </c>
      <c r="S175" s="62">
        <f ca="1">AVERAGE(OFFSET($R$3,0,0,'Données projet'!$E$9+1,1))-AVERAGE(OFFSET($H$3,0,0,'Données projet'!$E$9+1,1))</f>
        <v>239.16843440041487</v>
      </c>
      <c r="T175" s="62">
        <f t="shared" si="142"/>
        <v>241.82319822554194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9.2638102380891735E-2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9.2638102380891735E-2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-3.4106051316484809E-13</v>
      </c>
      <c r="AJ175" s="14">
        <f>AI175*VLOOKUP('Données projet'!$B$10,Paramètres!$A$1:$I$89,3,0)*VLOOKUP('Données projet'!$B$10,Paramètres!$A$1:$I$89,5,0)</f>
        <v>-2.5006556825246659E-13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376.5422416541544</v>
      </c>
      <c r="AO175" s="62">
        <f t="shared" si="144"/>
        <v>365.76175372075869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0.46285572181747381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0.46285572181747381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405.13433810198853</v>
      </c>
      <c r="BJ175" s="62">
        <f t="shared" si="146"/>
        <v>534.74398214162079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0.49614221896833188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1.6284106618684478E-20</v>
      </c>
      <c r="BS175" s="24">
        <f t="shared" si="169"/>
        <v>0.49614221896833188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411.60020200960821</v>
      </c>
      <c r="CE175" s="62">
        <f t="shared" si="148"/>
        <v>261.95434270986397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261.00000000000017</v>
      </c>
      <c r="CU175" s="18">
        <f>CT175*VLOOKUP('Données projet'!$B$13,Paramètres!$A$1:$I$89,3,0)*VLOOKUP('Données projet'!$B$13,Paramètres!$A$1:$I$89,5,0)</f>
        <v>211.72320000000013</v>
      </c>
      <c r="CV175" s="14">
        <f t="shared" si="173"/>
        <v>52.311968964212078</v>
      </c>
      <c r="CW175" s="22">
        <f t="shared" si="174"/>
        <v>459.8612526126696</v>
      </c>
      <c r="CX175" s="62">
        <f t="shared" si="122"/>
        <v>753.19458594600292</v>
      </c>
      <c r="CY175" s="62">
        <f ca="1">AVERAGE(OFFSET($CX$3,0,0,'Données projet'!$E$13+1,1))-AVERAGE(OFFSET($H$3,0,0,'Données projet'!$E$13+1,1))</f>
        <v>293.51866463276224</v>
      </c>
      <c r="CZ175" s="62">
        <f t="shared" si="150"/>
        <v>232.78663842203713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1.7053025658242404E-13</v>
      </c>
      <c r="O176" s="14">
        <f>N176*VLOOKUP('Données projet'!$B$9,Paramètres!$A$1:$I$89,3,0)*VLOOKUP('Données projet'!$B$9,Paramètres!$A$1:$I$89,5,0)</f>
        <v>1.4897523215040567E-13</v>
      </c>
      <c r="P176" s="14">
        <f t="shared" si="141"/>
        <v>2.136562777003313E-12</v>
      </c>
      <c r="Q176" s="22">
        <f t="shared" si="162"/>
        <v>3.9806453659427267E-12</v>
      </c>
      <c r="R176" s="62">
        <f t="shared" si="109"/>
        <v>293.33333333333729</v>
      </c>
      <c r="S176" s="62">
        <f ca="1">AVERAGE(OFFSET($R$3,0,0,'Données projet'!$E$9+1,1))-AVERAGE(OFFSET($H$3,0,0,'Données projet'!$E$9+1,1))</f>
        <v>239.16843440041487</v>
      </c>
      <c r="T176" s="62">
        <f t="shared" si="142"/>
        <v>241.82319822554194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9.010490859966018E-2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9.010490859966018E-2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-3.4106051316484809E-13</v>
      </c>
      <c r="AJ176" s="14">
        <f>AI176*VLOOKUP('Données projet'!$B$10,Paramètres!$A$1:$I$89,3,0)*VLOOKUP('Données projet'!$B$10,Paramètres!$A$1:$I$89,5,0)</f>
        <v>-2.5006556825246659E-13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376.5422416541544</v>
      </c>
      <c r="AO176" s="62">
        <f t="shared" si="144"/>
        <v>365.76175372075869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0.45377940342674727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0.45377940342674727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405.13433810198853</v>
      </c>
      <c r="BJ176" s="62">
        <f t="shared" si="146"/>
        <v>534.74398214162079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0.48641317267123552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1.1514602215636536E-20</v>
      </c>
      <c r="BS176" s="24">
        <f t="shared" si="169"/>
        <v>0.48641317267123552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411.60020200960821</v>
      </c>
      <c r="CE176" s="62">
        <f t="shared" si="148"/>
        <v>261.95434270986397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261.00000000000017</v>
      </c>
      <c r="CU176" s="18">
        <f>CT176*VLOOKUP('Données projet'!$B$13,Paramètres!$A$1:$I$89,3,0)*VLOOKUP('Données projet'!$B$13,Paramètres!$A$1:$I$89,5,0)</f>
        <v>211.72320000000013</v>
      </c>
      <c r="CV176" s="14">
        <f t="shared" si="173"/>
        <v>52.311968964212078</v>
      </c>
      <c r="CW176" s="22">
        <f t="shared" si="174"/>
        <v>459.8612526126696</v>
      </c>
      <c r="CX176" s="62">
        <f t="shared" si="122"/>
        <v>753.19458594600292</v>
      </c>
      <c r="CY176" s="62">
        <f ca="1">AVERAGE(OFFSET($CX$3,0,0,'Données projet'!$E$13+1,1))-AVERAGE(OFFSET($H$3,0,0,'Données projet'!$E$13+1,1))</f>
        <v>293.51866463276224</v>
      </c>
      <c r="CZ176" s="62">
        <f t="shared" si="150"/>
        <v>232.78663842203713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1.7053025658242404E-13</v>
      </c>
      <c r="O177" s="14">
        <f>N177*VLOOKUP('Données projet'!$B$9,Paramètres!$A$1:$I$89,3,0)*VLOOKUP('Données projet'!$B$9,Paramètres!$A$1:$I$89,5,0)</f>
        <v>1.4897523215040567E-13</v>
      </c>
      <c r="P177" s="14">
        <f t="shared" si="141"/>
        <v>2.136562777003313E-12</v>
      </c>
      <c r="Q177" s="22">
        <f t="shared" si="162"/>
        <v>3.9806453659427267E-12</v>
      </c>
      <c r="R177" s="62">
        <f t="shared" si="109"/>
        <v>293.33333333333729</v>
      </c>
      <c r="S177" s="62">
        <f ca="1">AVERAGE(OFFSET($R$3,0,0,'Données projet'!$E$9+1,1))-AVERAGE(OFFSET($H$3,0,0,'Données projet'!$E$9+1,1))</f>
        <v>239.16843440041487</v>
      </c>
      <c r="T177" s="62">
        <f t="shared" si="142"/>
        <v>241.82319822554194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8.7640985135591265E-2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8.7640985135591265E-2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-3.4106051316484809E-13</v>
      </c>
      <c r="AJ177" s="14">
        <f>AI177*VLOOKUP('Données projet'!$B$10,Paramètres!$A$1:$I$89,3,0)*VLOOKUP('Données projet'!$B$10,Paramètres!$A$1:$I$89,5,0)</f>
        <v>-2.5006556825246659E-13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376.5422416541544</v>
      </c>
      <c r="AO177" s="62">
        <f t="shared" si="144"/>
        <v>365.76175372075869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0.4448810661036553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0.4448810661036553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405.13433810198853</v>
      </c>
      <c r="BJ177" s="62">
        <f t="shared" si="146"/>
        <v>534.74398214162079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0.47687490703789293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8.142053309342239E-21</v>
      </c>
      <c r="BS177" s="24">
        <f t="shared" si="169"/>
        <v>0.47687490703789293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411.60020200960821</v>
      </c>
      <c r="CE177" s="62">
        <f t="shared" si="148"/>
        <v>261.95434270986397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261.00000000000017</v>
      </c>
      <c r="CU177" s="18">
        <f>CT177*VLOOKUP('Données projet'!$B$13,Paramètres!$A$1:$I$89,3,0)*VLOOKUP('Données projet'!$B$13,Paramètres!$A$1:$I$89,5,0)</f>
        <v>211.72320000000013</v>
      </c>
      <c r="CV177" s="14">
        <f t="shared" si="173"/>
        <v>52.311968964212078</v>
      </c>
      <c r="CW177" s="22">
        <f t="shared" si="174"/>
        <v>459.8612526126696</v>
      </c>
      <c r="CX177" s="62">
        <f t="shared" si="122"/>
        <v>753.19458594600292</v>
      </c>
      <c r="CY177" s="62">
        <f ca="1">AVERAGE(OFFSET($CX$3,0,0,'Données projet'!$E$13+1,1))-AVERAGE(OFFSET($H$3,0,0,'Données projet'!$E$13+1,1))</f>
        <v>293.51866463276224</v>
      </c>
      <c r="CZ177" s="62">
        <f t="shared" si="150"/>
        <v>232.78663842203713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1.7053025658242404E-13</v>
      </c>
      <c r="O178" s="14">
        <f>N178*VLOOKUP('Données projet'!$B$9,Paramètres!$A$1:$I$89,3,0)*VLOOKUP('Données projet'!$B$9,Paramètres!$A$1:$I$89,5,0)</f>
        <v>1.4897523215040567E-13</v>
      </c>
      <c r="P178" s="14">
        <f t="shared" si="141"/>
        <v>2.136562777003313E-12</v>
      </c>
      <c r="Q178" s="22">
        <f t="shared" si="162"/>
        <v>3.9806453659427267E-12</v>
      </c>
      <c r="R178" s="62">
        <f t="shared" si="109"/>
        <v>293.33333333333729</v>
      </c>
      <c r="S178" s="62">
        <f ca="1">AVERAGE(OFFSET($R$3,0,0,'Données projet'!$E$9+1,1))-AVERAGE(OFFSET($H$3,0,0,'Données projet'!$E$9+1,1))</f>
        <v>239.16843440041487</v>
      </c>
      <c r="T178" s="62">
        <f t="shared" si="142"/>
        <v>241.82319822554194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8.5244437788219427E-2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8.5244437788219427E-2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-3.4106051316484809E-13</v>
      </c>
      <c r="AJ178" s="14">
        <f>AI178*VLOOKUP('Données projet'!$B$10,Paramètres!$A$1:$I$89,3,0)*VLOOKUP('Données projet'!$B$10,Paramètres!$A$1:$I$89,5,0)</f>
        <v>-2.5006556825246659E-13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376.5422416541544</v>
      </c>
      <c r="AO178" s="62">
        <f t="shared" si="144"/>
        <v>365.76175372075869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0.4361572197480193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0.4361572197480193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405.13433810198853</v>
      </c>
      <c r="BJ178" s="62">
        <f t="shared" si="146"/>
        <v>534.74398214162079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0.46752368097585262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5.7573011078182678E-21</v>
      </c>
      <c r="BS178" s="24">
        <f t="shared" si="169"/>
        <v>0.46752368097585262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411.60020200960821</v>
      </c>
      <c r="CE178" s="62">
        <f t="shared" si="148"/>
        <v>261.95434270986397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261.00000000000017</v>
      </c>
      <c r="CU178" s="18">
        <f>CT178*VLOOKUP('Données projet'!$B$13,Paramètres!$A$1:$I$89,3,0)*VLOOKUP('Données projet'!$B$13,Paramètres!$A$1:$I$89,5,0)</f>
        <v>211.72320000000013</v>
      </c>
      <c r="CV178" s="14">
        <f t="shared" si="173"/>
        <v>52.311968964212078</v>
      </c>
      <c r="CW178" s="22">
        <f t="shared" si="174"/>
        <v>459.8612526126696</v>
      </c>
      <c r="CX178" s="62">
        <f t="shared" si="122"/>
        <v>753.19458594600292</v>
      </c>
      <c r="CY178" s="62">
        <f ca="1">AVERAGE(OFFSET($CX$3,0,0,'Données projet'!$E$13+1,1))-AVERAGE(OFFSET($H$3,0,0,'Données projet'!$E$13+1,1))</f>
        <v>293.51866463276224</v>
      </c>
      <c r="CZ178" s="62">
        <f t="shared" si="150"/>
        <v>232.78663842203713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1.7053025658242404E-13</v>
      </c>
      <c r="O179" s="14">
        <f>N179*VLOOKUP('Données projet'!$B$9,Paramètres!$A$1:$I$89,3,0)*VLOOKUP('Données projet'!$B$9,Paramètres!$A$1:$I$89,5,0)</f>
        <v>1.4897523215040567E-13</v>
      </c>
      <c r="P179" s="14">
        <f t="shared" si="141"/>
        <v>2.136562777003313E-12</v>
      </c>
      <c r="Q179" s="22">
        <f t="shared" si="162"/>
        <v>3.9806453659427267E-12</v>
      </c>
      <c r="R179" s="62">
        <f t="shared" si="109"/>
        <v>293.33333333333729</v>
      </c>
      <c r="S179" s="62">
        <f ca="1">AVERAGE(OFFSET($R$3,0,0,'Données projet'!$E$9+1,1))-AVERAGE(OFFSET($H$3,0,0,'Données projet'!$E$9+1,1))</f>
        <v>239.16843440041487</v>
      </c>
      <c r="T179" s="62">
        <f t="shared" si="142"/>
        <v>241.82319822554194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8.2913424154090407E-2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8.2913424154090407E-2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-3.4106051316484809E-13</v>
      </c>
      <c r="AJ179" s="14">
        <f>AI179*VLOOKUP('Données projet'!$B$10,Paramètres!$A$1:$I$89,3,0)*VLOOKUP('Données projet'!$B$10,Paramètres!$A$1:$I$89,5,0)</f>
        <v>-2.5006556825246659E-13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376.5422416541544</v>
      </c>
      <c r="AO179" s="62">
        <f t="shared" si="144"/>
        <v>365.76175372075869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0.42760444269839643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0.42760444269839643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405.13433810198853</v>
      </c>
      <c r="BJ179" s="62">
        <f t="shared" si="146"/>
        <v>534.74398214162079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0.45835582675320419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4.0710266546711195E-21</v>
      </c>
      <c r="BS179" s="24">
        <f t="shared" si="169"/>
        <v>0.45835582675320419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411.60020200960821</v>
      </c>
      <c r="CE179" s="62">
        <f t="shared" si="148"/>
        <v>261.95434270986397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261.00000000000017</v>
      </c>
      <c r="CU179" s="18">
        <f>CT179*VLOOKUP('Données projet'!$B$13,Paramètres!$A$1:$I$89,3,0)*VLOOKUP('Données projet'!$B$13,Paramètres!$A$1:$I$89,5,0)</f>
        <v>211.72320000000013</v>
      </c>
      <c r="CV179" s="14">
        <f t="shared" si="173"/>
        <v>52.311968964212078</v>
      </c>
      <c r="CW179" s="22">
        <f t="shared" si="174"/>
        <v>459.8612526126696</v>
      </c>
      <c r="CX179" s="62">
        <f t="shared" si="122"/>
        <v>753.19458594600292</v>
      </c>
      <c r="CY179" s="62">
        <f ca="1">AVERAGE(OFFSET($CX$3,0,0,'Données projet'!$E$13+1,1))-AVERAGE(OFFSET($H$3,0,0,'Données projet'!$E$13+1,1))</f>
        <v>293.51866463276224</v>
      </c>
      <c r="CZ179" s="62">
        <f t="shared" si="150"/>
        <v>232.78663842203713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1.7053025658242404E-13</v>
      </c>
      <c r="O180" s="14">
        <f>N180*VLOOKUP('Données projet'!$B$9,Paramètres!$A$1:$I$89,3,0)*VLOOKUP('Données projet'!$B$9,Paramètres!$A$1:$I$89,5,0)</f>
        <v>1.4897523215040567E-13</v>
      </c>
      <c r="P180" s="14">
        <f t="shared" si="141"/>
        <v>2.136562777003313E-12</v>
      </c>
      <c r="Q180" s="22">
        <f t="shared" si="162"/>
        <v>3.9806453659427267E-12</v>
      </c>
      <c r="R180" s="62">
        <f t="shared" si="109"/>
        <v>293.33333333333729</v>
      </c>
      <c r="S180" s="62">
        <f ca="1">AVERAGE(OFFSET($R$3,0,0,'Données projet'!$E$9+1,1))-AVERAGE(OFFSET($H$3,0,0,'Données projet'!$E$9+1,1))</f>
        <v>239.16843440041487</v>
      </c>
      <c r="T180" s="62">
        <f t="shared" si="142"/>
        <v>241.82319822554194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8.0646152210369332E-2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8.0646152210369332E-2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-3.4106051316484809E-13</v>
      </c>
      <c r="AJ180" s="14">
        <f>AI180*VLOOKUP('Données projet'!$B$10,Paramètres!$A$1:$I$89,3,0)*VLOOKUP('Données projet'!$B$10,Paramètres!$A$1:$I$89,5,0)</f>
        <v>-2.5006556825246659E-13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376.5422416541544</v>
      </c>
      <c r="AO180" s="62">
        <f t="shared" si="144"/>
        <v>365.76175372075869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0.41921938039003775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0.41921938039003775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405.13433810198853</v>
      </c>
      <c r="BJ180" s="62">
        <f t="shared" si="146"/>
        <v>534.74398214162079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0.44936774856002298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2.8786505539091339E-21</v>
      </c>
      <c r="BS180" s="24">
        <f t="shared" si="169"/>
        <v>0.44936774856002298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411.60020200960821</v>
      </c>
      <c r="CE180" s="62">
        <f t="shared" si="148"/>
        <v>261.95434270986397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261.00000000000017</v>
      </c>
      <c r="CU180" s="18">
        <f>CT180*VLOOKUP('Données projet'!$B$13,Paramètres!$A$1:$I$89,3,0)*VLOOKUP('Données projet'!$B$13,Paramètres!$A$1:$I$89,5,0)</f>
        <v>211.72320000000013</v>
      </c>
      <c r="CV180" s="14">
        <f t="shared" si="173"/>
        <v>52.311968964212078</v>
      </c>
      <c r="CW180" s="22">
        <f t="shared" si="174"/>
        <v>459.8612526126696</v>
      </c>
      <c r="CX180" s="62">
        <f t="shared" si="122"/>
        <v>753.19458594600292</v>
      </c>
      <c r="CY180" s="62">
        <f ca="1">AVERAGE(OFFSET($CX$3,0,0,'Données projet'!$E$13+1,1))-AVERAGE(OFFSET($H$3,0,0,'Données projet'!$E$13+1,1))</f>
        <v>293.51866463276224</v>
      </c>
      <c r="CZ180" s="62">
        <f t="shared" si="150"/>
        <v>232.78663842203713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1.7053025658242404E-13</v>
      </c>
      <c r="O181" s="14">
        <f>N181*VLOOKUP('Données projet'!$B$9,Paramètres!$A$1:$I$89,3,0)*VLOOKUP('Données projet'!$B$9,Paramètres!$A$1:$I$89,5,0)</f>
        <v>1.4897523215040567E-13</v>
      </c>
      <c r="P181" s="14">
        <f t="shared" si="141"/>
        <v>2.136562777003313E-12</v>
      </c>
      <c r="Q181" s="22">
        <f t="shared" si="162"/>
        <v>3.9806453659427267E-12</v>
      </c>
      <c r="R181" s="62">
        <f t="shared" si="109"/>
        <v>293.33333333333729</v>
      </c>
      <c r="S181" s="62">
        <f ca="1">AVERAGE(OFFSET($R$3,0,0,'Données projet'!$E$9+1,1))-AVERAGE(OFFSET($H$3,0,0,'Données projet'!$E$9+1,1))</f>
        <v>239.16843440041487</v>
      </c>
      <c r="T181" s="62">
        <f t="shared" si="142"/>
        <v>241.82319822554194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7.844087893717995E-2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7.844087893717995E-2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-3.4106051316484809E-13</v>
      </c>
      <c r="AJ181" s="14">
        <f>AI181*VLOOKUP('Données projet'!$B$10,Paramètres!$A$1:$I$89,3,0)*VLOOKUP('Données projet'!$B$10,Paramètres!$A$1:$I$89,5,0)</f>
        <v>-2.5006556825246659E-13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376.5422416541544</v>
      </c>
      <c r="AO181" s="62">
        <f t="shared" si="144"/>
        <v>365.76175372075869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0.41099874403916303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0.41099874403916303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405.13433810198853</v>
      </c>
      <c r="BJ181" s="62">
        <f t="shared" si="146"/>
        <v>534.74398214162079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0.44055592109802366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2.0355133273355598E-21</v>
      </c>
      <c r="BS181" s="24">
        <f t="shared" si="169"/>
        <v>0.44055592109802366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411.60020200960821</v>
      </c>
      <c r="CE181" s="62">
        <f t="shared" si="148"/>
        <v>261.95434270986397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261.00000000000017</v>
      </c>
      <c r="CU181" s="18">
        <f>CT181*VLOOKUP('Données projet'!$B$13,Paramètres!$A$1:$I$89,3,0)*VLOOKUP('Données projet'!$B$13,Paramètres!$A$1:$I$89,5,0)</f>
        <v>211.72320000000013</v>
      </c>
      <c r="CV181" s="14">
        <f t="shared" si="173"/>
        <v>52.311968964212078</v>
      </c>
      <c r="CW181" s="22">
        <f t="shared" si="174"/>
        <v>459.8612526126696</v>
      </c>
      <c r="CX181" s="62">
        <f t="shared" si="122"/>
        <v>753.19458594600292</v>
      </c>
      <c r="CY181" s="62">
        <f ca="1">AVERAGE(OFFSET($CX$3,0,0,'Données projet'!$E$13+1,1))-AVERAGE(OFFSET($H$3,0,0,'Données projet'!$E$13+1,1))</f>
        <v>293.51866463276224</v>
      </c>
      <c r="CZ181" s="62">
        <f t="shared" si="150"/>
        <v>232.78663842203713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1.7053025658242404E-13</v>
      </c>
      <c r="O182" s="14">
        <f>N182*VLOOKUP('Données projet'!$B$9,Paramètres!$A$1:$I$89,3,0)*VLOOKUP('Données projet'!$B$9,Paramètres!$A$1:$I$89,5,0)</f>
        <v>1.4897523215040567E-13</v>
      </c>
      <c r="P182" s="14">
        <f t="shared" si="141"/>
        <v>2.136562777003313E-12</v>
      </c>
      <c r="Q182" s="22">
        <f t="shared" si="162"/>
        <v>3.9806453659427267E-12</v>
      </c>
      <c r="R182" s="62">
        <f t="shared" si="109"/>
        <v>293.33333333333729</v>
      </c>
      <c r="S182" s="62">
        <f ca="1">AVERAGE(OFFSET($R$3,0,0,'Données projet'!$E$9+1,1))-AVERAGE(OFFSET($H$3,0,0,'Données projet'!$E$9+1,1))</f>
        <v>239.16843440041487</v>
      </c>
      <c r="T182" s="62">
        <f t="shared" si="142"/>
        <v>241.82319822554194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7.629590897761622E-2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7.629590897761622E-2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-3.4106051316484809E-13</v>
      </c>
      <c r="AJ182" s="14">
        <f>AI182*VLOOKUP('Données projet'!$B$10,Paramètres!$A$1:$I$89,3,0)*VLOOKUP('Données projet'!$B$10,Paramètres!$A$1:$I$89,5,0)</f>
        <v>-2.5006556825246659E-13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376.5422416541544</v>
      </c>
      <c r="AO182" s="62">
        <f t="shared" si="144"/>
        <v>365.76175372075869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0.40293930935303585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0.40293930935303585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405.13433810198853</v>
      </c>
      <c r="BJ182" s="62">
        <f t="shared" si="146"/>
        <v>534.74398214162079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0.43191688819787011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1.439325276954567E-21</v>
      </c>
      <c r="BS182" s="24">
        <f t="shared" si="169"/>
        <v>0.43191688819787011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411.60020200960821</v>
      </c>
      <c r="CE182" s="62">
        <f t="shared" si="148"/>
        <v>261.95434270986397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261.00000000000017</v>
      </c>
      <c r="CU182" s="18">
        <f>CT182*VLOOKUP('Données projet'!$B$13,Paramètres!$A$1:$I$89,3,0)*VLOOKUP('Données projet'!$B$13,Paramètres!$A$1:$I$89,5,0)</f>
        <v>211.72320000000013</v>
      </c>
      <c r="CV182" s="14">
        <f t="shared" si="173"/>
        <v>52.311968964212078</v>
      </c>
      <c r="CW182" s="22">
        <f t="shared" si="174"/>
        <v>459.8612526126696</v>
      </c>
      <c r="CX182" s="62">
        <f t="shared" si="122"/>
        <v>753.19458594600292</v>
      </c>
      <c r="CY182" s="62">
        <f ca="1">AVERAGE(OFFSET($CX$3,0,0,'Données projet'!$E$13+1,1))-AVERAGE(OFFSET($H$3,0,0,'Données projet'!$E$13+1,1))</f>
        <v>293.51866463276224</v>
      </c>
      <c r="CZ182" s="62">
        <f t="shared" si="150"/>
        <v>232.78663842203713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1.7053025658242404E-13</v>
      </c>
      <c r="O183" s="14">
        <f>N183*VLOOKUP('Données projet'!$B$9,Paramètres!$A$1:$I$89,3,0)*VLOOKUP('Données projet'!$B$9,Paramètres!$A$1:$I$89,5,0)</f>
        <v>1.4897523215040567E-13</v>
      </c>
      <c r="P183" s="14">
        <f t="shared" si="141"/>
        <v>2.136562777003313E-12</v>
      </c>
      <c r="Q183" s="22">
        <f t="shared" si="162"/>
        <v>3.9806453659427267E-12</v>
      </c>
      <c r="R183" s="62">
        <f t="shared" si="109"/>
        <v>293.33333333333729</v>
      </c>
      <c r="S183" s="62">
        <f ca="1">AVERAGE(OFFSET($R$3,0,0,'Données projet'!$E$9+1,1))-AVERAGE(OFFSET($H$3,0,0,'Données projet'!$E$9+1,1))</f>
        <v>239.16843440041487</v>
      </c>
      <c r="T183" s="62">
        <f t="shared" si="142"/>
        <v>241.82319822554194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7.4209593334395821E-2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7.4209593334395821E-2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-3.4106051316484809E-13</v>
      </c>
      <c r="AJ183" s="14">
        <f>AI183*VLOOKUP('Données projet'!$B$10,Paramètres!$A$1:$I$89,3,0)*VLOOKUP('Données projet'!$B$10,Paramètres!$A$1:$I$89,5,0)</f>
        <v>-2.5006556825246659E-13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376.5422416541544</v>
      </c>
      <c r="AO183" s="62">
        <f t="shared" si="144"/>
        <v>365.76175372075869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0.39503791526533388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0.39503791526533388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405.13433810198853</v>
      </c>
      <c r="BJ183" s="62">
        <f t="shared" si="146"/>
        <v>534.74398214162079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0.42344726146359879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1.0177566636677799E-21</v>
      </c>
      <c r="BS183" s="24">
        <f t="shared" si="169"/>
        <v>0.42344726146359879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411.60020200960821</v>
      </c>
      <c r="CE183" s="62">
        <f t="shared" si="148"/>
        <v>261.95434270986397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261.00000000000017</v>
      </c>
      <c r="CU183" s="18">
        <f>CT183*VLOOKUP('Données projet'!$B$13,Paramètres!$A$1:$I$89,3,0)*VLOOKUP('Données projet'!$B$13,Paramètres!$A$1:$I$89,5,0)</f>
        <v>211.72320000000013</v>
      </c>
      <c r="CV183" s="14">
        <f t="shared" si="173"/>
        <v>52.311968964212078</v>
      </c>
      <c r="CW183" s="22">
        <f t="shared" si="174"/>
        <v>459.8612526126696</v>
      </c>
      <c r="CX183" s="62">
        <f t="shared" si="122"/>
        <v>753.19458594600292</v>
      </c>
      <c r="CY183" s="62">
        <f ca="1">AVERAGE(OFFSET($CX$3,0,0,'Données projet'!$E$13+1,1))-AVERAGE(OFFSET($H$3,0,0,'Données projet'!$E$13+1,1))</f>
        <v>293.51866463276224</v>
      </c>
      <c r="CZ183" s="62">
        <f t="shared" si="150"/>
        <v>232.78663842203713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1.7053025658242404E-13</v>
      </c>
      <c r="O184" s="14">
        <f>N184*VLOOKUP('Données projet'!$B$9,Paramètres!$A$1:$I$89,3,0)*VLOOKUP('Données projet'!$B$9,Paramètres!$A$1:$I$89,5,0)</f>
        <v>1.4897523215040567E-13</v>
      </c>
      <c r="P184" s="14">
        <f t="shared" si="141"/>
        <v>2.136562777003313E-12</v>
      </c>
      <c r="Q184" s="22">
        <f t="shared" si="162"/>
        <v>3.9806453659427267E-12</v>
      </c>
      <c r="R184" s="62">
        <f t="shared" si="109"/>
        <v>293.33333333333729</v>
      </c>
      <c r="S184" s="62">
        <f ca="1">AVERAGE(OFFSET($R$3,0,0,'Données projet'!$E$9+1,1))-AVERAGE(OFFSET($H$3,0,0,'Données projet'!$E$9+1,1))</f>
        <v>239.16843440041487</v>
      </c>
      <c r="T184" s="62">
        <f t="shared" si="142"/>
        <v>241.82319822554194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7.2180328102153857E-2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7.2180328102153857E-2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-3.4106051316484809E-13</v>
      </c>
      <c r="AJ184" s="14">
        <f>AI184*VLOOKUP('Données projet'!$B$10,Paramètres!$A$1:$I$89,3,0)*VLOOKUP('Données projet'!$B$10,Paramètres!$A$1:$I$89,5,0)</f>
        <v>-2.5006556825246659E-13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376.5422416541544</v>
      </c>
      <c r="AO184" s="62">
        <f t="shared" si="144"/>
        <v>365.76175372075869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0.3872914626963172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0.3872914626963172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405.13433810198853</v>
      </c>
      <c r="BJ184" s="62">
        <f t="shared" si="146"/>
        <v>534.74398214162079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0.41514371894362434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7.1966263847728348E-22</v>
      </c>
      <c r="BS184" s="24">
        <f t="shared" si="169"/>
        <v>0.41514371894362434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411.60020200960821</v>
      </c>
      <c r="CE184" s="62">
        <f t="shared" si="148"/>
        <v>261.95434270986397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261.00000000000017</v>
      </c>
      <c r="CU184" s="18">
        <f>CT184*VLOOKUP('Données projet'!$B$13,Paramètres!$A$1:$I$89,3,0)*VLOOKUP('Données projet'!$B$13,Paramètres!$A$1:$I$89,5,0)</f>
        <v>211.72320000000013</v>
      </c>
      <c r="CV184" s="14">
        <f t="shared" si="173"/>
        <v>52.311968964212078</v>
      </c>
      <c r="CW184" s="22">
        <f t="shared" si="174"/>
        <v>459.8612526126696</v>
      </c>
      <c r="CX184" s="62">
        <f t="shared" si="122"/>
        <v>753.19458594600292</v>
      </c>
      <c r="CY184" s="62">
        <f ca="1">AVERAGE(OFFSET($CX$3,0,0,'Données projet'!$E$13+1,1))-AVERAGE(OFFSET($H$3,0,0,'Données projet'!$E$13+1,1))</f>
        <v>293.51866463276224</v>
      </c>
      <c r="CZ184" s="62">
        <f t="shared" si="150"/>
        <v>232.78663842203713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1.7053025658242404E-13</v>
      </c>
      <c r="O185" s="14">
        <f>N185*VLOOKUP('Données projet'!$B$9,Paramètres!$A$1:$I$89,3,0)*VLOOKUP('Données projet'!$B$9,Paramètres!$A$1:$I$89,5,0)</f>
        <v>1.4897523215040567E-13</v>
      </c>
      <c r="P185" s="14">
        <f t="shared" si="141"/>
        <v>2.136562777003313E-12</v>
      </c>
      <c r="Q185" s="22">
        <f t="shared" si="162"/>
        <v>3.9806453659427267E-12</v>
      </c>
      <c r="R185" s="62">
        <f t="shared" si="109"/>
        <v>293.33333333333729</v>
      </c>
      <c r="S185" s="62">
        <f ca="1">AVERAGE(OFFSET($R$3,0,0,'Données projet'!$E$9+1,1))-AVERAGE(OFFSET($H$3,0,0,'Données projet'!$E$9+1,1))</f>
        <v>239.16843440041487</v>
      </c>
      <c r="T185" s="62">
        <f t="shared" si="142"/>
        <v>241.82319822554194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7.0206553234401975E-2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7.0206553234401975E-2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-3.4106051316484809E-13</v>
      </c>
      <c r="AJ185" s="14">
        <f>AI185*VLOOKUP('Données projet'!$B$10,Paramètres!$A$1:$I$89,3,0)*VLOOKUP('Données projet'!$B$10,Paramètres!$A$1:$I$89,5,0)</f>
        <v>-2.5006556825246659E-13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376.5422416541544</v>
      </c>
      <c r="AO185" s="62">
        <f t="shared" si="144"/>
        <v>365.76175372075869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0.37969691333730943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0.37969691333730943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405.13433810198853</v>
      </c>
      <c r="BJ185" s="62">
        <f t="shared" si="146"/>
        <v>534.74398214162079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0.40700300382780574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5.0887833183388994E-22</v>
      </c>
      <c r="BS185" s="24">
        <f t="shared" si="169"/>
        <v>0.40700300382780574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411.60020200960821</v>
      </c>
      <c r="CE185" s="62">
        <f t="shared" si="148"/>
        <v>261.95434270986397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261.00000000000017</v>
      </c>
      <c r="CU185" s="18">
        <f>CT185*VLOOKUP('Données projet'!$B$13,Paramètres!$A$1:$I$89,3,0)*VLOOKUP('Données projet'!$B$13,Paramètres!$A$1:$I$89,5,0)</f>
        <v>211.72320000000013</v>
      </c>
      <c r="CV185" s="14">
        <f t="shared" si="173"/>
        <v>52.311968964212078</v>
      </c>
      <c r="CW185" s="22">
        <f t="shared" si="174"/>
        <v>459.8612526126696</v>
      </c>
      <c r="CX185" s="62">
        <f t="shared" si="122"/>
        <v>753.19458594600292</v>
      </c>
      <c r="CY185" s="62">
        <f ca="1">AVERAGE(OFFSET($CX$3,0,0,'Données projet'!$E$13+1,1))-AVERAGE(OFFSET($H$3,0,0,'Données projet'!$E$13+1,1))</f>
        <v>293.51866463276224</v>
      </c>
      <c r="CZ185" s="62">
        <f t="shared" si="150"/>
        <v>232.78663842203713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1.7053025658242404E-13</v>
      </c>
      <c r="O186" s="14">
        <f>N186*VLOOKUP('Données projet'!$B$9,Paramètres!$A$1:$I$89,3,0)*VLOOKUP('Données projet'!$B$9,Paramètres!$A$1:$I$89,5,0)</f>
        <v>1.4897523215040567E-13</v>
      </c>
      <c r="P186" s="14">
        <f t="shared" si="141"/>
        <v>2.136562777003313E-12</v>
      </c>
      <c r="Q186" s="22">
        <f t="shared" si="162"/>
        <v>3.9806453659427267E-12</v>
      </c>
      <c r="R186" s="62">
        <f t="shared" si="109"/>
        <v>293.33333333333729</v>
      </c>
      <c r="S186" s="62">
        <f ca="1">AVERAGE(OFFSET($R$3,0,0,'Données projet'!$E$9+1,1))-AVERAGE(OFFSET($H$3,0,0,'Données projet'!$E$9+1,1))</f>
        <v>239.16843440041487</v>
      </c>
      <c r="T186" s="62">
        <f t="shared" si="142"/>
        <v>241.82319822554194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6.8286751344205074E-2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6.8286751344205074E-2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-3.4106051316484809E-13</v>
      </c>
      <c r="AJ186" s="14">
        <f>AI186*VLOOKUP('Données projet'!$B$10,Paramètres!$A$1:$I$89,3,0)*VLOOKUP('Données projet'!$B$10,Paramètres!$A$1:$I$89,5,0)</f>
        <v>-2.5006556825246659E-13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376.5422416541544</v>
      </c>
      <c r="AO186" s="62">
        <f t="shared" si="144"/>
        <v>365.76175372075869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0.37225128845901406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0.37225128845901406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405.13433810198853</v>
      </c>
      <c r="BJ186" s="62">
        <f t="shared" si="146"/>
        <v>534.74398214162079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0.39902192317006241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3.5983131923864174E-22</v>
      </c>
      <c r="BS186" s="24">
        <f t="shared" si="169"/>
        <v>0.39902192317006241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411.60020200960821</v>
      </c>
      <c r="CE186" s="62">
        <f t="shared" si="148"/>
        <v>261.95434270986397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261.00000000000017</v>
      </c>
      <c r="CU186" s="18">
        <f>CT186*VLOOKUP('Données projet'!$B$13,Paramètres!$A$1:$I$89,3,0)*VLOOKUP('Données projet'!$B$13,Paramètres!$A$1:$I$89,5,0)</f>
        <v>211.72320000000013</v>
      </c>
      <c r="CV186" s="14">
        <f t="shared" si="173"/>
        <v>52.311968964212078</v>
      </c>
      <c r="CW186" s="22">
        <f t="shared" si="174"/>
        <v>459.8612526126696</v>
      </c>
      <c r="CX186" s="62">
        <f t="shared" si="122"/>
        <v>753.19458594600292</v>
      </c>
      <c r="CY186" s="62">
        <f ca="1">AVERAGE(OFFSET($CX$3,0,0,'Données projet'!$E$13+1,1))-AVERAGE(OFFSET($H$3,0,0,'Données projet'!$E$13+1,1))</f>
        <v>293.51866463276224</v>
      </c>
      <c r="CZ186" s="62">
        <f t="shared" si="150"/>
        <v>232.78663842203713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1.7053025658242404E-13</v>
      </c>
      <c r="O187" s="14">
        <f>N187*VLOOKUP('Données projet'!$B$9,Paramètres!$A$1:$I$89,3,0)*VLOOKUP('Données projet'!$B$9,Paramètres!$A$1:$I$89,5,0)</f>
        <v>1.4897523215040567E-13</v>
      </c>
      <c r="P187" s="14">
        <f t="shared" si="141"/>
        <v>2.136562777003313E-12</v>
      </c>
      <c r="Q187" s="22">
        <f t="shared" si="162"/>
        <v>3.9806453659427267E-12</v>
      </c>
      <c r="R187" s="62">
        <f t="shared" si="109"/>
        <v>293.33333333333729</v>
      </c>
      <c r="S187" s="62">
        <f ca="1">AVERAGE(OFFSET($R$3,0,0,'Données projet'!$E$9+1,1))-AVERAGE(OFFSET($H$3,0,0,'Données projet'!$E$9+1,1))</f>
        <v>239.16843440041487</v>
      </c>
      <c r="T187" s="62">
        <f t="shared" si="142"/>
        <v>241.82319822554194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6.6419446537653609E-2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6.6419446537653609E-2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-3.4106051316484809E-13</v>
      </c>
      <c r="AJ187" s="14">
        <f>AI187*VLOOKUP('Données projet'!$B$10,Paramètres!$A$1:$I$89,3,0)*VLOOKUP('Données projet'!$B$10,Paramètres!$A$1:$I$89,5,0)</f>
        <v>-2.5006556825246659E-13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376.5422416541544</v>
      </c>
      <c r="AO187" s="62">
        <f t="shared" si="144"/>
        <v>365.76175372075869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0.36495166774319937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0.36495166774319937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405.13433810198853</v>
      </c>
      <c r="BJ187" s="62">
        <f t="shared" si="146"/>
        <v>534.74398214162079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0.39119734663603889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2.5443916591694497E-22</v>
      </c>
      <c r="BS187" s="24">
        <f t="shared" si="169"/>
        <v>0.39119734663603889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411.60020200960821</v>
      </c>
      <c r="CE187" s="62">
        <f t="shared" si="148"/>
        <v>261.95434270986397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261.00000000000017</v>
      </c>
      <c r="CU187" s="18">
        <f>CT187*VLOOKUP('Données projet'!$B$13,Paramètres!$A$1:$I$89,3,0)*VLOOKUP('Données projet'!$B$13,Paramètres!$A$1:$I$89,5,0)</f>
        <v>211.72320000000013</v>
      </c>
      <c r="CV187" s="14">
        <f t="shared" si="173"/>
        <v>52.311968964212078</v>
      </c>
      <c r="CW187" s="22">
        <f t="shared" si="174"/>
        <v>459.8612526126696</v>
      </c>
      <c r="CX187" s="62">
        <f t="shared" si="122"/>
        <v>753.19458594600292</v>
      </c>
      <c r="CY187" s="62">
        <f ca="1">AVERAGE(OFFSET($CX$3,0,0,'Données projet'!$E$13+1,1))-AVERAGE(OFFSET($H$3,0,0,'Données projet'!$E$13+1,1))</f>
        <v>293.51866463276224</v>
      </c>
      <c r="CZ187" s="62">
        <f t="shared" si="150"/>
        <v>232.78663842203713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1.7053025658242404E-13</v>
      </c>
      <c r="O188" s="14">
        <f>N188*VLOOKUP('Données projet'!$B$9,Paramètres!$A$1:$I$89,3,0)*VLOOKUP('Données projet'!$B$9,Paramètres!$A$1:$I$89,5,0)</f>
        <v>1.4897523215040567E-13</v>
      </c>
      <c r="P188" s="14">
        <f t="shared" si="141"/>
        <v>2.136562777003313E-12</v>
      </c>
      <c r="Q188" s="22">
        <f t="shared" si="162"/>
        <v>3.9806453659427267E-12</v>
      </c>
      <c r="R188" s="62">
        <f t="shared" si="109"/>
        <v>293.33333333333729</v>
      </c>
      <c r="S188" s="62">
        <f ca="1">AVERAGE(OFFSET($R$3,0,0,'Données projet'!$E$9+1,1))-AVERAGE(OFFSET($H$3,0,0,'Données projet'!$E$9+1,1))</f>
        <v>239.16843440041487</v>
      </c>
      <c r="T188" s="62">
        <f t="shared" si="142"/>
        <v>241.82319822554194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6.4603203279234578E-2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6.4603203279234578E-2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-3.4106051316484809E-13</v>
      </c>
      <c r="AJ188" s="14">
        <f>AI188*VLOOKUP('Données projet'!$B$10,Paramètres!$A$1:$I$89,3,0)*VLOOKUP('Données projet'!$B$10,Paramètres!$A$1:$I$89,5,0)</f>
        <v>-2.5006556825246659E-13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376.5422416541544</v>
      </c>
      <c r="AO188" s="62">
        <f t="shared" si="144"/>
        <v>365.76175372075869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0.35779518813729277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0.35779518813729277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405.13433810198853</v>
      </c>
      <c r="BJ188" s="62">
        <f t="shared" si="146"/>
        <v>534.74398214162079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0.38352620527532716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1.7991565961932087E-22</v>
      </c>
      <c r="BS188" s="24">
        <f t="shared" si="169"/>
        <v>0.38352620527532716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411.60020200960821</v>
      </c>
      <c r="CE188" s="62">
        <f t="shared" si="148"/>
        <v>261.95434270986397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261.00000000000017</v>
      </c>
      <c r="CU188" s="18">
        <f>CT188*VLOOKUP('Données projet'!$B$13,Paramètres!$A$1:$I$89,3,0)*VLOOKUP('Données projet'!$B$13,Paramètres!$A$1:$I$89,5,0)</f>
        <v>211.72320000000013</v>
      </c>
      <c r="CV188" s="14">
        <f t="shared" si="173"/>
        <v>52.311968964212078</v>
      </c>
      <c r="CW188" s="22">
        <f t="shared" si="174"/>
        <v>459.8612526126696</v>
      </c>
      <c r="CX188" s="62">
        <f t="shared" si="122"/>
        <v>753.19458594600292</v>
      </c>
      <c r="CY188" s="62">
        <f ca="1">AVERAGE(OFFSET($CX$3,0,0,'Données projet'!$E$13+1,1))-AVERAGE(OFFSET($H$3,0,0,'Données projet'!$E$13+1,1))</f>
        <v>293.51866463276224</v>
      </c>
      <c r="CZ188" s="62">
        <f t="shared" si="150"/>
        <v>232.78663842203713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1.7053025658242404E-13</v>
      </c>
      <c r="O189" s="14">
        <f>N189*VLOOKUP('Données projet'!$B$9,Paramètres!$A$1:$I$89,3,0)*VLOOKUP('Données projet'!$B$9,Paramètres!$A$1:$I$89,5,0)</f>
        <v>1.4897523215040567E-13</v>
      </c>
      <c r="P189" s="14">
        <f t="shared" si="141"/>
        <v>2.136562777003313E-12</v>
      </c>
      <c r="Q189" s="22">
        <f t="shared" si="162"/>
        <v>3.9806453659427267E-12</v>
      </c>
      <c r="R189" s="62">
        <f t="shared" si="109"/>
        <v>293.33333333333729</v>
      </c>
      <c r="S189" s="62">
        <f ca="1">AVERAGE(OFFSET($R$3,0,0,'Données projet'!$E$9+1,1))-AVERAGE(OFFSET($H$3,0,0,'Données projet'!$E$9+1,1))</f>
        <v>239.16843440041487</v>
      </c>
      <c r="T189" s="62">
        <f t="shared" si="142"/>
        <v>241.82319822554194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6.28366252882291E-2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6.28366252882291E-2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-3.4106051316484809E-13</v>
      </c>
      <c r="AJ189" s="14">
        <f>AI189*VLOOKUP('Données projet'!$B$10,Paramètres!$A$1:$I$89,3,0)*VLOOKUP('Données projet'!$B$10,Paramètres!$A$1:$I$89,5,0)</f>
        <v>-2.5006556825246659E-13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376.5422416541544</v>
      </c>
      <c r="AO189" s="62">
        <f t="shared" si="144"/>
        <v>365.76175372075869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0.35077904273143645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0.35077904273143645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405.13433810198853</v>
      </c>
      <c r="BJ189" s="62">
        <f t="shared" si="146"/>
        <v>534.74398214162079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0.37600549031776476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1.2721958295847248E-22</v>
      </c>
      <c r="BS189" s="24">
        <f t="shared" si="169"/>
        <v>0.37600549031776476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411.60020200960821</v>
      </c>
      <c r="CE189" s="62">
        <f t="shared" si="148"/>
        <v>261.95434270986397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261.00000000000017</v>
      </c>
      <c r="CU189" s="18">
        <f>CT189*VLOOKUP('Données projet'!$B$13,Paramètres!$A$1:$I$89,3,0)*VLOOKUP('Données projet'!$B$13,Paramètres!$A$1:$I$89,5,0)</f>
        <v>211.72320000000013</v>
      </c>
      <c r="CV189" s="14">
        <f t="shared" si="173"/>
        <v>52.311968964212078</v>
      </c>
      <c r="CW189" s="22">
        <f t="shared" si="174"/>
        <v>459.8612526126696</v>
      </c>
      <c r="CX189" s="62">
        <f t="shared" si="122"/>
        <v>753.19458594600292</v>
      </c>
      <c r="CY189" s="62">
        <f ca="1">AVERAGE(OFFSET($CX$3,0,0,'Données projet'!$E$13+1,1))-AVERAGE(OFFSET($H$3,0,0,'Données projet'!$E$13+1,1))</f>
        <v>293.51866463276224</v>
      </c>
      <c r="CZ189" s="62">
        <f t="shared" si="150"/>
        <v>232.78663842203713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1.7053025658242404E-13</v>
      </c>
      <c r="O190" s="14">
        <f>N190*VLOOKUP('Données projet'!$B$9,Paramètres!$A$1:$I$89,3,0)*VLOOKUP('Données projet'!$B$9,Paramètres!$A$1:$I$89,5,0)</f>
        <v>1.4897523215040567E-13</v>
      </c>
      <c r="P190" s="14">
        <f t="shared" si="141"/>
        <v>2.136562777003313E-12</v>
      </c>
      <c r="Q190" s="22">
        <f t="shared" si="162"/>
        <v>3.9806453659427267E-12</v>
      </c>
      <c r="R190" s="62">
        <f t="shared" si="109"/>
        <v>293.33333333333729</v>
      </c>
      <c r="S190" s="62">
        <f ca="1">AVERAGE(OFFSET($R$3,0,0,'Données projet'!$E$9+1,1))-AVERAGE(OFFSET($H$3,0,0,'Données projet'!$E$9+1,1))</f>
        <v>239.16843440041487</v>
      </c>
      <c r="T190" s="62">
        <f t="shared" si="142"/>
        <v>241.82319822554194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6.1118354465287968E-2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6.1118354465287968E-2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-3.4106051316484809E-13</v>
      </c>
      <c r="AJ190" s="14">
        <f>AI190*VLOOKUP('Données projet'!$B$10,Paramètres!$A$1:$I$89,3,0)*VLOOKUP('Données projet'!$B$10,Paramètres!$A$1:$I$89,5,0)</f>
        <v>-2.5006556825246659E-13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376.5422416541544</v>
      </c>
      <c r="AO190" s="62">
        <f t="shared" si="144"/>
        <v>365.76175372075869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0.34390047965756282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0.34390047965756282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405.13433810198853</v>
      </c>
      <c r="BJ190" s="62">
        <f t="shared" si="146"/>
        <v>534.74398214162079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0.36863225199333699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8.9957829809660435E-23</v>
      </c>
      <c r="BS190" s="24">
        <f t="shared" si="169"/>
        <v>0.36863225199333699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411.60020200960821</v>
      </c>
      <c r="CE190" s="62">
        <f t="shared" si="148"/>
        <v>261.95434270986397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261.00000000000017</v>
      </c>
      <c r="CU190" s="18">
        <f>CT190*VLOOKUP('Données projet'!$B$13,Paramètres!$A$1:$I$89,3,0)*VLOOKUP('Données projet'!$B$13,Paramètres!$A$1:$I$89,5,0)</f>
        <v>211.72320000000013</v>
      </c>
      <c r="CV190" s="14">
        <f t="shared" si="173"/>
        <v>52.311968964212078</v>
      </c>
      <c r="CW190" s="22">
        <f t="shared" si="174"/>
        <v>459.8612526126696</v>
      </c>
      <c r="CX190" s="62">
        <f t="shared" si="122"/>
        <v>753.19458594600292</v>
      </c>
      <c r="CY190" s="62">
        <f ca="1">AVERAGE(OFFSET($CX$3,0,0,'Données projet'!$E$13+1,1))-AVERAGE(OFFSET($H$3,0,0,'Données projet'!$E$13+1,1))</f>
        <v>293.51866463276224</v>
      </c>
      <c r="CZ190" s="62">
        <f t="shared" si="150"/>
        <v>232.78663842203713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1.7053025658242404E-13</v>
      </c>
      <c r="O191" s="14">
        <f>N191*VLOOKUP('Données projet'!$B$9,Paramètres!$A$1:$I$89,3,0)*VLOOKUP('Données projet'!$B$9,Paramètres!$A$1:$I$89,5,0)</f>
        <v>1.4897523215040567E-13</v>
      </c>
      <c r="P191" s="14">
        <f t="shared" si="141"/>
        <v>2.136562777003313E-12</v>
      </c>
      <c r="Q191" s="22">
        <f t="shared" si="162"/>
        <v>3.9806453659427267E-12</v>
      </c>
      <c r="R191" s="62">
        <f t="shared" si="109"/>
        <v>293.33333333333729</v>
      </c>
      <c r="S191" s="62">
        <f ca="1">AVERAGE(OFFSET($R$3,0,0,'Données projet'!$E$9+1,1))-AVERAGE(OFFSET($H$3,0,0,'Données projet'!$E$9+1,1))</f>
        <v>239.16843440041487</v>
      </c>
      <c r="T191" s="62">
        <f t="shared" si="142"/>
        <v>241.82319822554194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5.9447069848360096E-2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5.9447069848360096E-2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-3.4106051316484809E-13</v>
      </c>
      <c r="AJ191" s="14">
        <f>AI191*VLOOKUP('Données projet'!$B$10,Paramètres!$A$1:$I$89,3,0)*VLOOKUP('Données projet'!$B$10,Paramètres!$A$1:$I$89,5,0)</f>
        <v>-2.5006556825246659E-13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376.5422416541544</v>
      </c>
      <c r="AO191" s="62">
        <f t="shared" si="144"/>
        <v>365.76175372075869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0.33715680101005868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0.33715680101005868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405.13433810198853</v>
      </c>
      <c r="BJ191" s="62">
        <f t="shared" si="146"/>
        <v>534.74398214162079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0.3614035983752199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6.3609791479236242E-23</v>
      </c>
      <c r="BS191" s="24">
        <f t="shared" si="169"/>
        <v>0.3614035983752199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411.60020200960821</v>
      </c>
      <c r="CE191" s="62">
        <f t="shared" si="148"/>
        <v>261.95434270986397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261.00000000000017</v>
      </c>
      <c r="CU191" s="18">
        <f>CT191*VLOOKUP('Données projet'!$B$13,Paramètres!$A$1:$I$89,3,0)*VLOOKUP('Données projet'!$B$13,Paramètres!$A$1:$I$89,5,0)</f>
        <v>211.72320000000013</v>
      </c>
      <c r="CV191" s="14">
        <f t="shared" si="173"/>
        <v>52.311968964212078</v>
      </c>
      <c r="CW191" s="22">
        <f t="shared" si="174"/>
        <v>459.8612526126696</v>
      </c>
      <c r="CX191" s="62">
        <f t="shared" si="122"/>
        <v>753.19458594600292</v>
      </c>
      <c r="CY191" s="62">
        <f ca="1">AVERAGE(OFFSET($CX$3,0,0,'Données projet'!$E$13+1,1))-AVERAGE(OFFSET($H$3,0,0,'Données projet'!$E$13+1,1))</f>
        <v>293.51866463276224</v>
      </c>
      <c r="CZ191" s="62">
        <f t="shared" si="150"/>
        <v>232.78663842203713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1.7053025658242404E-13</v>
      </c>
      <c r="O192" s="14">
        <f>N192*VLOOKUP('Données projet'!$B$9,Paramètres!$A$1:$I$89,3,0)*VLOOKUP('Données projet'!$B$9,Paramètres!$A$1:$I$89,5,0)</f>
        <v>1.4897523215040567E-13</v>
      </c>
      <c r="P192" s="14">
        <f t="shared" si="141"/>
        <v>2.136562777003313E-12</v>
      </c>
      <c r="Q192" s="22">
        <f t="shared" si="162"/>
        <v>3.9806453659427267E-12</v>
      </c>
      <c r="R192" s="62">
        <f t="shared" si="109"/>
        <v>293.33333333333729</v>
      </c>
      <c r="S192" s="62">
        <f ca="1">AVERAGE(OFFSET($R$3,0,0,'Données projet'!$E$9+1,1))-AVERAGE(OFFSET($H$3,0,0,'Données projet'!$E$9+1,1))</f>
        <v>239.16843440041487</v>
      </c>
      <c r="T192" s="62">
        <f t="shared" si="142"/>
        <v>241.82319822554194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5.7821486597171151E-2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5.7821486597171151E-2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-3.4106051316484809E-13</v>
      </c>
      <c r="AJ192" s="14">
        <f>AI192*VLOOKUP('Données projet'!$B$10,Paramètres!$A$1:$I$89,3,0)*VLOOKUP('Données projet'!$B$10,Paramètres!$A$1:$I$89,5,0)</f>
        <v>-2.5006556825246659E-13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376.5422416541544</v>
      </c>
      <c r="AO192" s="62">
        <f t="shared" si="144"/>
        <v>365.76175372075869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0.33054536178759425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0.33054536178759425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405.13433810198853</v>
      </c>
      <c r="BJ192" s="62">
        <f t="shared" si="146"/>
        <v>534.74398214162079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0.35431669424551077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4.4978914904830217E-23</v>
      </c>
      <c r="BS192" s="24">
        <f t="shared" si="169"/>
        <v>0.35431669424551077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411.60020200960821</v>
      </c>
      <c r="CE192" s="62">
        <f t="shared" si="148"/>
        <v>261.95434270986397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261.00000000000017</v>
      </c>
      <c r="CU192" s="18">
        <f>CT192*VLOOKUP('Données projet'!$B$13,Paramètres!$A$1:$I$89,3,0)*VLOOKUP('Données projet'!$B$13,Paramètres!$A$1:$I$89,5,0)</f>
        <v>211.72320000000013</v>
      </c>
      <c r="CV192" s="14">
        <f t="shared" si="173"/>
        <v>52.311968964212078</v>
      </c>
      <c r="CW192" s="22">
        <f t="shared" si="174"/>
        <v>459.8612526126696</v>
      </c>
      <c r="CX192" s="62">
        <f t="shared" si="122"/>
        <v>753.19458594600292</v>
      </c>
      <c r="CY192" s="62">
        <f ca="1">AVERAGE(OFFSET($CX$3,0,0,'Données projet'!$E$13+1,1))-AVERAGE(OFFSET($H$3,0,0,'Données projet'!$E$13+1,1))</f>
        <v>293.51866463276224</v>
      </c>
      <c r="CZ192" s="62">
        <f t="shared" si="150"/>
        <v>232.78663842203713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1.7053025658242404E-13</v>
      </c>
      <c r="O193" s="14">
        <f>N193*VLOOKUP('Données projet'!$B$9,Paramètres!$A$1:$I$89,3,0)*VLOOKUP('Données projet'!$B$9,Paramètres!$A$1:$I$89,5,0)</f>
        <v>1.4897523215040567E-13</v>
      </c>
      <c r="P193" s="14">
        <f t="shared" si="141"/>
        <v>2.136562777003313E-12</v>
      </c>
      <c r="Q193" s="22">
        <f t="shared" si="162"/>
        <v>3.9806453659427267E-12</v>
      </c>
      <c r="R193" s="62">
        <f t="shared" si="109"/>
        <v>293.33333333333729</v>
      </c>
      <c r="S193" s="62">
        <f ca="1">AVERAGE(OFFSET($R$3,0,0,'Données projet'!$E$9+1,1))-AVERAGE(OFFSET($H$3,0,0,'Données projet'!$E$9+1,1))</f>
        <v>239.16843440041487</v>
      </c>
      <c r="T193" s="62">
        <f t="shared" si="142"/>
        <v>241.82319822554194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5.6240355005471677E-2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5.6240355005471677E-2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-3.4106051316484809E-13</v>
      </c>
      <c r="AJ193" s="14">
        <f>AI193*VLOOKUP('Données projet'!$B$10,Paramètres!$A$1:$I$89,3,0)*VLOOKUP('Données projet'!$B$10,Paramètres!$A$1:$I$89,5,0)</f>
        <v>-2.5006556825246659E-13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376.5422416541544</v>
      </c>
      <c r="AO193" s="62">
        <f t="shared" si="144"/>
        <v>365.76175372075869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0.32406356885570259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0.32406356885570259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405.13433810198853</v>
      </c>
      <c r="BJ193" s="62">
        <f t="shared" si="146"/>
        <v>534.74398214162079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0.34736875998320049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3.1804895739618121E-23</v>
      </c>
      <c r="BS193" s="24">
        <f t="shared" si="169"/>
        <v>0.34736875998320049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411.60020200960821</v>
      </c>
      <c r="CE193" s="62">
        <f t="shared" si="148"/>
        <v>261.95434270986397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261.00000000000017</v>
      </c>
      <c r="CU193" s="18">
        <f>CT193*VLOOKUP('Données projet'!$B$13,Paramètres!$A$1:$I$89,3,0)*VLOOKUP('Données projet'!$B$13,Paramètres!$A$1:$I$89,5,0)</f>
        <v>211.72320000000013</v>
      </c>
      <c r="CV193" s="14">
        <f t="shared" si="173"/>
        <v>52.311968964212078</v>
      </c>
      <c r="CW193" s="22">
        <f t="shared" si="174"/>
        <v>459.8612526126696</v>
      </c>
      <c r="CX193" s="62">
        <f t="shared" si="122"/>
        <v>753.19458594600292</v>
      </c>
      <c r="CY193" s="62">
        <f ca="1">AVERAGE(OFFSET($CX$3,0,0,'Données projet'!$E$13+1,1))-AVERAGE(OFFSET($H$3,0,0,'Données projet'!$E$13+1,1))</f>
        <v>293.51866463276224</v>
      </c>
      <c r="CZ193" s="62">
        <f t="shared" si="150"/>
        <v>232.78663842203713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1.7053025658242404E-13</v>
      </c>
      <c r="O194" s="14">
        <f>N194*VLOOKUP('Données projet'!$B$9,Paramètres!$A$1:$I$89,3,0)*VLOOKUP('Données projet'!$B$9,Paramètres!$A$1:$I$89,5,0)</f>
        <v>1.4897523215040567E-13</v>
      </c>
      <c r="P194" s="14">
        <f t="shared" si="141"/>
        <v>2.136562777003313E-12</v>
      </c>
      <c r="Q194" s="22">
        <f t="shared" si="162"/>
        <v>3.9806453659427267E-12</v>
      </c>
      <c r="R194" s="62">
        <f t="shared" si="109"/>
        <v>293.33333333333729</v>
      </c>
      <c r="S194" s="62">
        <f ca="1">AVERAGE(OFFSET($R$3,0,0,'Données projet'!$E$9+1,1))-AVERAGE(OFFSET($H$3,0,0,'Données projet'!$E$9+1,1))</f>
        <v>239.16843440041487</v>
      </c>
      <c r="T194" s="62">
        <f t="shared" si="142"/>
        <v>241.82319822554194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5.4702459540295324E-2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5.4702459540295324E-2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-3.4106051316484809E-13</v>
      </c>
      <c r="AJ194" s="14">
        <f>AI194*VLOOKUP('Données projet'!$B$10,Paramètres!$A$1:$I$89,3,0)*VLOOKUP('Données projet'!$B$10,Paramètres!$A$1:$I$89,5,0)</f>
        <v>-2.5006556825246659E-13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376.5422416541544</v>
      </c>
      <c r="AO194" s="62">
        <f t="shared" si="144"/>
        <v>365.76175372075869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0.31770887992970204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0.31770887992970204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405.13433810198853</v>
      </c>
      <c r="BJ194" s="62">
        <f t="shared" si="146"/>
        <v>534.74398214162079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0.34055707047395267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2.2489457452415109E-23</v>
      </c>
      <c r="BS194" s="24">
        <f t="shared" si="169"/>
        <v>0.34055707047395267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411.60020200960821</v>
      </c>
      <c r="CE194" s="62">
        <f t="shared" si="148"/>
        <v>261.95434270986397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261.00000000000017</v>
      </c>
      <c r="CU194" s="18">
        <f>CT194*VLOOKUP('Données projet'!$B$13,Paramètres!$A$1:$I$89,3,0)*VLOOKUP('Données projet'!$B$13,Paramètres!$A$1:$I$89,5,0)</f>
        <v>211.72320000000013</v>
      </c>
      <c r="CV194" s="14">
        <f t="shared" si="173"/>
        <v>52.311968964212078</v>
      </c>
      <c r="CW194" s="22">
        <f t="shared" si="174"/>
        <v>459.8612526126696</v>
      </c>
      <c r="CX194" s="62">
        <f t="shared" si="122"/>
        <v>753.19458594600292</v>
      </c>
      <c r="CY194" s="62">
        <f ca="1">AVERAGE(OFFSET($CX$3,0,0,'Données projet'!$E$13+1,1))-AVERAGE(OFFSET($H$3,0,0,'Données projet'!$E$13+1,1))</f>
        <v>293.51866463276224</v>
      </c>
      <c r="CZ194" s="62">
        <f t="shared" si="150"/>
        <v>232.78663842203713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1.7053025658242404E-13</v>
      </c>
      <c r="O195" s="14">
        <f>N195*VLOOKUP('Données projet'!$B$9,Paramètres!$A$1:$I$89,3,0)*VLOOKUP('Données projet'!$B$9,Paramètres!$A$1:$I$89,5,0)</f>
        <v>1.4897523215040567E-13</v>
      </c>
      <c r="P195" s="14">
        <f t="shared" si="141"/>
        <v>2.136562777003313E-12</v>
      </c>
      <c r="Q195" s="22">
        <f t="shared" si="162"/>
        <v>3.9806453659427267E-12</v>
      </c>
      <c r="R195" s="62">
        <f t="shared" ref="R195:R203" si="191">Q195+(I195+J195)*44/12</f>
        <v>293.33333333333729</v>
      </c>
      <c r="S195" s="62">
        <f ca="1">AVERAGE(OFFSET($R$3,0,0,'Données projet'!$E$9+1,1))-AVERAGE(OFFSET($H$3,0,0,'Données projet'!$E$9+1,1))</f>
        <v>239.16843440041487</v>
      </c>
      <c r="T195" s="62">
        <f t="shared" si="142"/>
        <v>241.82319822554194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5.3206617907488624E-2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5.3206617907488624E-2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-3.4106051316484809E-13</v>
      </c>
      <c r="AJ195" s="14">
        <f>AI195*VLOOKUP('Données projet'!$B$10,Paramètres!$A$1:$I$89,3,0)*VLOOKUP('Données projet'!$B$10,Paramètres!$A$1:$I$89,5,0)</f>
        <v>-2.5006556825246659E-13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376.5422416541544</v>
      </c>
      <c r="AO195" s="62">
        <f t="shared" si="144"/>
        <v>365.76175372075869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0.31147880257756283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0.31147880257756283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405.13433810198853</v>
      </c>
      <c r="BJ195" s="62">
        <f t="shared" si="146"/>
        <v>534.74398214162079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0.33387895404126089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1.5902447869809061E-23</v>
      </c>
      <c r="BS195" s="24">
        <f t="shared" si="169"/>
        <v>0.33387895404126089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411.60020200960821</v>
      </c>
      <c r="CE195" s="62">
        <f t="shared" si="148"/>
        <v>261.95434270986397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261.00000000000017</v>
      </c>
      <c r="CU195" s="18">
        <f>CT195*VLOOKUP('Données projet'!$B$13,Paramètres!$A$1:$I$89,3,0)*VLOOKUP('Données projet'!$B$13,Paramètres!$A$1:$I$89,5,0)</f>
        <v>211.72320000000013</v>
      </c>
      <c r="CV195" s="14">
        <f t="shared" si="173"/>
        <v>52.311968964212078</v>
      </c>
      <c r="CW195" s="22">
        <f t="shared" si="174"/>
        <v>459.8612526126696</v>
      </c>
      <c r="CX195" s="62">
        <f t="shared" si="122"/>
        <v>753.19458594600292</v>
      </c>
      <c r="CY195" s="62">
        <f ca="1">AVERAGE(OFFSET($CX$3,0,0,'Données projet'!$E$13+1,1))-AVERAGE(OFFSET($H$3,0,0,'Données projet'!$E$13+1,1))</f>
        <v>293.51866463276224</v>
      </c>
      <c r="CZ195" s="62">
        <f t="shared" si="150"/>
        <v>232.78663842203713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1.7053025658242404E-13</v>
      </c>
      <c r="O196" s="14">
        <f>N196*VLOOKUP('Données projet'!$B$9,Paramètres!$A$1:$I$89,3,0)*VLOOKUP('Données projet'!$B$9,Paramètres!$A$1:$I$89,5,0)</f>
        <v>1.4897523215040567E-13</v>
      </c>
      <c r="P196" s="14">
        <f t="shared" si="141"/>
        <v>2.136562777003313E-12</v>
      </c>
      <c r="Q196" s="22">
        <f t="shared" si="162"/>
        <v>3.9806453659427267E-12</v>
      </c>
      <c r="R196" s="62">
        <f t="shared" si="191"/>
        <v>293.33333333333729</v>
      </c>
      <c r="S196" s="62">
        <f ca="1">AVERAGE(OFFSET($R$3,0,0,'Données projet'!$E$9+1,1))-AVERAGE(OFFSET($H$3,0,0,'Données projet'!$E$9+1,1))</f>
        <v>239.16843440041487</v>
      </c>
      <c r="T196" s="62">
        <f t="shared" si="142"/>
        <v>241.82319822554194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5.1751680142793917E-2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5.1751680142793917E-2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-3.4106051316484809E-13</v>
      </c>
      <c r="AJ196" s="14">
        <f>AI196*VLOOKUP('Données projet'!$B$10,Paramètres!$A$1:$I$89,3,0)*VLOOKUP('Données projet'!$B$10,Paramètres!$A$1:$I$89,5,0)</f>
        <v>-2.5006556825246659E-13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376.5422416541544</v>
      </c>
      <c r="AO196" s="62">
        <f t="shared" si="144"/>
        <v>365.76175372075869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0.30537089324232708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0.30537089324232708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405.13433810198853</v>
      </c>
      <c r="BJ196" s="62">
        <f t="shared" si="146"/>
        <v>534.74398214162079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0.32733179139856533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1.1244728726207554E-23</v>
      </c>
      <c r="BS196" s="24">
        <f t="shared" si="169"/>
        <v>0.32733179139856533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411.60020200960821</v>
      </c>
      <c r="CE196" s="62">
        <f t="shared" si="148"/>
        <v>261.95434270986397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261.00000000000017</v>
      </c>
      <c r="CU196" s="18">
        <f>CT196*VLOOKUP('Données projet'!$B$13,Paramètres!$A$1:$I$89,3,0)*VLOOKUP('Données projet'!$B$13,Paramètres!$A$1:$I$89,5,0)</f>
        <v>211.72320000000013</v>
      </c>
      <c r="CV196" s="14">
        <f t="shared" si="173"/>
        <v>52.311968964212078</v>
      </c>
      <c r="CW196" s="22">
        <f t="shared" si="174"/>
        <v>459.8612526126696</v>
      </c>
      <c r="CX196" s="62">
        <f t="shared" ref="CX196:CX203" si="196">CW196+(CO196+CP196)*44/12</f>
        <v>753.19458594600292</v>
      </c>
      <c r="CY196" s="62">
        <f ca="1">AVERAGE(OFFSET($CX$3,0,0,'Données projet'!$E$13+1,1))-AVERAGE(OFFSET($H$3,0,0,'Données projet'!$E$13+1,1))</f>
        <v>293.51866463276224</v>
      </c>
      <c r="CZ196" s="62">
        <f t="shared" si="150"/>
        <v>232.78663842203713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1.7053025658242404E-13</v>
      </c>
      <c r="O197" s="14">
        <f>N197*VLOOKUP('Données projet'!$B$9,Paramètres!$A$1:$I$89,3,0)*VLOOKUP('Données projet'!$B$9,Paramètres!$A$1:$I$89,5,0)</f>
        <v>1.4897523215040567E-13</v>
      </c>
      <c r="P197" s="14">
        <f t="shared" ref="P197:P203" si="203">EXP(-1.0587+0.8836*LN(O197)+0.284)</f>
        <v>2.136562777003313E-12</v>
      </c>
      <c r="Q197" s="22">
        <f t="shared" si="162"/>
        <v>3.9806453659427267E-12</v>
      </c>
      <c r="R197" s="62">
        <f t="shared" si="191"/>
        <v>293.33333333333729</v>
      </c>
      <c r="S197" s="62">
        <f ca="1">AVERAGE(OFFSET($R$3,0,0,'Données projet'!$E$9+1,1))-AVERAGE(OFFSET($H$3,0,0,'Données projet'!$E$9+1,1))</f>
        <v>239.16843440041487</v>
      </c>
      <c r="T197" s="62">
        <f t="shared" ref="T197:T203" si="204">$T$3</f>
        <v>241.82319822554194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5.0336527727786635E-2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5.0336527727786635E-2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-3.4106051316484809E-13</v>
      </c>
      <c r="AJ197" s="14">
        <f>AI197*VLOOKUP('Données projet'!$B$10,Paramètres!$A$1:$I$89,3,0)*VLOOKUP('Données projet'!$B$10,Paramètres!$A$1:$I$89,5,0)</f>
        <v>-2.5006556825246659E-13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376.5422416541544</v>
      </c>
      <c r="AO197" s="62">
        <f t="shared" ref="AO197:AO203" si="205">$AO$3</f>
        <v>365.76175372075869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0.29938275628369848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0.29938275628369848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405.13433810198853</v>
      </c>
      <c r="BJ197" s="62">
        <f t="shared" ref="BJ197:BJ203" si="206">$BJ$3</f>
        <v>534.74398214162079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0.32091301462191818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7.9512239349045303E-24</v>
      </c>
      <c r="BS197" s="24">
        <f t="shared" si="169"/>
        <v>0.32091301462191818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411.60020200960821</v>
      </c>
      <c r="CE197" s="62">
        <f t="shared" ref="CE197:CE203" si="207">$CE$3</f>
        <v>261.95434270986397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261.00000000000017</v>
      </c>
      <c r="CU197" s="18">
        <f>CT197*VLOOKUP('Données projet'!$B$13,Paramètres!$A$1:$I$89,3,0)*VLOOKUP('Données projet'!$B$13,Paramètres!$A$1:$I$89,5,0)</f>
        <v>211.72320000000013</v>
      </c>
      <c r="CV197" s="14">
        <f t="shared" si="173"/>
        <v>52.311968964212078</v>
      </c>
      <c r="CW197" s="22">
        <f t="shared" si="174"/>
        <v>459.8612526126696</v>
      </c>
      <c r="CX197" s="62">
        <f t="shared" si="196"/>
        <v>753.19458594600292</v>
      </c>
      <c r="CY197" s="62">
        <f ca="1">AVERAGE(OFFSET($CX$3,0,0,'Données projet'!$E$13+1,1))-AVERAGE(OFFSET($H$3,0,0,'Données projet'!$E$13+1,1))</f>
        <v>293.51866463276224</v>
      </c>
      <c r="CZ197" s="62">
        <f t="shared" ref="CZ197:CZ203" si="208">$CZ$3</f>
        <v>232.78663842203713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1.7053025658242404E-13</v>
      </c>
      <c r="O198" s="14">
        <f>N198*VLOOKUP('Données projet'!$B$9,Paramètres!$A$1:$I$89,3,0)*VLOOKUP('Données projet'!$B$9,Paramètres!$A$1:$I$89,5,0)</f>
        <v>1.4897523215040567E-13</v>
      </c>
      <c r="P198" s="14">
        <f t="shared" si="203"/>
        <v>2.136562777003313E-12</v>
      </c>
      <c r="Q198" s="22">
        <f t="shared" si="162"/>
        <v>3.9806453659427267E-12</v>
      </c>
      <c r="R198" s="62">
        <f t="shared" si="191"/>
        <v>293.33333333333729</v>
      </c>
      <c r="S198" s="62">
        <f ca="1">AVERAGE(OFFSET($R$3,0,0,'Données projet'!$E$9+1,1))-AVERAGE(OFFSET($H$3,0,0,'Données projet'!$E$9+1,1))</f>
        <v>239.16843440041487</v>
      </c>
      <c r="T198" s="62">
        <f t="shared" si="204"/>
        <v>241.82319822554194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4.8960072729987363E-2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4.8960072729987363E-2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-3.4106051316484809E-13</v>
      </c>
      <c r="AJ198" s="14">
        <f>AI198*VLOOKUP('Données projet'!$B$10,Paramètres!$A$1:$I$89,3,0)*VLOOKUP('Données projet'!$B$10,Paramètres!$A$1:$I$89,5,0)</f>
        <v>-2.5006556825246659E-13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376.5422416541544</v>
      </c>
      <c r="AO198" s="62">
        <f t="shared" si="205"/>
        <v>365.76175372075869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0.29351204303842571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0.29351204303842571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405.13433810198853</v>
      </c>
      <c r="BJ198" s="62">
        <f t="shared" si="206"/>
        <v>534.74398214162079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0.31462010614279379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5.6223643631037772E-24</v>
      </c>
      <c r="BS198" s="24">
        <f t="shared" si="169"/>
        <v>0.31462010614279379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411.60020200960821</v>
      </c>
      <c r="CE198" s="62">
        <f t="shared" si="207"/>
        <v>261.95434270986397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261.00000000000017</v>
      </c>
      <c r="CU198" s="18">
        <f>CT198*VLOOKUP('Données projet'!$B$13,Paramètres!$A$1:$I$89,3,0)*VLOOKUP('Données projet'!$B$13,Paramètres!$A$1:$I$89,5,0)</f>
        <v>211.72320000000013</v>
      </c>
      <c r="CV198" s="14">
        <f t="shared" si="173"/>
        <v>52.311968964212078</v>
      </c>
      <c r="CW198" s="22">
        <f t="shared" si="174"/>
        <v>459.8612526126696</v>
      </c>
      <c r="CX198" s="62">
        <f t="shared" si="196"/>
        <v>753.19458594600292</v>
      </c>
      <c r="CY198" s="62">
        <f ca="1">AVERAGE(OFFSET($CX$3,0,0,'Données projet'!$E$13+1,1))-AVERAGE(OFFSET($H$3,0,0,'Données projet'!$E$13+1,1))</f>
        <v>293.51866463276224</v>
      </c>
      <c r="CZ198" s="62">
        <f t="shared" si="208"/>
        <v>232.78663842203713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1.7053025658242404E-13</v>
      </c>
      <c r="O199" s="14">
        <f>N199*VLOOKUP('Données projet'!$B$9,Paramètres!$A$1:$I$89,3,0)*VLOOKUP('Données projet'!$B$9,Paramètres!$A$1:$I$89,5,0)</f>
        <v>1.4897523215040567E-13</v>
      </c>
      <c r="P199" s="14">
        <f t="shared" si="203"/>
        <v>2.136562777003313E-12</v>
      </c>
      <c r="Q199" s="22">
        <f t="shared" si="162"/>
        <v>3.9806453659427267E-12</v>
      </c>
      <c r="R199" s="62">
        <f t="shared" si="191"/>
        <v>293.33333333333729</v>
      </c>
      <c r="S199" s="62">
        <f ca="1">AVERAGE(OFFSET($R$3,0,0,'Données projet'!$E$9+1,1))-AVERAGE(OFFSET($H$3,0,0,'Données projet'!$E$9+1,1))</f>
        <v>239.16843440041487</v>
      </c>
      <c r="T199" s="62">
        <f t="shared" si="204"/>
        <v>241.82319822554194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4.762125696648753E-2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4.762125696648753E-2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-3.4106051316484809E-13</v>
      </c>
      <c r="AJ199" s="14">
        <f>AI199*VLOOKUP('Données projet'!$B$10,Paramètres!$A$1:$I$89,3,0)*VLOOKUP('Données projet'!$B$10,Paramètres!$A$1:$I$89,5,0)</f>
        <v>-2.5006556825246659E-13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376.5422416541544</v>
      </c>
      <c r="AO199" s="62">
        <f t="shared" si="205"/>
        <v>365.76175372075869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0.28775645089911123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0.28775645089911123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405.13433810198853</v>
      </c>
      <c r="BJ199" s="62">
        <f t="shared" si="206"/>
        <v>534.74398214162079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0.30845059776064987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3.9756119674522651E-24</v>
      </c>
      <c r="BS199" s="24">
        <f t="shared" si="169"/>
        <v>0.30845059776064987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411.60020200960821</v>
      </c>
      <c r="CE199" s="62">
        <f t="shared" si="207"/>
        <v>261.95434270986397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261.00000000000017</v>
      </c>
      <c r="CU199" s="18">
        <f>CT199*VLOOKUP('Données projet'!$B$13,Paramètres!$A$1:$I$89,3,0)*VLOOKUP('Données projet'!$B$13,Paramètres!$A$1:$I$89,5,0)</f>
        <v>211.72320000000013</v>
      </c>
      <c r="CV199" s="14">
        <f t="shared" si="173"/>
        <v>52.311968964212078</v>
      </c>
      <c r="CW199" s="22">
        <f t="shared" si="174"/>
        <v>459.8612526126696</v>
      </c>
      <c r="CX199" s="62">
        <f t="shared" si="196"/>
        <v>753.19458594600292</v>
      </c>
      <c r="CY199" s="62">
        <f ca="1">AVERAGE(OFFSET($CX$3,0,0,'Données projet'!$E$13+1,1))-AVERAGE(OFFSET($H$3,0,0,'Données projet'!$E$13+1,1))</f>
        <v>293.51866463276224</v>
      </c>
      <c r="CZ199" s="62">
        <f t="shared" si="208"/>
        <v>232.78663842203713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1.7053025658242404E-13</v>
      </c>
      <c r="O200" s="14">
        <f>N200*VLOOKUP('Données projet'!$B$9,Paramètres!$A$1:$I$89,3,0)*VLOOKUP('Données projet'!$B$9,Paramètres!$A$1:$I$89,5,0)</f>
        <v>1.4897523215040567E-13</v>
      </c>
      <c r="P200" s="14">
        <f t="shared" si="203"/>
        <v>2.136562777003313E-12</v>
      </c>
      <c r="Q200" s="22">
        <f t="shared" si="162"/>
        <v>3.9806453659427267E-12</v>
      </c>
      <c r="R200" s="62">
        <f t="shared" si="191"/>
        <v>293.33333333333729</v>
      </c>
      <c r="S200" s="62">
        <f ca="1">AVERAGE(OFFSET($R$3,0,0,'Données projet'!$E$9+1,1))-AVERAGE(OFFSET($H$3,0,0,'Données projet'!$E$9+1,1))</f>
        <v>239.16843440041487</v>
      </c>
      <c r="T200" s="62">
        <f t="shared" si="204"/>
        <v>241.82319822554194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4.6319051190445867E-2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4.6319051190445867E-2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-3.4106051316484809E-13</v>
      </c>
      <c r="AJ200" s="14">
        <f>AI200*VLOOKUP('Données projet'!$B$10,Paramètres!$A$1:$I$89,3,0)*VLOOKUP('Données projet'!$B$10,Paramètres!$A$1:$I$89,5,0)</f>
        <v>-2.5006556825246659E-13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376.5422416541544</v>
      </c>
      <c r="AO200" s="62">
        <f t="shared" si="205"/>
        <v>365.76175372075869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0.28211372241108412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0.28211372241108412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405.13433810198853</v>
      </c>
      <c r="BJ200" s="62">
        <f t="shared" si="206"/>
        <v>534.74398214162079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0.30240206967485123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2.8111821815518886E-24</v>
      </c>
      <c r="BS200" s="24">
        <f t="shared" si="169"/>
        <v>0.30240206967485123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411.60020200960821</v>
      </c>
      <c r="CE200" s="62">
        <f t="shared" si="207"/>
        <v>261.95434270986397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261.00000000000017</v>
      </c>
      <c r="CU200" s="18">
        <f>CT200*VLOOKUP('Données projet'!$B$13,Paramètres!$A$1:$I$89,3,0)*VLOOKUP('Données projet'!$B$13,Paramètres!$A$1:$I$89,5,0)</f>
        <v>211.72320000000013</v>
      </c>
      <c r="CV200" s="14">
        <f t="shared" si="173"/>
        <v>52.311968964212078</v>
      </c>
      <c r="CW200" s="22">
        <f t="shared" si="174"/>
        <v>459.8612526126696</v>
      </c>
      <c r="CX200" s="62">
        <f t="shared" si="196"/>
        <v>753.19458594600292</v>
      </c>
      <c r="CY200" s="62">
        <f ca="1">AVERAGE(OFFSET($CX$3,0,0,'Données projet'!$E$13+1,1))-AVERAGE(OFFSET($H$3,0,0,'Données projet'!$E$13+1,1))</f>
        <v>293.51866463276224</v>
      </c>
      <c r="CZ200" s="62">
        <f t="shared" si="208"/>
        <v>232.78663842203713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1.7053025658242404E-13</v>
      </c>
      <c r="O201" s="14">
        <f>N201*VLOOKUP('Données projet'!$B$9,Paramètres!$A$1:$I$89,3,0)*VLOOKUP('Données projet'!$B$9,Paramètres!$A$1:$I$89,5,0)</f>
        <v>1.4897523215040567E-13</v>
      </c>
      <c r="P201" s="14">
        <f t="shared" si="203"/>
        <v>2.136562777003313E-12</v>
      </c>
      <c r="Q201" s="22">
        <f t="shared" si="162"/>
        <v>3.9806453659427267E-12</v>
      </c>
      <c r="R201" s="62">
        <f t="shared" si="191"/>
        <v>293.33333333333729</v>
      </c>
      <c r="S201" s="62">
        <f ca="1">AVERAGE(OFFSET($R$3,0,0,'Données projet'!$E$9+1,1))-AVERAGE(OFFSET($H$3,0,0,'Données projet'!$E$9+1,1))</f>
        <v>239.16843440041487</v>
      </c>
      <c r="T201" s="62">
        <f t="shared" si="204"/>
        <v>241.82319822554194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4.505245429983009E-2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4.505245429983009E-2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-3.4106051316484809E-13</v>
      </c>
      <c r="AJ201" s="14">
        <f>AI201*VLOOKUP('Données projet'!$B$10,Paramètres!$A$1:$I$89,3,0)*VLOOKUP('Données projet'!$B$10,Paramètres!$A$1:$I$89,5,0)</f>
        <v>-2.5006556825246659E-13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376.5422416541544</v>
      </c>
      <c r="AO201" s="62">
        <f t="shared" si="205"/>
        <v>365.76175372075869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0.27658164438698268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0.27658164438698268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405.13433810198853</v>
      </c>
      <c r="BJ201" s="62">
        <f t="shared" si="206"/>
        <v>534.74398214162079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0.29647214953557727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1.9878059837261326E-24</v>
      </c>
      <c r="BS201" s="24">
        <f t="shared" si="169"/>
        <v>0.29647214953557727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411.60020200960821</v>
      </c>
      <c r="CE201" s="62">
        <f t="shared" si="207"/>
        <v>261.95434270986397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261.00000000000017</v>
      </c>
      <c r="CU201" s="18">
        <f>CT201*VLOOKUP('Données projet'!$B$13,Paramètres!$A$1:$I$89,3,0)*VLOOKUP('Données projet'!$B$13,Paramètres!$A$1:$I$89,5,0)</f>
        <v>211.72320000000013</v>
      </c>
      <c r="CV201" s="14">
        <f t="shared" si="173"/>
        <v>52.311968964212078</v>
      </c>
      <c r="CW201" s="22">
        <f t="shared" si="174"/>
        <v>459.8612526126696</v>
      </c>
      <c r="CX201" s="62">
        <f t="shared" si="196"/>
        <v>753.19458594600292</v>
      </c>
      <c r="CY201" s="62">
        <f ca="1">AVERAGE(OFFSET($CX$3,0,0,'Données projet'!$E$13+1,1))-AVERAGE(OFFSET($H$3,0,0,'Données projet'!$E$13+1,1))</f>
        <v>293.51866463276224</v>
      </c>
      <c r="CZ201" s="62">
        <f t="shared" si="208"/>
        <v>232.78663842203713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1.7053025658242404E-13</v>
      </c>
      <c r="O202" s="14">
        <f>N202*VLOOKUP('Données projet'!$B$9,Paramètres!$A$1:$I$89,3,0)*VLOOKUP('Données projet'!$B$9,Paramètres!$A$1:$I$89,5,0)</f>
        <v>1.4897523215040567E-13</v>
      </c>
      <c r="P202" s="14">
        <f t="shared" si="203"/>
        <v>2.136562777003313E-12</v>
      </c>
      <c r="Q202" s="22">
        <f t="shared" si="162"/>
        <v>3.9806453659427267E-12</v>
      </c>
      <c r="R202" s="62">
        <f t="shared" si="191"/>
        <v>293.33333333333729</v>
      </c>
      <c r="S202" s="62">
        <f ca="1">AVERAGE(OFFSET($R$3,0,0,'Données projet'!$E$9+1,1))-AVERAGE(OFFSET($H$3,0,0,'Données projet'!$E$9+1,1))</f>
        <v>239.16843440041487</v>
      </c>
      <c r="T202" s="62">
        <f t="shared" si="204"/>
        <v>241.82319822554194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4.3820492567795633E-2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4.3820492567795633E-2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-3.4106051316484809E-13</v>
      </c>
      <c r="AJ202" s="14">
        <f>AI202*VLOOKUP('Données projet'!$B$10,Paramètres!$A$1:$I$89,3,0)*VLOOKUP('Données projet'!$B$10,Paramètres!$A$1:$I$89,5,0)</f>
        <v>-2.5006556825246659E-13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376.5422416541544</v>
      </c>
      <c r="AO202" s="62">
        <f t="shared" si="205"/>
        <v>365.76175372075869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0.27115804703869945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0.27115804703869945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405.13433810198853</v>
      </c>
      <c r="BJ202" s="62">
        <f t="shared" si="206"/>
        <v>534.74398214162079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0.29065851151334032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1.4055910907759443E-24</v>
      </c>
      <c r="BS202" s="24">
        <f t="shared" si="169"/>
        <v>0.29065851151334032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411.60020200960821</v>
      </c>
      <c r="CE202" s="62">
        <f t="shared" si="207"/>
        <v>261.95434270986397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261.00000000000017</v>
      </c>
      <c r="CU202" s="18">
        <f>CT202*VLOOKUP('Données projet'!$B$13,Paramètres!$A$1:$I$89,3,0)*VLOOKUP('Données projet'!$B$13,Paramètres!$A$1:$I$89,5,0)</f>
        <v>211.72320000000013</v>
      </c>
      <c r="CV202" s="14">
        <f t="shared" si="173"/>
        <v>52.311968964212078</v>
      </c>
      <c r="CW202" s="22">
        <f t="shared" si="174"/>
        <v>459.8612526126696</v>
      </c>
      <c r="CX202" s="62">
        <f t="shared" si="196"/>
        <v>753.19458594600292</v>
      </c>
      <c r="CY202" s="62">
        <f ca="1">AVERAGE(OFFSET($CX$3,0,0,'Données projet'!$E$13+1,1))-AVERAGE(OFFSET($H$3,0,0,'Données projet'!$E$13+1,1))</f>
        <v>293.51866463276224</v>
      </c>
      <c r="CZ202" s="62">
        <f t="shared" si="208"/>
        <v>232.78663842203713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1.7053025658242404E-13</v>
      </c>
      <c r="O203" s="14">
        <f>N203*VLOOKUP('Données projet'!$B$9,Paramètres!$A$1:$I$89,3,0)*VLOOKUP('Données projet'!$B$9,Paramètres!$A$1:$I$89,5,0)</f>
        <v>1.4897523215040567E-13</v>
      </c>
      <c r="P203" s="14">
        <f t="shared" si="203"/>
        <v>2.136562777003313E-12</v>
      </c>
      <c r="Q203" s="22">
        <f t="shared" si="162"/>
        <v>3.9806453659427267E-12</v>
      </c>
      <c r="R203" s="62">
        <f t="shared" si="191"/>
        <v>293.33333333333729</v>
      </c>
      <c r="S203" s="62">
        <f ca="1">AVERAGE(OFFSET($R$3,0,0,'Données projet'!$E$9+1,1))-AVERAGE(OFFSET($H$3,0,0,'Données projet'!$E$9+1,1))</f>
        <v>239.16843440041487</v>
      </c>
      <c r="T203" s="62">
        <f t="shared" si="204"/>
        <v>241.82319822554194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4.2622218894109713E-2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4.2622218894109713E-2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-3.4106051316484809E-13</v>
      </c>
      <c r="AJ203" s="14">
        <f>AI203*VLOOKUP('Données projet'!$B$10,Paramètres!$A$1:$I$89,3,0)*VLOOKUP('Données projet'!$B$10,Paramètres!$A$1:$I$89,5,0)</f>
        <v>-2.5006556825246659E-13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376.5422416541544</v>
      </c>
      <c r="AO203" s="62">
        <f t="shared" si="205"/>
        <v>365.76175372075869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0.26584080312634834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0.26584080312634834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405.13433810198853</v>
      </c>
      <c r="BJ203" s="62">
        <f t="shared" si="206"/>
        <v>534.74398214162079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0.28495887538675041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9.9390299186306628E-25</v>
      </c>
      <c r="BS203" s="24">
        <f t="shared" si="169"/>
        <v>0.28495887538675041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411.60020200960821</v>
      </c>
      <c r="CE203" s="62">
        <f t="shared" si="207"/>
        <v>261.95434270986397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261.00000000000017</v>
      </c>
      <c r="CU203" s="18">
        <f>CT203*VLOOKUP('Données projet'!$B$13,Paramètres!$A$1:$I$89,3,0)*VLOOKUP('Données projet'!$B$13,Paramètres!$A$1:$I$89,5,0)</f>
        <v>211.72320000000013</v>
      </c>
      <c r="CV203" s="14">
        <f t="shared" si="173"/>
        <v>52.311968964212078</v>
      </c>
      <c r="CW203" s="22">
        <f t="shared" si="174"/>
        <v>459.8612526126696</v>
      </c>
      <c r="CX203" s="62">
        <f t="shared" si="196"/>
        <v>753.19458594600292</v>
      </c>
      <c r="CY203" s="62">
        <f ca="1">AVERAGE(OFFSET($CX$3,0,0,'Données projet'!$E$13+1,1))-AVERAGE(OFFSET($H$3,0,0,'Données projet'!$E$13+1,1))</f>
        <v>293.51866463276224</v>
      </c>
      <c r="CZ203" s="62">
        <f t="shared" si="208"/>
        <v>232.78663842203713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1.2240347367580502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1.3423796509621049</v>
      </c>
      <c r="BA205" s="88">
        <f>EXP(LN('Données projet'!B88)/'Données projet'!A88)</f>
        <v>1.3540969839753978</v>
      </c>
      <c r="BV205" s="88">
        <f>EXP(LN('Données projet'!B114)/'Données projet'!A114)</f>
        <v>1.2392705892426346</v>
      </c>
      <c r="CQ205" s="88">
        <f>EXP(LN('Données projet'!B140)/'Données projet'!A140)</f>
        <v>1.2869554452352225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B13" sqref="B1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rouge d'Amérique</v>
      </c>
      <c r="B6" s="155">
        <f>'Données projet'!D9</f>
        <v>0.18812400000000001</v>
      </c>
      <c r="C6" s="156">
        <f ca="1">IF(OR('Données projet'!B9="",'Données projet'!C9="",'Données projet'!C9=0%),0,Calculateur!S3)</f>
        <v>239.16843440041487</v>
      </c>
      <c r="D6" s="156">
        <f>IF(OR('Données projet'!B9="",'Données projet'!C9="",'Données projet'!C9=0%),0,Calculateur!T3)</f>
        <v>241.82319822554194</v>
      </c>
      <c r="E6" s="156">
        <f ca="1">MIN(C6,D6)</f>
        <v>239.16843440041487</v>
      </c>
      <c r="F6" s="156">
        <f ca="1">E6*B6</f>
        <v>44.993322553143649</v>
      </c>
      <c r="G6" s="156">
        <f ca="1">F6*(100%-'Données projet'!$C$24)*(100%-'Données projet'!$C$25)*(100%-'Données projet'!$C$26)*(100%-'Données projet'!$C$27)</f>
        <v>40.493990297829285</v>
      </c>
      <c r="H6" s="157">
        <f>IF(OR('Données projet'!B9="",'Données projet'!C9="",'Données projet'!C9=0%),0,AVERAGE(Calculateur!$AC$3:$AC$33)*B6)</f>
        <v>7.6353090729658638E-2</v>
      </c>
      <c r="I6" s="158">
        <f>H6*(100%-'Données projet'!$C$24)*(100%-'Données projet'!$C$25)*(100%-'Données projet'!$C$26)*(100%-'Données projet'!$C$27)</f>
        <v>6.8717781656692775E-2</v>
      </c>
      <c r="J6" s="159">
        <f>IF(OR('Données projet'!B9="",'Données projet'!C9="",'Données projet'!C9=0%),0,SUM(Calculateur!$V$3:$V$33)*VLOOKUP('Données projet'!$B$9,Paramètres!$A$1:$I$89,9,0)*B6)</f>
        <v>2.0693640000000002</v>
      </c>
      <c r="K6" s="160">
        <f>J6*(100%-'Données projet'!$C$24)*(100%-'Données projet'!$C$25)*(100%-'Données projet'!$C$26)*(100%-'Données projet'!$C$27)</f>
        <v>1.8624276000000002</v>
      </c>
      <c r="L6" s="161">
        <f ca="1">G6+I6+K6</f>
        <v>42.425135679485976</v>
      </c>
      <c r="M6" s="25">
        <f ca="1">L6/B6</f>
        <v>225.51687014674349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Châtaignier</v>
      </c>
      <c r="B7" s="163">
        <f>'Données projet'!D10</f>
        <v>0.18812400000000001</v>
      </c>
      <c r="C7" s="156">
        <f ca="1">IF(OR('Données projet'!B10="",'Données projet'!C10="",'Données projet'!C10=0%),0,Calculateur!AN3)</f>
        <v>376.5422416541544</v>
      </c>
      <c r="D7" s="156">
        <f>IF(OR('Données projet'!B10="",'Données projet'!C10="",'Données projet'!C10=0%),0,Calculateur!AO3)</f>
        <v>365.76175372075869</v>
      </c>
      <c r="E7" s="156">
        <f t="shared" ref="E7:E15" ca="1" si="0">MIN(C7,D7)</f>
        <v>365.76175372075869</v>
      </c>
      <c r="F7" s="156">
        <f t="shared" ref="F7:F15" ca="1" si="1">E7*B7</f>
        <v>68.80856415696401</v>
      </c>
      <c r="G7" s="156">
        <f ca="1">F7*(100%-'Données projet'!$C$24)*(100%-'Données projet'!$C$25)*(100%-'Données projet'!$C$26)*(100%-'Données projet'!$C$27)</f>
        <v>61.927707741267611</v>
      </c>
      <c r="H7" s="164">
        <f>IF(OR('Données projet'!B10="",'Données projet'!C10="",'Données projet'!C10=0%),0,AVERAGE(Calculateur!$AX$3:$AX$33)*B7)</f>
        <v>0.38036802166529143</v>
      </c>
      <c r="I7" s="158">
        <f>H7*(100%-'Données projet'!$C$24)*(100%-'Données projet'!$C$25)*(100%-'Données projet'!$C$26)*(100%-'Données projet'!$C$27)</f>
        <v>0.34233121949876227</v>
      </c>
      <c r="J7" s="159">
        <f>IF(OR('Données projet'!B10="",'Données projet'!C10="",'Données projet'!C10=0%),0,SUM(Calculateur!$AQ$3:$AQ$33)*VLOOKUP('Données projet'!$B$10,Paramètres!$A$1:$I$89,9,0)*B7)</f>
        <v>8.2304250000000003</v>
      </c>
      <c r="K7" s="160">
        <f>J7*(100%-'Données projet'!$C$24)*(100%-'Données projet'!$C$25)*(100%-'Données projet'!$C$26)*(100%-'Données projet'!$C$27)</f>
        <v>7.4073825000000006</v>
      </c>
      <c r="L7" s="161">
        <f t="shared" ref="L7:L15" ca="1" si="2">G7+I7+K7</f>
        <v>69.677421460766368</v>
      </c>
      <c r="M7" s="25">
        <f ca="1">L7/B7</f>
        <v>370.38028885610748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Douglas</v>
      </c>
      <c r="B8" s="163">
        <f>'Données projet'!D11</f>
        <v>6.3196000000000002E-2</v>
      </c>
      <c r="C8" s="156">
        <f ca="1">IF(OR('Données projet'!B11="",'Données projet'!C11="",'Données projet'!C11=0%),0,Calculateur!BI3)</f>
        <v>405.13433810198853</v>
      </c>
      <c r="D8" s="156">
        <f>IF(OR('Données projet'!B11="",'Données projet'!C11="",'Données projet'!C11=0%),0,Calculateur!BJ3)</f>
        <v>534.74398214162079</v>
      </c>
      <c r="E8" s="156">
        <f t="shared" ca="1" si="0"/>
        <v>405.13433810198853</v>
      </c>
      <c r="F8" s="156">
        <f t="shared" ca="1" si="1"/>
        <v>25.602869630693267</v>
      </c>
      <c r="G8" s="156">
        <f ca="1">F8*(100%-'Données projet'!$C$24)*(100%-'Données projet'!$C$25)*(100%-'Données projet'!$C$26)*(100%-'Données projet'!$C$27)</f>
        <v>23.04258266762394</v>
      </c>
      <c r="H8" s="164">
        <f>IF(OR('Données projet'!B11="",'Données projet'!C11="",'Données projet'!C11=0%),0,AVERAGE(Calculateur!$BS$3:$BS$33)*B8)</f>
        <v>9.5219589480100744E-2</v>
      </c>
      <c r="I8" s="158">
        <f>H8*(100%-'Données projet'!$C$24)*(100%-'Données projet'!$C$25)*(100%-'Données projet'!$C$26)*(100%-'Données projet'!$C$27)</f>
        <v>8.5697630532090674E-2</v>
      </c>
      <c r="J8" s="159">
        <f>IF(OR('Données projet'!B11="",'Données projet'!C11="",'Données projet'!C11=0%),0,SUM(Calculateur!$BL$3:$BL$33)*VLOOKUP('Données projet'!$B$11,Paramètres!$A$1:$I$89,9,0)*B8)</f>
        <v>5.6250759600000002</v>
      </c>
      <c r="K8" s="160">
        <f>J8*(100%-'Données projet'!$C$24)*(100%-'Données projet'!$C$25)*(100%-'Données projet'!$C$26)*(100%-'Données projet'!$C$27)</f>
        <v>5.0625683640000005</v>
      </c>
      <c r="L8" s="161">
        <f t="shared" ca="1" si="2"/>
        <v>28.190848662156032</v>
      </c>
      <c r="M8" s="25">
        <f ca="1">L8/B8</f>
        <v>446.08596528508184</v>
      </c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Chêne pédonculé</v>
      </c>
      <c r="B9" s="163">
        <f>'Données projet'!D12</f>
        <v>1.6079600000000001</v>
      </c>
      <c r="C9" s="156">
        <f ca="1">IF(OR('Données projet'!B12="",'Données projet'!C12="",'Données projet'!C12=0%),0,Calculateur!CD3)</f>
        <v>411.60020200960821</v>
      </c>
      <c r="D9" s="156">
        <f>IF(OR('Données projet'!B12="",'Données projet'!C12="",'Données projet'!C12=0%),0,Calculateur!CE3)</f>
        <v>261.95434270986397</v>
      </c>
      <c r="E9" s="156">
        <f t="shared" ca="1" si="0"/>
        <v>261.95434270986397</v>
      </c>
      <c r="F9" s="156">
        <f t="shared" ca="1" si="1"/>
        <v>421.2121049037529</v>
      </c>
      <c r="G9" s="156">
        <f ca="1">F9*(100%-'Données projet'!$C$24)*(100%-'Données projet'!$C$25)*(100%-'Données projet'!$C$26)*(100%-'Données projet'!$C$27)</f>
        <v>379.09089441337761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24.923380000000002</v>
      </c>
      <c r="K9" s="160">
        <f>J9*(100%-'Données projet'!$C$24)*(100%-'Données projet'!$C$25)*(100%-'Données projet'!$C$26)*(100%-'Données projet'!$C$27)</f>
        <v>22.431042000000001</v>
      </c>
      <c r="L9" s="161">
        <f t="shared" ca="1" si="2"/>
        <v>401.5219364133776</v>
      </c>
      <c r="M9" s="25">
        <f ca="1">L9/B9</f>
        <v>249.70890843887759</v>
      </c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Bouleau verruqueux</v>
      </c>
      <c r="B10" s="163">
        <f>'Données projet'!D13</f>
        <v>0.39186399999999999</v>
      </c>
      <c r="C10" s="156">
        <f ca="1">IF(OR('Données projet'!B13="",'Données projet'!C13="",'Données projet'!C13=0%),0,Calculateur!CY3)</f>
        <v>293.51866463276224</v>
      </c>
      <c r="D10" s="156">
        <f>IF(OR('Données projet'!B13="",'Données projet'!C13="",'Données projet'!C13=0%),0,Calculateur!CZ3)</f>
        <v>232.78663842203713</v>
      </c>
      <c r="E10" s="156">
        <f t="shared" ca="1" si="0"/>
        <v>232.78663842203713</v>
      </c>
      <c r="F10" s="156">
        <f t="shared" ca="1" si="1"/>
        <v>91.220703278613158</v>
      </c>
      <c r="G10" s="156">
        <f ca="1">F10*(100%-'Données projet'!$C$24)*(100%-'Données projet'!$C$25)*(100%-'Données projet'!$C$26)*(100%-'Données projet'!$C$27)</f>
        <v>82.098632950751849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4.3105039999999999</v>
      </c>
      <c r="K10" s="160">
        <f>J10*(100%-'Données projet'!$C$24)*(100%-'Données projet'!$C$25)*(100%-'Données projet'!$C$26)*(100%-'Données projet'!$C$27)</f>
        <v>3.8794536000000002</v>
      </c>
      <c r="L10" s="161">
        <f t="shared" ca="1" si="2"/>
        <v>85.978086550751854</v>
      </c>
      <c r="M10" s="25">
        <f ca="1">L10/B9</f>
        <v>53.470289404432854</v>
      </c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651.83756452316698</v>
      </c>
      <c r="G16" s="175">
        <f t="shared" ca="1" si="3"/>
        <v>586.65380807085035</v>
      </c>
      <c r="H16" s="176">
        <f t="shared" si="3"/>
        <v>0.55194070187505084</v>
      </c>
      <c r="I16" s="176">
        <f t="shared" si="3"/>
        <v>0.49674663168754574</v>
      </c>
      <c r="J16" s="177">
        <f t="shared" si="3"/>
        <v>45.158748960000004</v>
      </c>
      <c r="K16" s="177">
        <f t="shared" si="3"/>
        <v>40.642874064000004</v>
      </c>
      <c r="L16" s="178">
        <f t="shared" ca="1" si="3"/>
        <v>627.79342876653789</v>
      </c>
      <c r="M16" s="25">
        <f ca="1">L16/2.55</f>
        <v>246.19350147707371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rouge d'Amérique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Châtaignier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Douglas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Chêne pédonculé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Bouleau verruqueux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H10" zoomScale="90" zoomScaleNormal="90" workbookViewId="0">
      <selection activeCell="V29" sqref="V2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rouge d'Amérique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907.32972909699185</v>
      </c>
      <c r="U10" s="190">
        <f>'Données projet'!D9</f>
        <v>0.18812400000000001</v>
      </c>
      <c r="V10" s="189">
        <f>U10*T10</f>
        <v>170.6904979566425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Châtaignier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4559.3538005131559</v>
      </c>
      <c r="U11" s="190">
        <f>'Données projet'!D10</f>
        <v>0.18812400000000001</v>
      </c>
      <c r="V11" s="189">
        <f t="shared" ref="V11" si="0">U11*T11</f>
        <v>857.72387436773704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Douglas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11128.157779475559</v>
      </c>
      <c r="U12" s="190">
        <f>'Données projet'!D11</f>
        <v>6.3196000000000002E-2</v>
      </c>
      <c r="V12" s="189">
        <f t="shared" ref="V12:V19" si="1">U12*T12</f>
        <v>703.25505903173746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Chêne pédonculé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1719.7101881875612</v>
      </c>
      <c r="U13" s="190">
        <f>'Données projet'!D12</f>
        <v>1.6079600000000001</v>
      </c>
      <c r="V13" s="189">
        <f t="shared" si="1"/>
        <v>2765.2251941980712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rouge d'Amérique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Bouleau verruqueux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674.59984403535179</v>
      </c>
      <c r="U14" s="190">
        <f>'Données projet'!D13</f>
        <v>0.39186399999999999</v>
      </c>
      <c r="V14" s="189">
        <f t="shared" si="1"/>
        <v>264.35139328306911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f>21104/2.55</f>
        <v>8276.0784313725489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4</v>
      </c>
      <c r="C23" s="206">
        <v>8</v>
      </c>
      <c r="D23" s="194">
        <f>B23*C23</f>
        <v>32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-15432.385353711761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20</v>
      </c>
      <c r="C24" s="206">
        <v>8</v>
      </c>
      <c r="D24" s="194">
        <f t="shared" ref="D24:D42" si="2">B24*C24</f>
        <v>160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20</v>
      </c>
      <c r="C25" s="206">
        <v>10</v>
      </c>
      <c r="D25" s="194">
        <f t="shared" si="2"/>
        <v>200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-15432.385353711761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20</v>
      </c>
      <c r="C26" s="206">
        <v>10</v>
      </c>
      <c r="D26" s="194">
        <f t="shared" si="2"/>
        <v>200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19</v>
      </c>
      <c r="C27" s="206">
        <v>15</v>
      </c>
      <c r="D27" s="194">
        <f t="shared" si="2"/>
        <v>285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17</v>
      </c>
      <c r="C28" s="206">
        <v>15</v>
      </c>
      <c r="D28" s="194">
        <f t="shared" si="2"/>
        <v>255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16</v>
      </c>
      <c r="C29" s="206">
        <v>25</v>
      </c>
      <c r="D29" s="194">
        <f t="shared" si="2"/>
        <v>400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14</v>
      </c>
      <c r="C30" s="206">
        <v>25</v>
      </c>
      <c r="D30" s="194">
        <f t="shared" si="2"/>
        <v>350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13</v>
      </c>
      <c r="C31" s="206">
        <v>35</v>
      </c>
      <c r="D31" s="194">
        <f t="shared" si="2"/>
        <v>455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11</v>
      </c>
      <c r="C32" s="206">
        <v>40</v>
      </c>
      <c r="D32" s="194">
        <f t="shared" si="2"/>
        <v>440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10</v>
      </c>
      <c r="C33" s="206">
        <v>50</v>
      </c>
      <c r="D33" s="194">
        <f t="shared" si="2"/>
        <v>500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9</v>
      </c>
      <c r="C34" s="206">
        <v>50</v>
      </c>
      <c r="D34" s="194">
        <f t="shared" si="2"/>
        <v>450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8</v>
      </c>
      <c r="C35" s="206">
        <v>80</v>
      </c>
      <c r="D35" s="194">
        <f t="shared" si="2"/>
        <v>640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85</v>
      </c>
      <c r="B36" s="193">
        <f>'Données projet'!D49</f>
        <v>7</v>
      </c>
      <c r="C36" s="206">
        <v>80</v>
      </c>
      <c r="D36" s="194">
        <f t="shared" si="2"/>
        <v>560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90</v>
      </c>
      <c r="B37" s="193">
        <f>'Données projet'!D50</f>
        <v>171</v>
      </c>
      <c r="C37" s="206">
        <v>140</v>
      </c>
      <c r="D37" s="194">
        <f t="shared" si="2"/>
        <v>23940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Châtaignier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10</v>
      </c>
      <c r="B54" s="193">
        <f>'Données projet'!D62</f>
        <v>7</v>
      </c>
      <c r="C54" s="204">
        <v>15</v>
      </c>
      <c r="D54" s="191">
        <f>B54*C54</f>
        <v>105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15</v>
      </c>
      <c r="B55" s="193">
        <f>'Données projet'!D63</f>
        <v>42</v>
      </c>
      <c r="C55" s="204">
        <v>25</v>
      </c>
      <c r="D55" s="191">
        <f t="shared" ref="D55:D73" si="4">B55*C55</f>
        <v>1050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20</v>
      </c>
      <c r="B56" s="193">
        <f>'Données projet'!D64</f>
        <v>42</v>
      </c>
      <c r="C56" s="204">
        <v>30</v>
      </c>
      <c r="D56" s="191">
        <f t="shared" si="4"/>
        <v>1260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25</v>
      </c>
      <c r="B57" s="193">
        <f>'Données projet'!D65</f>
        <v>42</v>
      </c>
      <c r="C57" s="204">
        <v>35</v>
      </c>
      <c r="D57" s="191">
        <f t="shared" si="4"/>
        <v>1470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30</v>
      </c>
      <c r="B58" s="193">
        <f>'Données projet'!D66</f>
        <v>42</v>
      </c>
      <c r="C58" s="204">
        <v>40</v>
      </c>
      <c r="D58" s="191">
        <f t="shared" si="4"/>
        <v>1680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35</v>
      </c>
      <c r="B59" s="193">
        <f>'Données projet'!D67</f>
        <v>42</v>
      </c>
      <c r="C59" s="204">
        <v>45</v>
      </c>
      <c r="D59" s="191">
        <f t="shared" si="4"/>
        <v>1890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40</v>
      </c>
      <c r="B60" s="193">
        <f>'Données projet'!D68</f>
        <v>40</v>
      </c>
      <c r="C60" s="204">
        <v>50</v>
      </c>
      <c r="D60" s="191">
        <f t="shared" si="4"/>
        <v>2000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45</v>
      </c>
      <c r="B61" s="193">
        <f>'Données projet'!D69</f>
        <v>26</v>
      </c>
      <c r="C61" s="204">
        <v>55</v>
      </c>
      <c r="D61" s="191">
        <f t="shared" si="4"/>
        <v>1430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50</v>
      </c>
      <c r="B62" s="193">
        <f>'Données projet'!D70</f>
        <v>21</v>
      </c>
      <c r="C62" s="204">
        <v>60</v>
      </c>
      <c r="D62" s="191">
        <f t="shared" si="4"/>
        <v>1260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55</v>
      </c>
      <c r="B63" s="193">
        <f>'Données projet'!D71</f>
        <v>18</v>
      </c>
      <c r="C63" s="204">
        <v>70</v>
      </c>
      <c r="D63" s="191">
        <f t="shared" si="4"/>
        <v>1260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60</v>
      </c>
      <c r="B64" s="193">
        <f>'Données projet'!D72</f>
        <v>17</v>
      </c>
      <c r="C64" s="204">
        <v>80</v>
      </c>
      <c r="D64" s="191">
        <f t="shared" si="4"/>
        <v>1360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65</v>
      </c>
      <c r="B65" s="193">
        <f>'Données projet'!D73</f>
        <v>16</v>
      </c>
      <c r="C65" s="204">
        <v>90</v>
      </c>
      <c r="D65" s="191">
        <f t="shared" si="4"/>
        <v>1440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70</v>
      </c>
      <c r="B66" s="193">
        <f>'Données projet'!D74</f>
        <v>15</v>
      </c>
      <c r="C66" s="204">
        <v>10</v>
      </c>
      <c r="D66" s="191">
        <f t="shared" si="4"/>
        <v>150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75</v>
      </c>
      <c r="B67" s="193">
        <f>'Données projet'!D75</f>
        <v>14</v>
      </c>
      <c r="C67" s="204">
        <v>130</v>
      </c>
      <c r="D67" s="191">
        <f t="shared" si="4"/>
        <v>1820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80</v>
      </c>
      <c r="B68" s="193">
        <f>'Données projet'!D76</f>
        <v>382</v>
      </c>
      <c r="C68" s="204">
        <v>140</v>
      </c>
      <c r="D68" s="191">
        <f t="shared" si="4"/>
        <v>53480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Douglas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/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17</v>
      </c>
      <c r="B85" s="193">
        <f>'Données projet'!D88</f>
        <v>0</v>
      </c>
      <c r="C85" s="204">
        <v>0</v>
      </c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18</v>
      </c>
      <c r="B86" s="193">
        <f>'Données projet'!D89</f>
        <v>75</v>
      </c>
      <c r="C86" s="204">
        <v>15</v>
      </c>
      <c r="D86" s="191">
        <f t="shared" ref="D86:D104" si="6">B86*C86</f>
        <v>1125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19</v>
      </c>
      <c r="B87" s="193">
        <f>'Données projet'!D90</f>
        <v>0</v>
      </c>
      <c r="C87" s="204">
        <v>0</v>
      </c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23</v>
      </c>
      <c r="B88" s="193">
        <f>'Données projet'!D91</f>
        <v>0</v>
      </c>
      <c r="C88" s="204">
        <v>0</v>
      </c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str">
        <f>IF(O87+1&lt;=MIN('Données projet'!$E$9:$E$18),O87+1,"STOP")</f>
        <v>STOP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24</v>
      </c>
      <c r="B89" s="193">
        <f>'Données projet'!D92</f>
        <v>51</v>
      </c>
      <c r="C89" s="204">
        <v>35</v>
      </c>
      <c r="D89" s="191">
        <f t="shared" si="6"/>
        <v>1785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26</v>
      </c>
      <c r="B90" s="193">
        <f>'Données projet'!D93</f>
        <v>0</v>
      </c>
      <c r="C90" s="204">
        <v>0</v>
      </c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28</v>
      </c>
      <c r="B91" s="193">
        <f>'Données projet'!D94</f>
        <v>0</v>
      </c>
      <c r="C91" s="204">
        <v>0</v>
      </c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30</v>
      </c>
      <c r="B92" s="193">
        <f>'Données projet'!D95</f>
        <v>81</v>
      </c>
      <c r="C92" s="204">
        <v>45</v>
      </c>
      <c r="D92" s="191">
        <f t="shared" si="6"/>
        <v>3645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32</v>
      </c>
      <c r="B93" s="193">
        <f>'Données projet'!D96</f>
        <v>0</v>
      </c>
      <c r="C93" s="204">
        <v>0</v>
      </c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34</v>
      </c>
      <c r="B94" s="193">
        <f>'Données projet'!D97</f>
        <v>0</v>
      </c>
      <c r="C94" s="204">
        <v>0</v>
      </c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36</v>
      </c>
      <c r="B95" s="193">
        <f>'Données projet'!D98</f>
        <v>86</v>
      </c>
      <c r="C95" s="204">
        <v>60</v>
      </c>
      <c r="D95" s="191">
        <f t="shared" si="6"/>
        <v>5160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38</v>
      </c>
      <c r="B96" s="193">
        <f>'Données projet'!D99</f>
        <v>0</v>
      </c>
      <c r="C96" s="204">
        <v>0</v>
      </c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40</v>
      </c>
      <c r="B97" s="193">
        <f>'Données projet'!D100</f>
        <v>0</v>
      </c>
      <c r="C97" s="204">
        <v>0</v>
      </c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42</v>
      </c>
      <c r="B98" s="193">
        <f>'Données projet'!D101</f>
        <v>91</v>
      </c>
      <c r="C98" s="204">
        <v>75</v>
      </c>
      <c r="D98" s="191">
        <f t="shared" si="6"/>
        <v>6825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44</v>
      </c>
      <c r="B99" s="193">
        <f>'Données projet'!D102</f>
        <v>0</v>
      </c>
      <c r="C99" s="204">
        <v>0</v>
      </c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46</v>
      </c>
      <c r="B100" s="193">
        <f>'Données projet'!D103</f>
        <v>0</v>
      </c>
      <c r="C100" s="204">
        <v>0</v>
      </c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48</v>
      </c>
      <c r="B101" s="193">
        <f>'Données projet'!D104</f>
        <v>101</v>
      </c>
      <c r="C101" s="204">
        <v>80</v>
      </c>
      <c r="D101" s="191">
        <f t="shared" si="6"/>
        <v>8080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50</v>
      </c>
      <c r="B102" s="193">
        <f>'Données projet'!D105</f>
        <v>0</v>
      </c>
      <c r="C102" s="204">
        <v>0</v>
      </c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52</v>
      </c>
      <c r="B103" s="193">
        <f>'Données projet'!D106</f>
        <v>0</v>
      </c>
      <c r="C103" s="204">
        <v>0</v>
      </c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54</v>
      </c>
      <c r="B104" s="193">
        <f>'Données projet'!D107</f>
        <v>708</v>
      </c>
      <c r="C104" s="204">
        <v>90</v>
      </c>
      <c r="D104" s="191">
        <f t="shared" si="6"/>
        <v>63720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Chêne pédonculé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20</v>
      </c>
      <c r="B116" s="193">
        <f>'Données projet'!D114</f>
        <v>6</v>
      </c>
      <c r="C116" s="204">
        <v>10</v>
      </c>
      <c r="D116" s="191">
        <f>B116*C116</f>
        <v>60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25</v>
      </c>
      <c r="B117" s="193">
        <f>'Données projet'!D115</f>
        <v>28</v>
      </c>
      <c r="C117" s="204">
        <v>10</v>
      </c>
      <c r="D117" s="191">
        <f t="shared" ref="D117:D135" si="8">B117*C117</f>
        <v>280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30</v>
      </c>
      <c r="B118" s="193">
        <f>'Données projet'!D116</f>
        <v>28</v>
      </c>
      <c r="C118" s="204">
        <v>10</v>
      </c>
      <c r="D118" s="191">
        <f t="shared" si="8"/>
        <v>280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35</v>
      </c>
      <c r="B119" s="193">
        <f>'Données projet'!D117</f>
        <v>28</v>
      </c>
      <c r="C119" s="204">
        <v>10</v>
      </c>
      <c r="D119" s="191">
        <f t="shared" si="8"/>
        <v>280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40</v>
      </c>
      <c r="B120" s="193">
        <f>'Données projet'!D118</f>
        <v>28</v>
      </c>
      <c r="C120" s="204">
        <v>20</v>
      </c>
      <c r="D120" s="191">
        <f t="shared" si="8"/>
        <v>560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45</v>
      </c>
      <c r="B121" s="193">
        <f>'Données projet'!D119</f>
        <v>28</v>
      </c>
      <c r="C121" s="204">
        <v>30</v>
      </c>
      <c r="D121" s="191">
        <f t="shared" si="8"/>
        <v>840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50</v>
      </c>
      <c r="B122" s="193">
        <f>'Données projet'!D120</f>
        <v>28</v>
      </c>
      <c r="C122" s="204">
        <v>30</v>
      </c>
      <c r="D122" s="191">
        <f t="shared" si="8"/>
        <v>840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55</v>
      </c>
      <c r="B123" s="193">
        <f>'Données projet'!D121</f>
        <v>28</v>
      </c>
      <c r="C123" s="204">
        <v>40</v>
      </c>
      <c r="D123" s="191">
        <f t="shared" si="8"/>
        <v>1120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60</v>
      </c>
      <c r="B124" s="193">
        <f>'Données projet'!D122</f>
        <v>28</v>
      </c>
      <c r="C124" s="204">
        <v>50</v>
      </c>
      <c r="D124" s="191">
        <f t="shared" si="8"/>
        <v>1400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65</v>
      </c>
      <c r="B125" s="193">
        <f>'Données projet'!D123</f>
        <v>28</v>
      </c>
      <c r="C125" s="204">
        <v>60</v>
      </c>
      <c r="D125" s="191">
        <f t="shared" si="8"/>
        <v>1680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70</v>
      </c>
      <c r="B126" s="193">
        <f>'Données projet'!D124</f>
        <v>28</v>
      </c>
      <c r="C126" s="204">
        <v>70</v>
      </c>
      <c r="D126" s="191">
        <f t="shared" si="8"/>
        <v>1960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75</v>
      </c>
      <c r="B127" s="193">
        <f>'Données projet'!D125</f>
        <v>28</v>
      </c>
      <c r="C127" s="204">
        <v>70</v>
      </c>
      <c r="D127" s="191">
        <f t="shared" si="8"/>
        <v>1960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80</v>
      </c>
      <c r="B128" s="193">
        <f>'Données projet'!D126</f>
        <v>28</v>
      </c>
      <c r="C128" s="204">
        <v>80</v>
      </c>
      <c r="D128" s="191">
        <f t="shared" si="8"/>
        <v>2240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85</v>
      </c>
      <c r="B129" s="193">
        <f>'Données projet'!D127</f>
        <v>28</v>
      </c>
      <c r="C129" s="204">
        <v>80</v>
      </c>
      <c r="D129" s="191">
        <f t="shared" si="8"/>
        <v>2240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90</v>
      </c>
      <c r="B130" s="193">
        <f>'Données projet'!D128</f>
        <v>28</v>
      </c>
      <c r="C130" s="204">
        <v>90</v>
      </c>
      <c r="D130" s="191">
        <f t="shared" si="8"/>
        <v>2520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95</v>
      </c>
      <c r="B131" s="193">
        <f>'Données projet'!D129</f>
        <v>28</v>
      </c>
      <c r="C131" s="204">
        <v>90</v>
      </c>
      <c r="D131" s="191">
        <f t="shared" si="8"/>
        <v>2520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100</v>
      </c>
      <c r="B132" s="193">
        <f>'Données projet'!D130</f>
        <v>27</v>
      </c>
      <c r="C132" s="204">
        <v>100</v>
      </c>
      <c r="D132" s="191">
        <f t="shared" si="8"/>
        <v>2700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105</v>
      </c>
      <c r="B133" s="193">
        <f>'Données projet'!D131</f>
        <v>26</v>
      </c>
      <c r="C133" s="204">
        <v>100</v>
      </c>
      <c r="D133" s="191">
        <f t="shared" si="8"/>
        <v>2600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110</v>
      </c>
      <c r="B134" s="193">
        <f>'Données projet'!D132</f>
        <v>25</v>
      </c>
      <c r="C134" s="204">
        <v>110</v>
      </c>
      <c r="D134" s="191">
        <f t="shared" si="8"/>
        <v>2750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115</v>
      </c>
      <c r="B135" s="193">
        <f>'Données projet'!D133</f>
        <v>330</v>
      </c>
      <c r="C135" s="204">
        <v>200</v>
      </c>
      <c r="D135" s="191">
        <f t="shared" si="8"/>
        <v>66000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Bouleau verruqueux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15</v>
      </c>
      <c r="B147" s="187">
        <f>'Données projet'!D140</f>
        <v>8</v>
      </c>
      <c r="C147" s="204">
        <v>4</v>
      </c>
      <c r="D147" s="194">
        <f>B147*C147</f>
        <v>32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20</v>
      </c>
      <c r="B148" s="187">
        <f>'Données projet'!D141</f>
        <v>10</v>
      </c>
      <c r="C148" s="204">
        <v>8</v>
      </c>
      <c r="D148" s="194">
        <f t="shared" ref="D148:D166" si="10">B148*C148</f>
        <v>80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25</v>
      </c>
      <c r="B149" s="187">
        <f>'Données projet'!D142</f>
        <v>12</v>
      </c>
      <c r="C149" s="204">
        <v>13</v>
      </c>
      <c r="D149" s="194">
        <f t="shared" si="10"/>
        <v>156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30</v>
      </c>
      <c r="B150" s="187">
        <f>'Données projet'!D143</f>
        <v>14</v>
      </c>
      <c r="C150" s="204">
        <v>20</v>
      </c>
      <c r="D150" s="194">
        <f t="shared" si="10"/>
        <v>280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35</v>
      </c>
      <c r="B151" s="187">
        <f>'Données projet'!D144</f>
        <v>15</v>
      </c>
      <c r="C151" s="204">
        <v>20</v>
      </c>
      <c r="D151" s="194">
        <f t="shared" si="10"/>
        <v>300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40</v>
      </c>
      <c r="B152" s="187">
        <f>'Données projet'!D145</f>
        <v>16</v>
      </c>
      <c r="C152" s="204">
        <v>20</v>
      </c>
      <c r="D152" s="194">
        <f t="shared" si="10"/>
        <v>320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45</v>
      </c>
      <c r="B153" s="187">
        <f>'Données projet'!D146</f>
        <v>17</v>
      </c>
      <c r="C153" s="204">
        <v>30</v>
      </c>
      <c r="D153" s="194">
        <f t="shared" si="10"/>
        <v>510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50</v>
      </c>
      <c r="B154" s="187">
        <f>'Données projet'!D147</f>
        <v>17</v>
      </c>
      <c r="C154" s="204">
        <v>30</v>
      </c>
      <c r="D154" s="194">
        <f t="shared" si="10"/>
        <v>510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55</v>
      </c>
      <c r="B155" s="187">
        <f>'Données projet'!D148</f>
        <v>17</v>
      </c>
      <c r="C155" s="204">
        <v>30</v>
      </c>
      <c r="D155" s="194">
        <f t="shared" si="10"/>
        <v>510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60</v>
      </c>
      <c r="B156" s="187">
        <f>'Données projet'!D149</f>
        <v>17</v>
      </c>
      <c r="C156" s="204">
        <v>40</v>
      </c>
      <c r="D156" s="194">
        <f t="shared" si="10"/>
        <v>680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65</v>
      </c>
      <c r="B157" s="187">
        <f>'Données projet'!D150</f>
        <v>17</v>
      </c>
      <c r="C157" s="204">
        <v>40</v>
      </c>
      <c r="D157" s="194">
        <f t="shared" si="10"/>
        <v>680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70</v>
      </c>
      <c r="B158" s="187">
        <f>'Données projet'!D151</f>
        <v>17</v>
      </c>
      <c r="C158" s="204">
        <v>40</v>
      </c>
      <c r="D158" s="194">
        <f t="shared" si="10"/>
        <v>680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75</v>
      </c>
      <c r="B159" s="187">
        <f>'Données projet'!D152</f>
        <v>17</v>
      </c>
      <c r="C159" s="204">
        <v>50</v>
      </c>
      <c r="D159" s="194">
        <f t="shared" si="10"/>
        <v>850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80</v>
      </c>
      <c r="B160" s="187">
        <f>'Données projet'!D153</f>
        <v>16</v>
      </c>
      <c r="C160" s="204">
        <v>50</v>
      </c>
      <c r="D160" s="194">
        <f t="shared" si="10"/>
        <v>800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85</v>
      </c>
      <c r="B161" s="187">
        <f>'Données projet'!D154</f>
        <v>16</v>
      </c>
      <c r="C161" s="204">
        <v>50</v>
      </c>
      <c r="D161" s="194">
        <f t="shared" si="10"/>
        <v>800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90</v>
      </c>
      <c r="B162" s="187">
        <f>'Données projet'!D155</f>
        <v>15</v>
      </c>
      <c r="C162" s="204">
        <v>50</v>
      </c>
      <c r="D162" s="194">
        <f t="shared" si="10"/>
        <v>750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2025-07-07T08:07:05Z</dcterms:modified>
</cp:coreProperties>
</file>