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GCF-FDI-FIC01\homedir$\carolina.alvespereir\Desktop\"/>
    </mc:Choice>
  </mc:AlternateContent>
  <xr:revisionPtr revIDLastSave="0" documentId="13_ncr:1_{A4DE220B-DD32-4A1D-A338-33F1B07800D0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5" i="1" l="1"/>
  <c r="D171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AJ33" i="2"/>
  <c r="AK33" i="2" s="1"/>
  <c r="AL33" i="2" s="1"/>
  <c r="AM33" i="2" s="1"/>
  <c r="AO3" i="2" s="1"/>
  <c r="HA3" i="2" l="1"/>
  <c r="D15" i="4" s="1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3" i="2" l="1"/>
  <c r="C15" i="4" s="1"/>
  <c r="E15" i="4" s="1"/>
  <c r="F15" i="4" s="1"/>
  <c r="G15" i="4" s="1"/>
  <c r="L15" i="4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J155" i="2" l="1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F144" i="2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<sst xmlns="http://schemas.openxmlformats.org/spreadsheetml/2006/main" count="1187" uniqueCount="325">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</sst>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8.8044025208429719</c:v>
                </c:pt>
                <c:pt idx="2">
                  <c:v>17.221089273204196</c:v>
                </c:pt>
                <c:pt idx="3">
                  <c:v>25.512563294459923</c:v>
                </c:pt>
                <c:pt idx="4">
                  <c:v>33.726853274883347</c:v>
                </c:pt>
                <c:pt idx="5">
                  <c:v>41.885727391390851</c:v>
                </c:pt>
                <c:pt idx="6">
                  <c:v>50.00160312094232</c:v>
                </c:pt>
                <c:pt idx="7">
                  <c:v>58.082485530805052</c:v>
                </c:pt>
                <c:pt idx="8">
                  <c:v>66.133950466370564</c:v>
                </c:pt>
                <c:pt idx="9">
                  <c:v>74.160096244932106</c:v>
                </c:pt>
                <c:pt idx="10">
                  <c:v>82.164057018091427</c:v>
                </c:pt>
                <c:pt idx="11">
                  <c:v>90.148303834134651</c:v>
                </c:pt>
                <c:pt idx="12">
                  <c:v>98.114832690532054</c:v>
                </c:pt>
                <c:pt idx="13">
                  <c:v>106.06528794847596</c:v>
                </c:pt>
                <c:pt idx="14">
                  <c:v>114.0010466196989</c:v>
                </c:pt>
                <c:pt idx="15">
                  <c:v>121.9232778531174</c:v>
                </c:pt>
                <c:pt idx="16">
                  <c:v>129.83298609190561</c:v>
                </c:pt>
                <c:pt idx="17">
                  <c:v>137.73104312742694</c:v>
                </c:pt>
                <c:pt idx="18">
                  <c:v>145.61821239345747</c:v>
                </c:pt>
                <c:pt idx="19">
                  <c:v>153.49516770691636</c:v>
                </c:pt>
                <c:pt idx="20">
                  <c:v>161.362507950626</c:v>
                </c:pt>
                <c:pt idx="21">
                  <c:v>169.22076873606747</c:v>
                </c:pt>
                <c:pt idx="22">
                  <c:v>177.07043178171759</c:v>
                </c:pt>
                <c:pt idx="23">
                  <c:v>184.91193253803269</c:v>
                </c:pt>
                <c:pt idx="24">
                  <c:v>192.74566644892982</c:v>
                </c:pt>
                <c:pt idx="25">
                  <c:v>200.57199414028256</c:v>
                </c:pt>
                <c:pt idx="26">
                  <c:v>208.39124575488827</c:v>
                </c:pt>
                <c:pt idx="27">
                  <c:v>216.20372460175972</c:v>
                </c:pt>
                <c:pt idx="28">
                  <c:v>224.00971024958213</c:v>
                </c:pt>
                <c:pt idx="29">
                  <c:v>231.8094611658297</c:v>
                </c:pt>
                <c:pt idx="30">
                  <c:v>239.60321698163875</c:v>
                </c:pt>
                <c:pt idx="31">
                  <c:v>247.39120044621509</c:v>
                </c:pt>
                <c:pt idx="32">
                  <c:v>255.17361912197524</c:v>
                </c:pt>
                <c:pt idx="33">
                  <c:v>262.95066686184327</c:v>
                </c:pt>
                <c:pt idx="34">
                  <c:v>270.72252510244931</c:v>
                </c:pt>
                <c:pt idx="35">
                  <c:v>278.48936400091264</c:v>
                </c:pt>
                <c:pt idx="36">
                  <c:v>286.25134343805456</c:v>
                </c:pt>
                <c:pt idx="37">
                  <c:v>237.4118159146411</c:v>
                </c:pt>
                <c:pt idx="38">
                  <c:v>256.63221905446113</c:v>
                </c:pt>
                <c:pt idx="39">
                  <c:v>275.82006911547222</c:v>
                </c:pt>
                <c:pt idx="40">
                  <c:v>294.97794877206235</c:v>
                </c:pt>
                <c:pt idx="41">
                  <c:v>314.10807777988271</c:v>
                </c:pt>
                <c:pt idx="42">
                  <c:v>333.21238343704948</c:v>
                </c:pt>
                <c:pt idx="43">
                  <c:v>352.29255402604258</c:v>
                </c:pt>
                <c:pt idx="44">
                  <c:v>371.35008006494377</c:v>
                </c:pt>
                <c:pt idx="45">
                  <c:v>304.18312189352014</c:v>
                </c:pt>
                <c:pt idx="46">
                  <c:v>325.96051291867633</c:v>
                </c:pt>
                <c:pt idx="47">
                  <c:v>347.70577372743418</c:v>
                </c:pt>
                <c:pt idx="48">
                  <c:v>369.42119511414558</c:v>
                </c:pt>
                <c:pt idx="49">
                  <c:v>391.10877666986568</c:v>
                </c:pt>
                <c:pt idx="50">
                  <c:v>412.77027822799613</c:v>
                </c:pt>
                <c:pt idx="51">
                  <c:v>434.40725994376595</c:v>
                </c:pt>
                <c:pt idx="52">
                  <c:v>456.02111397099435</c:v>
                </c:pt>
                <c:pt idx="53">
                  <c:v>354.223437181012</c:v>
                </c:pt>
                <c:pt idx="54">
                  <c:v>373.76087912744418</c:v>
                </c:pt>
                <c:pt idx="55">
                  <c:v>393.27607323395705</c:v>
                </c:pt>
                <c:pt idx="56">
                  <c:v>412.77027822799613</c:v>
                </c:pt>
                <c:pt idx="57">
                  <c:v>432.24462429583883</c:v>
                </c:pt>
                <c:pt idx="58">
                  <c:v>451.70013152794922</c:v>
                </c:pt>
                <c:pt idx="59">
                  <c:v>471.13772502101688</c:v>
                </c:pt>
                <c:pt idx="60">
                  <c:v>490.55824735832431</c:v>
                </c:pt>
                <c:pt idx="61">
                  <c:v>403.46694653037821</c:v>
                </c:pt>
                <c:pt idx="62">
                  <c:v>420.14556032232667</c:v>
                </c:pt>
                <c:pt idx="63">
                  <c:v>436.80991738516144</c:v>
                </c:pt>
                <c:pt idx="64">
                  <c:v>453.46063798380879</c:v>
                </c:pt>
                <c:pt idx="65">
                  <c:v>470.09829313332119</c:v>
                </c:pt>
                <c:pt idx="66">
                  <c:v>486.72341015001916</c:v>
                </c:pt>
                <c:pt idx="67">
                  <c:v>503.33647740486361</c:v>
                </c:pt>
                <c:pt idx="68">
                  <c:v>519.93794841677959</c:v>
                </c:pt>
                <c:pt idx="69">
                  <c:v>536.52824539615131</c:v>
                </c:pt>
                <c:pt idx="70">
                  <c:v>454.31416423194418</c:v>
                </c:pt>
                <c:pt idx="71">
                  <c:v>469.88507028774637</c:v>
                </c:pt>
                <c:pt idx="72">
                  <c:v>485.44498879797311</c:v>
                </c:pt>
                <c:pt idx="73">
                  <c:v>500.99432141253783</c:v>
                </c:pt>
                <c:pt idx="74">
                  <c:v>516.53344282577962</c:v>
                </c:pt>
                <c:pt idx="75">
                  <c:v>532.06270335879174</c:v>
                </c:pt>
                <c:pt idx="76">
                  <c:v>547.58243122468434</c:v>
                </c:pt>
                <c:pt idx="77">
                  <c:v>563.09293452377176</c:v>
                </c:pt>
                <c:pt idx="78">
                  <c:v>578.5945030075876</c:v>
                </c:pt>
                <c:pt idx="79">
                  <c:v>499.71668415449676</c:v>
                </c:pt>
                <c:pt idx="80">
                  <c:v>514.61820052476094</c:v>
                </c:pt>
                <c:pt idx="81">
                  <c:v>529.51061140708282</c:v>
                </c:pt>
                <c:pt idx="82">
                  <c:v>544.39420886236155</c:v>
                </c:pt>
                <c:pt idx="83">
                  <c:v>559.2692676862448</c:v>
                </c:pt>
                <c:pt idx="84">
                  <c:v>574.13604687135296</c:v>
                </c:pt>
                <c:pt idx="85">
                  <c:v>588.99479091023716</c:v>
                </c:pt>
                <c:pt idx="86">
                  <c:v>603.84573096007898</c:v>
                </c:pt>
                <c:pt idx="87">
                  <c:v>618.68908588691181</c:v>
                </c:pt>
                <c:pt idx="88">
                  <c:v>546.73227677798229</c:v>
                </c:pt>
                <c:pt idx="89">
                  <c:v>560.7563140447694</c:v>
                </c:pt>
                <c:pt idx="90">
                  <c:v>574.77301329675186</c:v>
                </c:pt>
                <c:pt idx="91">
                  <c:v>588.7825786199727</c:v>
                </c:pt>
                <c:pt idx="92">
                  <c:v>602.78520360071263</c:v>
                </c:pt>
                <c:pt idx="93">
                  <c:v>616.7810721021084</c:v>
                </c:pt>
                <c:pt idx="94">
                  <c:v>630.77035896665097</c:v>
                </c:pt>
                <c:pt idx="95">
                  <c:v>644.75323065315456</c:v>
                </c:pt>
                <c:pt idx="96">
                  <c:v>658.72984581562605</c:v>
                </c:pt>
                <c:pt idx="97">
                  <c:v>588.35814925949501</c:v>
                </c:pt>
                <c:pt idx="98">
                  <c:v>601.93675380071136</c:v>
                </c:pt>
                <c:pt idx="99">
                  <c:v>615.50899495391707</c:v>
                </c:pt>
                <c:pt idx="100">
                  <c:v>629.07503274134626</c:v>
                </c:pt>
                <c:pt idx="101">
                  <c:v>642.635019724024</c:v>
                </c:pt>
                <c:pt idx="102">
                  <c:v>656.18910150302543</c:v>
                </c:pt>
                <c:pt idx="103">
                  <c:v>669.73741717718713</c:v>
                </c:pt>
                <c:pt idx="104">
                  <c:v>683.28009976187866</c:v>
                </c:pt>
                <c:pt idx="105">
                  <c:v>696.81727657286763</c:v>
                </c:pt>
                <c:pt idx="106">
                  <c:v>628.22733419629901</c:v>
                </c:pt>
                <c:pt idx="107">
                  <c:v>641.57586023448323</c:v>
                </c:pt>
                <c:pt idx="108">
                  <c:v>654.91865339125661</c:v>
                </c:pt>
                <c:pt idx="109">
                  <c:v>668.25584686179866</c:v>
                </c:pt>
                <c:pt idx="110">
                  <c:v>681.58756809397516</c:v>
                </c:pt>
                <c:pt idx="111">
                  <c:v>694.91393914623495</c:v>
                </c:pt>
                <c:pt idx="112">
                  <c:v>708.2350770166446</c:v>
                </c:pt>
                <c:pt idx="113">
                  <c:v>721.55109394589601</c:v>
                </c:pt>
                <c:pt idx="114">
                  <c:v>734.86209769679965</c:v>
                </c:pt>
                <c:pt idx="115">
                  <c:v>666.13920061354315</c:v>
                </c:pt>
                <c:pt idx="116">
                  <c:v>679.26019614635629</c:v>
                </c:pt>
                <c:pt idx="117">
                  <c:v>692.37598973245292</c:v>
                </c:pt>
                <c:pt idx="118">
                  <c:v>705.48669374356086</c:v>
                </c:pt>
                <c:pt idx="119">
                  <c:v>718.59241603672206</c:v>
                </c:pt>
                <c:pt idx="120">
                  <c:v>731.6932602164178</c:v>
                </c:pt>
                <c:pt idx="121">
                  <c:v>744.78932587695897</c:v>
                </c:pt>
                <c:pt idx="122">
                  <c:v>757.88070882695445</c:v>
                </c:pt>
                <c:pt idx="123">
                  <c:v>770.96750129747295</c:v>
                </c:pt>
                <c:pt idx="124">
                  <c:v>706.33237341600227</c:v>
                </c:pt>
                <c:pt idx="125">
                  <c:v>719.6491152090033</c:v>
                </c:pt>
                <c:pt idx="126">
                  <c:v>732.96082869312124</c:v>
                </c:pt>
                <c:pt idx="127">
                  <c:v>746.2676179992435</c:v>
                </c:pt>
                <c:pt idx="128">
                  <c:v>759.5695832444593</c:v>
                </c:pt>
                <c:pt idx="129">
                  <c:v>772.86682075581473</c:v>
                </c:pt>
                <c:pt idx="130">
                  <c:v>786.15942327787707</c:v>
                </c:pt>
                <c:pt idx="131">
                  <c:v>799.44748016554638</c:v>
                </c:pt>
                <c:pt idx="132">
                  <c:v>812.7310775633897</c:v>
                </c:pt>
                <c:pt idx="133">
                  <c:v>746.47879772357555</c:v>
                </c:pt>
                <c:pt idx="134">
                  <c:v>759.99178993037003</c:v>
                </c:pt>
                <c:pt idx="135">
                  <c:v>773.49990620972676</c:v>
                </c:pt>
                <c:pt idx="136">
                  <c:v>787.00324364912785</c:v>
                </c:pt>
                <c:pt idx="137">
                  <c:v>800.50189573532555</c:v>
                </c:pt>
                <c:pt idx="138">
                  <c:v>813.9959525476055</c:v>
                </c:pt>
                <c:pt idx="139">
                  <c:v>827.48550093758092</c:v>
                </c:pt>
                <c:pt idx="140">
                  <c:v>840.97062469666037</c:v>
                </c:pt>
                <c:pt idx="141">
                  <c:v>854.45140471222987</c:v>
                </c:pt>
                <c:pt idx="142">
                  <c:v>782.52023774531926</c:v>
                </c:pt>
                <c:pt idx="143">
                  <c:v>795.96770927094894</c:v>
                </c:pt>
                <c:pt idx="144">
                  <c:v>809.41059169599203</c:v>
                </c:pt>
                <c:pt idx="145">
                  <c:v>822.84897191684365</c:v>
                </c:pt>
                <c:pt idx="146">
                  <c:v>836.28293376251315</c:v>
                </c:pt>
                <c:pt idx="147">
                  <c:v>849.71255815145241</c:v>
                </c:pt>
                <c:pt idx="148">
                  <c:v>863.13792323796235</c:v>
                </c:pt>
                <c:pt idx="149">
                  <c:v>876.55910454902858</c:v>
                </c:pt>
                <c:pt idx="150">
                  <c:v>889.97617511234773</c:v>
                </c:pt>
                <c:pt idx="151">
                  <c:v>903.38920557623862</c:v>
                </c:pt>
                <c:pt idx="152">
                  <c:v>916.79826432207267</c:v>
                </c:pt>
                <c:pt idx="153">
                  <c:v>930.20341756978689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1.9871938383718015</c:v>
                </c:pt>
                <c:pt idx="2">
                  <c:v>3.1638930030787216</c:v>
                </c:pt>
                <c:pt idx="3">
                  <c:v>5.0407672228793077</c:v>
                </c:pt>
                <c:pt idx="4">
                  <c:v>8.0363418349111946</c:v>
                </c:pt>
                <c:pt idx="5">
                  <c:v>12.820366479348179</c:v>
                </c:pt>
                <c:pt idx="6">
                  <c:v>20.465197128657113</c:v>
                </c:pt>
                <c:pt idx="7">
                  <c:v>32.688717644562125</c:v>
                </c:pt>
                <c:pt idx="8">
                  <c:v>52.244329569140241</c:v>
                </c:pt>
                <c:pt idx="9">
                  <c:v>83.547318903005547</c:v>
                </c:pt>
                <c:pt idx="10">
                  <c:v>133.68129041989656</c:v>
                </c:pt>
                <c:pt idx="11">
                  <c:v>155.932331861748</c:v>
                </c:pt>
                <c:pt idx="12">
                  <c:v>178.10786204019846</c:v>
                </c:pt>
                <c:pt idx="13">
                  <c:v>200.21861500645193</c:v>
                </c:pt>
                <c:pt idx="14">
                  <c:v>222.27275375074524</c:v>
                </c:pt>
                <c:pt idx="15">
                  <c:v>244.27668613648856</c:v>
                </c:pt>
                <c:pt idx="16">
                  <c:v>267.05564758545091</c:v>
                </c:pt>
                <c:pt idx="17">
                  <c:v>289.79083909505704</c:v>
                </c:pt>
                <c:pt idx="18">
                  <c:v>312.48617587835537</c:v>
                </c:pt>
                <c:pt idx="19">
                  <c:v>335.14495795082001</c:v>
                </c:pt>
                <c:pt idx="20">
                  <c:v>357.77000273278873</c:v>
                </c:pt>
                <c:pt idx="21">
                  <c:v>377.61745374117896</c:v>
                </c:pt>
                <c:pt idx="22">
                  <c:v>397.44220298697843</c:v>
                </c:pt>
                <c:pt idx="23">
                  <c:v>417.24554153405865</c:v>
                </c:pt>
                <c:pt idx="24">
                  <c:v>437.02862795247182</c:v>
                </c:pt>
                <c:pt idx="25">
                  <c:v>451.21996795767308</c:v>
                </c:pt>
                <c:pt idx="26">
                  <c:v>465.4017648643528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2.1120712247919253</c:v>
                </c:pt>
                <c:pt idx="2">
                  <c:v>3.3630159763975538</c:v>
                </c:pt>
                <c:pt idx="3">
                  <c:v>5.3584819922473903</c:v>
                </c:pt>
                <c:pt idx="4">
                  <c:v>8.5435953128074544</c:v>
                </c:pt>
                <c:pt idx="5">
                  <c:v>13.630725034759729</c:v>
                </c:pt>
                <c:pt idx="6">
                  <c:v>21.760546151984894</c:v>
                </c:pt>
                <c:pt idx="7">
                  <c:v>34.760511332385903</c:v>
                </c:pt>
                <c:pt idx="8">
                  <c:v>55.559829236569499</c:v>
                </c:pt>
                <c:pt idx="9">
                  <c:v>88.856002724458179</c:v>
                </c:pt>
                <c:pt idx="10">
                  <c:v>142.18586719742532</c:v>
                </c:pt>
                <c:pt idx="11">
                  <c:v>165.8563448670856</c:v>
                </c:pt>
                <c:pt idx="12">
                  <c:v>189.44696657295165</c:v>
                </c:pt>
                <c:pt idx="13">
                  <c:v>212.96908397258713</c:v>
                </c:pt>
                <c:pt idx="14">
                  <c:v>236.43132973115266</c:v>
                </c:pt>
                <c:pt idx="15">
                  <c:v>259.84048040204476</c:v>
                </c:pt>
                <c:pt idx="16">
                  <c:v>284.07445589472053</c:v>
                </c:pt>
                <c:pt idx="17">
                  <c:v>308.26214305192059</c:v>
                </c:pt>
                <c:pt idx="18">
                  <c:v>332.40768235676427</c:v>
                </c:pt>
                <c:pt idx="19">
                  <c:v>356.51456369810211</c:v>
                </c:pt>
                <c:pt idx="20">
                  <c:v>380.58576660251532</c:v>
                </c:pt>
                <c:pt idx="21">
                  <c:v>401.70200147564884</c:v>
                </c:pt>
                <c:pt idx="22">
                  <c:v>422.79422839222258</c:v>
                </c:pt>
                <c:pt idx="23">
                  <c:v>443.86381270020087</c:v>
                </c:pt>
                <c:pt idx="24">
                  <c:v>464.91197963041674</c:v>
                </c:pt>
                <c:pt idx="25">
                  <c:v>480.01089778767727</c:v>
                </c:pt>
                <c:pt idx="26">
                  <c:v>495.09972376404033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2.2905884821016174</c:v>
                </c:pt>
                <c:pt idx="2">
                  <c:v>2.7806391363113296</c:v>
                </c:pt>
                <c:pt idx="3">
                  <c:v>3.3759301901802239</c:v>
                </c:pt>
                <c:pt idx="4">
                  <c:v>4.099143282634464</c:v>
                </c:pt>
                <c:pt idx="5">
                  <c:v>4.9778647811784866</c:v>
                </c:pt>
                <c:pt idx="6">
                  <c:v>6.045649679899987</c:v>
                </c:pt>
                <c:pt idx="7">
                  <c:v>7.3433169303918868</c:v>
                </c:pt>
                <c:pt idx="8">
                  <c:v>8.9205266819032492</c:v>
                </c:pt>
                <c:pt idx="9">
                  <c:v>10.837700942422877</c:v>
                </c:pt>
                <c:pt idx="10">
                  <c:v>13.168362625644917</c:v>
                </c:pt>
                <c:pt idx="11">
                  <c:v>16.001984350656915</c:v>
                </c:pt>
                <c:pt idx="12">
                  <c:v>19.447458359250124</c:v>
                </c:pt>
                <c:pt idx="13">
                  <c:v>23.637323299944232</c:v>
                </c:pt>
                <c:pt idx="14">
                  <c:v>28.732913361935303</c:v>
                </c:pt>
                <c:pt idx="15">
                  <c:v>34.930631502141807</c:v>
                </c:pt>
                <c:pt idx="16">
                  <c:v>42.469592729158251</c:v>
                </c:pt>
                <c:pt idx="17">
                  <c:v>51.640937340027314</c:v>
                </c:pt>
                <c:pt idx="18">
                  <c:v>62.799179785769574</c:v>
                </c:pt>
                <c:pt idx="19">
                  <c:v>76.376039076760833</c:v>
                </c:pt>
                <c:pt idx="20">
                  <c:v>92.897294511118176</c:v>
                </c:pt>
                <c:pt idx="21">
                  <c:v>110.61638527930711</c:v>
                </c:pt>
                <c:pt idx="22">
                  <c:v>128.2656339177079</c:v>
                </c:pt>
                <c:pt idx="23">
                  <c:v>145.85602540789642</c:v>
                </c:pt>
                <c:pt idx="24">
                  <c:v>163.39566695137304</c:v>
                </c:pt>
                <c:pt idx="25">
                  <c:v>180.89077768928109</c:v>
                </c:pt>
                <c:pt idx="26">
                  <c:v>158.93547642720694</c:v>
                </c:pt>
                <c:pt idx="27">
                  <c:v>178.3486013074241</c:v>
                </c:pt>
                <c:pt idx="28">
                  <c:v>197.71217376629156</c:v>
                </c:pt>
                <c:pt idx="29">
                  <c:v>217.0317313188167</c:v>
                </c:pt>
                <c:pt idx="30">
                  <c:v>236.3117437149856</c:v>
                </c:pt>
                <c:pt idx="31">
                  <c:v>201.19913913928846</c:v>
                </c:pt>
                <c:pt idx="32">
                  <c:v>221.46000423097382</c:v>
                </c:pt>
                <c:pt idx="33">
                  <c:v>241.67832984636482</c:v>
                </c:pt>
                <c:pt idx="34">
                  <c:v>261.85817498084765</c:v>
                </c:pt>
                <c:pt idx="35">
                  <c:v>282.00292156784502</c:v>
                </c:pt>
                <c:pt idx="36">
                  <c:v>247.98849436354377</c:v>
                </c:pt>
                <c:pt idx="37">
                  <c:v>269.10157451791832</c:v>
                </c:pt>
                <c:pt idx="38">
                  <c:v>290.17736922706086</c:v>
                </c:pt>
                <c:pt idx="39">
                  <c:v>311.21896638426068</c:v>
                </c:pt>
                <c:pt idx="40">
                  <c:v>332.22900222431554</c:v>
                </c:pt>
                <c:pt idx="41">
                  <c:v>298.97487129723987</c:v>
                </c:pt>
                <c:pt idx="42">
                  <c:v>320.63020395999428</c:v>
                </c:pt>
                <c:pt idx="43">
                  <c:v>342.25318435718253</c:v>
                </c:pt>
                <c:pt idx="44">
                  <c:v>363.84614273023845</c:v>
                </c:pt>
                <c:pt idx="45">
                  <c:v>385.41111025063861</c:v>
                </c:pt>
                <c:pt idx="46">
                  <c:v>351.95795503306795</c:v>
                </c:pt>
                <c:pt idx="47">
                  <c:v>373.22554483512414</c:v>
                </c:pt>
                <c:pt idx="48">
                  <c:v>394.46673042704862</c:v>
                </c:pt>
                <c:pt idx="49">
                  <c:v>415.68313267172863</c:v>
                </c:pt>
                <c:pt idx="50">
                  <c:v>436.8761935627694</c:v>
                </c:pt>
                <c:pt idx="51">
                  <c:v>403.20581160192501</c:v>
                </c:pt>
                <c:pt idx="52">
                  <c:v>424.10074342303164</c:v>
                </c:pt>
                <c:pt idx="53">
                  <c:v>444.97352949948726</c:v>
                </c:pt>
                <c:pt idx="54">
                  <c:v>465.82535403997502</c:v>
                </c:pt>
                <c:pt idx="55">
                  <c:v>486.65728665769035</c:v>
                </c:pt>
                <c:pt idx="56">
                  <c:v>452.44519132126362</c:v>
                </c:pt>
                <c:pt idx="57">
                  <c:v>472.66783431793465</c:v>
                </c:pt>
                <c:pt idx="58">
                  <c:v>492.87206528378414</c:v>
                </c:pt>
                <c:pt idx="59">
                  <c:v>513.05874462471218</c:v>
                </c:pt>
                <c:pt idx="60">
                  <c:v>533.22865956797193</c:v>
                </c:pt>
                <c:pt idx="61">
                  <c:v>498.15332008482181</c:v>
                </c:pt>
                <c:pt idx="62">
                  <c:v>517.40442486531765</c:v>
                </c:pt>
                <c:pt idx="63">
                  <c:v>536.64042379930981</c:v>
                </c:pt>
                <c:pt idx="64">
                  <c:v>555.86193417017216</c:v>
                </c:pt>
                <c:pt idx="65">
                  <c:v>575.06952712161171</c:v>
                </c:pt>
                <c:pt idx="66">
                  <c:v>539.12142030708435</c:v>
                </c:pt>
                <c:pt idx="67">
                  <c:v>557.41144220282024</c:v>
                </c:pt>
                <c:pt idx="68">
                  <c:v>575.68890126042152</c:v>
                </c:pt>
                <c:pt idx="69">
                  <c:v>593.9542521947759</c:v>
                </c:pt>
                <c:pt idx="70">
                  <c:v>612.20791949490581</c:v>
                </c:pt>
                <c:pt idx="71">
                  <c:v>575.06952712161171</c:v>
                </c:pt>
                <c:pt idx="72">
                  <c:v>592.09729944083642</c:v>
                </c:pt>
                <c:pt idx="73">
                  <c:v>609.11488251844457</c:v>
                </c:pt>
                <c:pt idx="74">
                  <c:v>626.12260091177302</c:v>
                </c:pt>
                <c:pt idx="75">
                  <c:v>643.12076012119758</c:v>
                </c:pt>
                <c:pt idx="76">
                  <c:v>605.09344671374674</c:v>
                </c:pt>
                <c:pt idx="77">
                  <c:v>621.17590016893803</c:v>
                </c:pt>
                <c:pt idx="78">
                  <c:v>637.24973118867945</c:v>
                </c:pt>
                <c:pt idx="79">
                  <c:v>653.31518774818312</c:v>
                </c:pt>
                <c:pt idx="80">
                  <c:v>669.37250464126396</c:v>
                </c:pt>
                <c:pt idx="81">
                  <c:v>631.6866727650571</c:v>
                </c:pt>
                <c:pt idx="82">
                  <c:v>646.51927049967128</c:v>
                </c:pt>
                <c:pt idx="83">
                  <c:v>661.34484946507996</c:v>
                </c:pt>
                <c:pt idx="84">
                  <c:v>676.16358906976052</c:v>
                </c:pt>
                <c:pt idx="85">
                  <c:v>690.97566022245303</c:v>
                </c:pt>
                <c:pt idx="86">
                  <c:v>654.24179047884718</c:v>
                </c:pt>
                <c:pt idx="87">
                  <c:v>668.44633825452308</c:v>
                </c:pt>
                <c:pt idx="88">
                  <c:v>682.64468094518372</c:v>
                </c:pt>
                <c:pt idx="89">
                  <c:v>696.83696571346809</c:v>
                </c:pt>
                <c:pt idx="90">
                  <c:v>711.02333324275389</c:v>
                </c:pt>
                <c:pt idx="91">
                  <c:v>676.47224132243139</c:v>
                </c:pt>
                <c:pt idx="92">
                  <c:v>689.741571630051</c:v>
                </c:pt>
                <c:pt idx="93">
                  <c:v>703.00567062081757</c:v>
                </c:pt>
                <c:pt idx="94">
                  <c:v>716.26465084747326</c:v>
                </c:pt>
                <c:pt idx="95">
                  <c:v>729.51862035860461</c:v>
                </c:pt>
                <c:pt idx="96">
                  <c:v>695.91156378380265</c:v>
                </c:pt>
                <c:pt idx="97">
                  <c:v>708.55655798561486</c:v>
                </c:pt>
                <c:pt idx="98">
                  <c:v>721.19694014838376</c:v>
                </c:pt>
                <c:pt idx="99">
                  <c:v>733.83280245167361</c:v>
                </c:pt>
                <c:pt idx="100">
                  <c:v>746.46423364366728</c:v>
                </c:pt>
                <c:pt idx="101">
                  <c:v>713.79824639820242</c:v>
                </c:pt>
                <c:pt idx="102">
                  <c:v>725.82033615601756</c:v>
                </c:pt>
                <c:pt idx="103">
                  <c:v>737.83836601468522</c:v>
                </c:pt>
                <c:pt idx="104">
                  <c:v>749.85241138480615</c:v>
                </c:pt>
                <c:pt idx="105">
                  <c:v>761.86254506494276</c:v>
                </c:pt>
                <c:pt idx="106">
                  <c:v>730.13496384821019</c:v>
                </c:pt>
                <c:pt idx="107">
                  <c:v>741.5354163128369</c:v>
                </c:pt>
                <c:pt idx="108">
                  <c:v>752.93230290091105</c:v>
                </c:pt>
                <c:pt idx="109">
                  <c:v>764.3256851658407</c:v>
                </c:pt>
                <c:pt idx="110">
                  <c:v>775.71562267737272</c:v>
                </c:pt>
                <c:pt idx="111">
                  <c:v>744.92404955007294</c:v>
                </c:pt>
                <c:pt idx="112">
                  <c:v>755.7039863807662</c:v>
                </c:pt>
                <c:pt idx="113">
                  <c:v>766.48080063627015</c:v>
                </c:pt>
                <c:pt idx="114">
                  <c:v>777.25454238555574</c:v>
                </c:pt>
                <c:pt idx="115">
                  <c:v>788.02526019713798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50.671605091578876</c:v>
                </c:pt>
                <c:pt idx="17">
                  <c:v>67.602585604870953</c:v>
                </c:pt>
                <c:pt idx="18">
                  <c:v>84.42357654371574</c:v>
                </c:pt>
                <c:pt idx="19">
                  <c:v>101.15975656350798</c:v>
                </c:pt>
                <c:pt idx="20">
                  <c:v>117.82719554138386</c:v>
                </c:pt>
                <c:pt idx="21">
                  <c:v>95.685441973812658</c:v>
                </c:pt>
                <c:pt idx="22">
                  <c:v>113.80965748960364</c:v>
                </c:pt>
                <c:pt idx="23">
                  <c:v>131.86304956724535</c:v>
                </c:pt>
                <c:pt idx="24">
                  <c:v>149.85670075971808</c:v>
                </c:pt>
                <c:pt idx="25">
                  <c:v>167.79880331835713</c:v>
                </c:pt>
                <c:pt idx="26">
                  <c:v>144.72123383801272</c:v>
                </c:pt>
                <c:pt idx="27">
                  <c:v>161.53873896208071</c:v>
                </c:pt>
                <c:pt idx="28">
                  <c:v>178.31479007290753</c:v>
                </c:pt>
                <c:pt idx="29">
                  <c:v>195.05383828243905</c:v>
                </c:pt>
                <c:pt idx="30">
                  <c:v>211.75950715739978</c:v>
                </c:pt>
                <c:pt idx="31">
                  <c:v>187.3979404339226</c:v>
                </c:pt>
                <c:pt idx="32">
                  <c:v>202.70275417831499</c:v>
                </c:pt>
                <c:pt idx="33">
                  <c:v>217.98082037329854</c:v>
                </c:pt>
                <c:pt idx="34">
                  <c:v>233.23427816301728</c:v>
                </c:pt>
                <c:pt idx="35">
                  <c:v>248.46496383915087</c:v>
                </c:pt>
                <c:pt idx="36">
                  <c:v>222.50284096633973</c:v>
                </c:pt>
                <c:pt idx="37">
                  <c:v>236.05644310479695</c:v>
                </c:pt>
                <c:pt idx="38">
                  <c:v>249.59230205465977</c:v>
                </c:pt>
                <c:pt idx="39">
                  <c:v>263.11151589765069</c:v>
                </c:pt>
                <c:pt idx="40">
                  <c:v>276.61506059958816</c:v>
                </c:pt>
                <c:pt idx="41">
                  <c:v>248.7468092558544</c:v>
                </c:pt>
                <c:pt idx="42">
                  <c:v>260.29633594452861</c:v>
                </c:pt>
                <c:pt idx="43">
                  <c:v>271.83429043682321</c:v>
                </c:pt>
                <c:pt idx="44">
                  <c:v>283.36123337871345</c:v>
                </c:pt>
                <c:pt idx="45">
                  <c:v>294.87767605242146</c:v>
                </c:pt>
                <c:pt idx="46">
                  <c:v>274.08429806422936</c:v>
                </c:pt>
                <c:pt idx="47">
                  <c:v>284.20425004649184</c:v>
                </c:pt>
                <c:pt idx="48">
                  <c:v>294.31613475104683</c:v>
                </c:pt>
                <c:pt idx="49">
                  <c:v>304.42026859998879</c:v>
                </c:pt>
                <c:pt idx="50">
                  <c:v>314.51694528188881</c:v>
                </c:pt>
                <c:pt idx="51">
                  <c:v>299.08847869495389</c:v>
                </c:pt>
                <c:pt idx="52">
                  <c:v>307.50614242847166</c:v>
                </c:pt>
                <c:pt idx="53">
                  <c:v>315.91868734548342</c:v>
                </c:pt>
                <c:pt idx="54">
                  <c:v>324.32626909194659</c:v>
                </c:pt>
                <c:pt idx="55">
                  <c:v>332.72903457884439</c:v>
                </c:pt>
                <c:pt idx="56">
                  <c:v>321.80450679845353</c:v>
                </c:pt>
                <c:pt idx="57">
                  <c:v>329.08841844950109</c:v>
                </c:pt>
                <c:pt idx="58">
                  <c:v>336.36877249407797</c:v>
                </c:pt>
                <c:pt idx="59">
                  <c:v>343.64565686779611</c:v>
                </c:pt>
                <c:pt idx="60">
                  <c:v>350.91915547472735</c:v>
                </c:pt>
                <c:pt idx="61">
                  <c:v>340.28752055444613</c:v>
                </c:pt>
                <c:pt idx="62">
                  <c:v>346.44355255688691</c:v>
                </c:pt>
                <c:pt idx="63">
                  <c:v>352.59718287003443</c:v>
                </c:pt>
                <c:pt idx="64">
                  <c:v>358.74845936750694</c:v>
                </c:pt>
                <c:pt idx="65">
                  <c:v>364.89742814550755</c:v>
                </c:pt>
                <c:pt idx="66">
                  <c:v>354.83428056807503</c:v>
                </c:pt>
                <c:pt idx="67">
                  <c:v>360.14615329066805</c:v>
                </c:pt>
                <c:pt idx="68">
                  <c:v>365.45631242252239</c:v>
                </c:pt>
                <c:pt idx="69">
                  <c:v>370.76478640470503</c:v>
                </c:pt>
                <c:pt idx="70">
                  <c:v>376.07160279648701</c:v>
                </c:pt>
                <c:pt idx="71">
                  <c:v>366.85344149976572</c:v>
                </c:pt>
                <c:pt idx="72">
                  <c:v>371.60281428696067</c:v>
                </c:pt>
                <c:pt idx="73">
                  <c:v>376.35086351579002</c:v>
                </c:pt>
                <c:pt idx="74">
                  <c:v>381.09760826078065</c:v>
                </c:pt>
                <c:pt idx="75">
                  <c:v>385.843067081963</c:v>
                </c:pt>
                <c:pt idx="76">
                  <c:v>377.18861860717408</c:v>
                </c:pt>
                <c:pt idx="77">
                  <c:v>381.09760826078065</c:v>
                </c:pt>
                <c:pt idx="78">
                  <c:v>385.00572580895852</c:v>
                </c:pt>
                <c:pt idx="79">
                  <c:v>388.9129813652267</c:v>
                </c:pt>
                <c:pt idx="80">
                  <c:v>392.81938482304832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0" zoomScale="80" zoomScaleNormal="80" workbookViewId="0">
      <selection activeCell="D41" sqref="D4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10.9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6.3500000000000001E-2</v>
      </c>
      <c r="D9" s="33">
        <f t="shared" ref="D9:D18" si="0">C9*$C$5</f>
        <v>0.69215000000000004</v>
      </c>
      <c r="E9" s="34">
        <v>153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6.3500000000000001E-2</v>
      </c>
      <c r="D10" s="33">
        <f t="shared" si="0"/>
        <v>0.69215000000000004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22</v>
      </c>
      <c r="C11" s="32">
        <v>6.3500000000000001E-2</v>
      </c>
      <c r="D11" s="33">
        <f t="shared" si="0"/>
        <v>0.69215000000000004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23</v>
      </c>
      <c r="C12" s="32">
        <v>6.3500000000000001E-2</v>
      </c>
      <c r="D12" s="33">
        <f t="shared" si="0"/>
        <v>0.69215000000000004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119</v>
      </c>
      <c r="C13" s="32">
        <v>0.24</v>
      </c>
      <c r="D13" s="33">
        <f t="shared" si="0"/>
        <v>2.6160000000000001</v>
      </c>
      <c r="E13" s="34">
        <v>26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112</v>
      </c>
      <c r="C14" s="32">
        <v>0.24</v>
      </c>
      <c r="D14" s="33">
        <f t="shared" si="0"/>
        <v>2.6160000000000001</v>
      </c>
      <c r="E14" s="34">
        <v>26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29</v>
      </c>
      <c r="C15" s="32">
        <v>6.3500000000000001E-2</v>
      </c>
      <c r="D15" s="33">
        <f t="shared" si="0"/>
        <v>0.69215000000000004</v>
      </c>
      <c r="E15" s="34">
        <v>69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8</v>
      </c>
      <c r="C16" s="32">
        <v>6.25E-2</v>
      </c>
      <c r="D16" s="33">
        <f t="shared" si="0"/>
        <v>0.68125000000000002</v>
      </c>
      <c r="E16" s="34">
        <v>115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98</v>
      </c>
      <c r="C17" s="32">
        <v>0.14000000000000001</v>
      </c>
      <c r="D17" s="33">
        <f t="shared" si="0"/>
        <v>1.5260000000000002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10.9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36</v>
      </c>
      <c r="B36" s="60">
        <v>144</v>
      </c>
      <c r="C36" s="60">
        <v>1</v>
      </c>
      <c r="D36" s="60">
        <v>35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44</v>
      </c>
      <c r="B37" s="60">
        <v>188</v>
      </c>
      <c r="C37" s="60">
        <v>2</v>
      </c>
      <c r="D37" s="60">
        <v>46</v>
      </c>
      <c r="E37" s="51">
        <v>0</v>
      </c>
      <c r="F37" s="51">
        <v>0.5</v>
      </c>
      <c r="G37" s="51">
        <v>0</v>
      </c>
      <c r="H37" s="51">
        <v>0.5</v>
      </c>
      <c r="I37" s="53">
        <f t="shared" ref="I37:I55" si="1">IF(A37&lt;&gt;0,(B37-(B36-D36))/(A37-A36),"")</f>
        <v>9.875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52</v>
      </c>
      <c r="B38" s="60">
        <v>232</v>
      </c>
      <c r="C38" s="60">
        <v>3</v>
      </c>
      <c r="D38" s="60">
        <v>63</v>
      </c>
      <c r="E38" s="51">
        <v>0</v>
      </c>
      <c r="F38" s="51">
        <v>0.5</v>
      </c>
      <c r="G38" s="51">
        <v>0</v>
      </c>
      <c r="H38" s="51">
        <v>0.5</v>
      </c>
      <c r="I38" s="53">
        <f t="shared" si="1"/>
        <v>11.25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60</v>
      </c>
      <c r="B39" s="60">
        <v>250</v>
      </c>
      <c r="C39" s="60">
        <v>4</v>
      </c>
      <c r="D39" s="60">
        <v>54</v>
      </c>
      <c r="E39" s="51">
        <v>0</v>
      </c>
      <c r="F39" s="51">
        <v>0.5</v>
      </c>
      <c r="G39" s="51">
        <v>0</v>
      </c>
      <c r="H39" s="51">
        <v>0.5</v>
      </c>
      <c r="I39" s="49">
        <f t="shared" si="1"/>
        <v>10.125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69</v>
      </c>
      <c r="B40" s="60">
        <v>274</v>
      </c>
      <c r="C40" s="60">
        <v>5</v>
      </c>
      <c r="D40" s="60">
        <v>51</v>
      </c>
      <c r="E40" s="51">
        <v>0</v>
      </c>
      <c r="F40" s="51">
        <v>0.5</v>
      </c>
      <c r="G40" s="51">
        <v>0</v>
      </c>
      <c r="H40" s="51">
        <v>0.5</v>
      </c>
      <c r="I40" s="49">
        <f t="shared" si="1"/>
        <v>8.6666666666666661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78</v>
      </c>
      <c r="B41" s="60">
        <v>296</v>
      </c>
      <c r="C41" s="60">
        <v>6</v>
      </c>
      <c r="D41" s="60">
        <v>49</v>
      </c>
      <c r="E41" s="51">
        <v>0.1</v>
      </c>
      <c r="F41" s="51">
        <v>0.5</v>
      </c>
      <c r="G41" s="51">
        <v>0</v>
      </c>
      <c r="H41" s="51">
        <v>0.4</v>
      </c>
      <c r="I41" s="53">
        <f t="shared" si="1"/>
        <v>8.1111111111111107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87</v>
      </c>
      <c r="B42" s="60">
        <v>317</v>
      </c>
      <c r="C42" s="60">
        <v>7</v>
      </c>
      <c r="D42" s="60">
        <v>45</v>
      </c>
      <c r="E42" s="51">
        <v>0.3</v>
      </c>
      <c r="F42" s="51">
        <v>0.35</v>
      </c>
      <c r="G42" s="51">
        <v>0</v>
      </c>
      <c r="H42" s="51">
        <v>0.35</v>
      </c>
      <c r="I42" s="53">
        <f t="shared" si="1"/>
        <v>7.7777777777777777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96</v>
      </c>
      <c r="B43" s="60">
        <v>338</v>
      </c>
      <c r="C43" s="60">
        <v>8</v>
      </c>
      <c r="D43" s="60">
        <v>44</v>
      </c>
      <c r="E43" s="51">
        <v>0.4</v>
      </c>
      <c r="F43" s="51">
        <v>0.3</v>
      </c>
      <c r="G43" s="51">
        <v>0</v>
      </c>
      <c r="H43" s="51">
        <v>0.3</v>
      </c>
      <c r="I43" s="49">
        <f t="shared" si="1"/>
        <v>7.333333333333333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105</v>
      </c>
      <c r="B44" s="60">
        <v>358</v>
      </c>
      <c r="C44" s="60">
        <v>9</v>
      </c>
      <c r="D44" s="60">
        <v>43</v>
      </c>
      <c r="E44" s="51">
        <v>0.7</v>
      </c>
      <c r="F44" s="51">
        <v>0.1</v>
      </c>
      <c r="G44" s="51">
        <v>0</v>
      </c>
      <c r="H44" s="51">
        <v>0.2</v>
      </c>
      <c r="I44" s="49">
        <f t="shared" si="1"/>
        <v>7.1111111111111107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114</v>
      </c>
      <c r="B45" s="60">
        <v>378</v>
      </c>
      <c r="C45" s="60">
        <v>10</v>
      </c>
      <c r="D45" s="60">
        <v>43</v>
      </c>
      <c r="E45" s="51">
        <v>0.7</v>
      </c>
      <c r="F45" s="51">
        <v>0.1</v>
      </c>
      <c r="G45" s="51">
        <v>0</v>
      </c>
      <c r="H45" s="51">
        <v>0.2</v>
      </c>
      <c r="I45" s="49">
        <f t="shared" si="1"/>
        <v>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123</v>
      </c>
      <c r="B46" s="60">
        <v>397</v>
      </c>
      <c r="C46" s="60">
        <v>11</v>
      </c>
      <c r="D46" s="60">
        <v>41</v>
      </c>
      <c r="E46" s="51">
        <v>0.7</v>
      </c>
      <c r="F46" s="51">
        <v>0.1</v>
      </c>
      <c r="G46" s="51">
        <v>0</v>
      </c>
      <c r="H46" s="51">
        <v>0.2</v>
      </c>
      <c r="I46" s="49">
        <f t="shared" si="1"/>
        <v>6.8888888888888893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132</v>
      </c>
      <c r="B47" s="60">
        <v>419</v>
      </c>
      <c r="C47" s="60">
        <v>12</v>
      </c>
      <c r="D47" s="60">
        <v>42</v>
      </c>
      <c r="E47" s="51">
        <v>0.7</v>
      </c>
      <c r="F47" s="51">
        <v>0.1</v>
      </c>
      <c r="G47" s="51">
        <v>0</v>
      </c>
      <c r="H47" s="51">
        <v>0.2</v>
      </c>
      <c r="I47" s="49">
        <f t="shared" si="1"/>
        <v>7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141</v>
      </c>
      <c r="B48" s="60">
        <v>441</v>
      </c>
      <c r="C48" s="60">
        <v>13</v>
      </c>
      <c r="D48" s="60">
        <v>45</v>
      </c>
      <c r="E48" s="51">
        <v>0.7</v>
      </c>
      <c r="F48" s="51">
        <v>0.1</v>
      </c>
      <c r="G48" s="51">
        <v>0</v>
      </c>
      <c r="H48" s="51">
        <v>0.2</v>
      </c>
      <c r="I48" s="49">
        <f t="shared" si="1"/>
        <v>7.1111111111111107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153</v>
      </c>
      <c r="B49" s="60">
        <v>481</v>
      </c>
      <c r="C49" s="60" t="s">
        <v>324</v>
      </c>
      <c r="D49" s="60">
        <v>481</v>
      </c>
      <c r="E49" s="51">
        <v>0.7</v>
      </c>
      <c r="F49" s="51">
        <v>0.1</v>
      </c>
      <c r="G49" s="51">
        <v>0</v>
      </c>
      <c r="H49" s="51">
        <v>0.2</v>
      </c>
      <c r="I49" s="49">
        <f t="shared" si="1"/>
        <v>7.083333333333333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35</v>
      </c>
      <c r="C62" s="60"/>
      <c r="D62" s="60">
        <v>0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15</v>
      </c>
      <c r="B63" s="60">
        <v>88</v>
      </c>
      <c r="C63" s="60">
        <v>1</v>
      </c>
      <c r="D63" s="60">
        <v>30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10.6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20</v>
      </c>
      <c r="B64" s="60">
        <v>117</v>
      </c>
      <c r="C64" s="60">
        <v>2</v>
      </c>
      <c r="D64" s="60">
        <v>29</v>
      </c>
      <c r="E64" s="51">
        <v>0.2</v>
      </c>
      <c r="F64" s="51">
        <v>0.3</v>
      </c>
      <c r="G64" s="51">
        <v>0.3</v>
      </c>
      <c r="H64" s="51">
        <v>0.2</v>
      </c>
      <c r="I64" s="49">
        <f>IF(A64&lt;&gt;0,(B64-(B63-D63))/(A64-A63),"")</f>
        <v>11.8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25</v>
      </c>
      <c r="B65" s="60">
        <v>145</v>
      </c>
      <c r="C65" s="60">
        <v>3</v>
      </c>
      <c r="D65" s="60">
        <v>31</v>
      </c>
      <c r="E65" s="51">
        <v>0.3</v>
      </c>
      <c r="F65" s="51">
        <v>0.2</v>
      </c>
      <c r="G65" s="51">
        <v>0.3</v>
      </c>
      <c r="H65" s="51">
        <v>0.2</v>
      </c>
      <c r="I65" s="49">
        <f>IF(A65&lt;&gt;0,(B65-(B64-D64))/(A65-A64),"")</f>
        <v>11.4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30</v>
      </c>
      <c r="B66" s="60">
        <v>169</v>
      </c>
      <c r="C66" s="60">
        <v>4</v>
      </c>
      <c r="D66" s="60">
        <v>32</v>
      </c>
      <c r="E66" s="51">
        <v>0.4</v>
      </c>
      <c r="F66" s="51">
        <v>0.3</v>
      </c>
      <c r="G66" s="51">
        <v>0</v>
      </c>
      <c r="H66" s="51">
        <v>0.3</v>
      </c>
      <c r="I66" s="49">
        <f t="shared" ref="I66:I81" si="2">IF(A66&lt;&gt;0,(B66-(B65-D65))/(A66-A65),"")</f>
        <v>11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35</v>
      </c>
      <c r="B67" s="60">
        <v>189</v>
      </c>
      <c r="C67" s="60">
        <v>5</v>
      </c>
      <c r="D67" s="60">
        <v>32</v>
      </c>
      <c r="E67" s="51">
        <v>0.4</v>
      </c>
      <c r="F67" s="51">
        <v>0.3</v>
      </c>
      <c r="G67" s="51">
        <v>0</v>
      </c>
      <c r="H67" s="51">
        <v>0.3</v>
      </c>
      <c r="I67" s="49">
        <f t="shared" si="2"/>
        <v>10.4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40</v>
      </c>
      <c r="B68" s="60">
        <v>206</v>
      </c>
      <c r="C68" s="60">
        <v>6</v>
      </c>
      <c r="D68" s="60">
        <v>31</v>
      </c>
      <c r="E68" s="51">
        <v>0.5</v>
      </c>
      <c r="F68" s="51">
        <v>0.3</v>
      </c>
      <c r="G68" s="51">
        <v>0</v>
      </c>
      <c r="H68" s="51">
        <v>0.2</v>
      </c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45</v>
      </c>
      <c r="B69" s="50">
        <v>219</v>
      </c>
      <c r="C69" s="50">
        <v>7</v>
      </c>
      <c r="D69" s="50">
        <v>30</v>
      </c>
      <c r="E69" s="51">
        <v>0.5</v>
      </c>
      <c r="F69" s="51">
        <v>0.3</v>
      </c>
      <c r="G69" s="51">
        <v>0</v>
      </c>
      <c r="H69" s="51">
        <v>0.2</v>
      </c>
      <c r="I69" s="49">
        <f t="shared" si="2"/>
        <v>8.8000000000000007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50</v>
      </c>
      <c r="B70" s="50">
        <v>230</v>
      </c>
      <c r="C70" s="50">
        <v>8</v>
      </c>
      <c r="D70" s="50">
        <v>28</v>
      </c>
      <c r="E70" s="51">
        <v>0.5</v>
      </c>
      <c r="F70" s="51">
        <v>0.3</v>
      </c>
      <c r="G70" s="51">
        <v>0</v>
      </c>
      <c r="H70" s="51">
        <v>0.2</v>
      </c>
      <c r="I70" s="49">
        <f t="shared" si="2"/>
        <v>8.1999999999999993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55</v>
      </c>
      <c r="B71" s="50">
        <v>239</v>
      </c>
      <c r="C71" s="50">
        <v>9</v>
      </c>
      <c r="D71" s="50">
        <v>26</v>
      </c>
      <c r="E71" s="51">
        <v>0.7</v>
      </c>
      <c r="F71" s="51">
        <v>0.1</v>
      </c>
      <c r="G71" s="51">
        <v>0</v>
      </c>
      <c r="H71" s="51">
        <v>0.2</v>
      </c>
      <c r="I71" s="49">
        <f t="shared" si="2"/>
        <v>7.4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60</v>
      </c>
      <c r="B72" s="50">
        <v>246</v>
      </c>
      <c r="C72" s="50">
        <v>10</v>
      </c>
      <c r="D72" s="50">
        <v>24</v>
      </c>
      <c r="E72" s="51">
        <v>0.7</v>
      </c>
      <c r="F72" s="51">
        <v>0.1</v>
      </c>
      <c r="G72" s="51">
        <v>0</v>
      </c>
      <c r="H72" s="51">
        <v>0.2</v>
      </c>
      <c r="I72" s="49">
        <f t="shared" si="2"/>
        <v>6.6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65</v>
      </c>
      <c r="B73" s="50">
        <v>252</v>
      </c>
      <c r="C73" s="50">
        <v>11</v>
      </c>
      <c r="D73" s="50">
        <v>22</v>
      </c>
      <c r="E73" s="51">
        <v>0.7</v>
      </c>
      <c r="F73" s="51">
        <v>0.1</v>
      </c>
      <c r="G73" s="51">
        <v>0</v>
      </c>
      <c r="H73" s="51">
        <v>0.2</v>
      </c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70</v>
      </c>
      <c r="B74" s="50">
        <v>257</v>
      </c>
      <c r="C74" s="50">
        <v>12</v>
      </c>
      <c r="D74" s="50">
        <v>21</v>
      </c>
      <c r="E74" s="51">
        <v>0.7</v>
      </c>
      <c r="F74" s="51">
        <v>0.1</v>
      </c>
      <c r="G74" s="51">
        <v>0</v>
      </c>
      <c r="H74" s="51">
        <v>0.2</v>
      </c>
      <c r="I74" s="49">
        <f t="shared" si="2"/>
        <v>5.4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75</v>
      </c>
      <c r="B75" s="50">
        <v>261</v>
      </c>
      <c r="C75" s="50">
        <v>13</v>
      </c>
      <c r="D75" s="50">
        <v>19</v>
      </c>
      <c r="E75" s="51">
        <v>0.7</v>
      </c>
      <c r="F75" s="51">
        <v>0.1</v>
      </c>
      <c r="G75" s="51">
        <v>0</v>
      </c>
      <c r="H75" s="51">
        <v>0.2</v>
      </c>
      <c r="I75" s="49">
        <f t="shared" si="2"/>
        <v>5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80</v>
      </c>
      <c r="B76" s="50">
        <v>264</v>
      </c>
      <c r="C76" s="50">
        <v>14</v>
      </c>
      <c r="D76" s="50">
        <v>17</v>
      </c>
      <c r="E76" s="51">
        <v>0.7</v>
      </c>
      <c r="F76" s="51">
        <v>0.1</v>
      </c>
      <c r="G76" s="51">
        <v>0</v>
      </c>
      <c r="H76" s="51">
        <v>0.2</v>
      </c>
      <c r="I76" s="49">
        <f t="shared" si="2"/>
        <v>4.4000000000000004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85</v>
      </c>
      <c r="B77" s="50">
        <v>267</v>
      </c>
      <c r="C77" s="50">
        <v>15</v>
      </c>
      <c r="D77" s="50">
        <v>16</v>
      </c>
      <c r="E77" s="51">
        <v>0.7</v>
      </c>
      <c r="F77" s="51">
        <v>0.1</v>
      </c>
      <c r="G77" s="51">
        <v>0</v>
      </c>
      <c r="H77" s="51">
        <v>0.2</v>
      </c>
      <c r="I77" s="49">
        <f t="shared" si="2"/>
        <v>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90</v>
      </c>
      <c r="B78" s="50">
        <v>268</v>
      </c>
      <c r="C78" s="50">
        <v>16</v>
      </c>
      <c r="D78" s="50">
        <v>14</v>
      </c>
      <c r="E78" s="51">
        <v>0.7</v>
      </c>
      <c r="F78" s="51">
        <v>0.1</v>
      </c>
      <c r="G78" s="51">
        <v>0</v>
      </c>
      <c r="H78" s="51">
        <v>0.2</v>
      </c>
      <c r="I78" s="49">
        <f t="shared" si="2"/>
        <v>3.4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95</v>
      </c>
      <c r="B79" s="50">
        <v>270</v>
      </c>
      <c r="C79" s="50">
        <v>17</v>
      </c>
      <c r="D79" s="50">
        <v>13</v>
      </c>
      <c r="E79" s="51">
        <v>0.7</v>
      </c>
      <c r="F79" s="51">
        <v>0.1</v>
      </c>
      <c r="G79" s="51">
        <v>0</v>
      </c>
      <c r="H79" s="51">
        <v>0.2</v>
      </c>
      <c r="I79" s="49">
        <f t="shared" si="2"/>
        <v>3.2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100</v>
      </c>
      <c r="B80" s="50">
        <v>273</v>
      </c>
      <c r="C80" s="50" t="s">
        <v>324</v>
      </c>
      <c r="D80" s="50">
        <v>273</v>
      </c>
      <c r="E80" s="51">
        <v>0.7</v>
      </c>
      <c r="F80" s="51">
        <v>0.1</v>
      </c>
      <c r="G80" s="51">
        <v>0</v>
      </c>
      <c r="H80" s="51">
        <v>0.2</v>
      </c>
      <c r="I80" s="49">
        <f t="shared" si="2"/>
        <v>3.2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Erable plane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15</v>
      </c>
      <c r="B88" s="60">
        <v>37</v>
      </c>
      <c r="C88" s="60">
        <v>1</v>
      </c>
      <c r="D88" s="60">
        <v>15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80</v>
      </c>
      <c r="C89" s="60">
        <v>2</v>
      </c>
      <c r="D89" s="60">
        <v>28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25</v>
      </c>
      <c r="B90" s="60">
        <v>115</v>
      </c>
      <c r="C90" s="60">
        <v>3</v>
      </c>
      <c r="D90" s="60">
        <v>28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30</v>
      </c>
      <c r="B91" s="60">
        <v>146</v>
      </c>
      <c r="C91" s="60">
        <v>4</v>
      </c>
      <c r="D91" s="60">
        <v>28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35</v>
      </c>
      <c r="B92" s="60">
        <v>172</v>
      </c>
      <c r="C92" s="60">
        <v>5</v>
      </c>
      <c r="D92" s="60">
        <v>28</v>
      </c>
      <c r="E92" s="87">
        <v>0</v>
      </c>
      <c r="F92" s="87">
        <v>0.3</v>
      </c>
      <c r="G92" s="87">
        <v>0.4</v>
      </c>
      <c r="H92" s="87">
        <v>0.3</v>
      </c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40</v>
      </c>
      <c r="B93" s="60">
        <v>192</v>
      </c>
      <c r="C93" s="60">
        <v>6</v>
      </c>
      <c r="D93" s="60">
        <v>28</v>
      </c>
      <c r="E93" s="87">
        <v>0.1</v>
      </c>
      <c r="F93" s="87">
        <v>0.4</v>
      </c>
      <c r="G93" s="87">
        <v>0.3</v>
      </c>
      <c r="H93" s="87">
        <v>0.2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45</v>
      </c>
      <c r="B94" s="60">
        <v>205</v>
      </c>
      <c r="C94" s="60">
        <v>7</v>
      </c>
      <c r="D94" s="60">
        <v>22</v>
      </c>
      <c r="E94" s="87">
        <v>0.3</v>
      </c>
      <c r="F94" s="87">
        <v>0</v>
      </c>
      <c r="G94" s="87">
        <v>0.4</v>
      </c>
      <c r="H94" s="87">
        <v>0.3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50</v>
      </c>
      <c r="B95" s="60">
        <v>219</v>
      </c>
      <c r="C95" s="60">
        <v>8</v>
      </c>
      <c r="D95" s="60">
        <v>17</v>
      </c>
      <c r="E95" s="87">
        <v>0.3</v>
      </c>
      <c r="F95" s="87">
        <v>0</v>
      </c>
      <c r="G95" s="87">
        <v>0.4</v>
      </c>
      <c r="H95" s="87">
        <v>0.3</v>
      </c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55</v>
      </c>
      <c r="B96" s="60">
        <v>232</v>
      </c>
      <c r="C96" s="60">
        <v>9</v>
      </c>
      <c r="D96" s="60">
        <v>13</v>
      </c>
      <c r="E96" s="87">
        <v>0.5</v>
      </c>
      <c r="F96" s="87">
        <v>0</v>
      </c>
      <c r="G96" s="87">
        <v>0.3</v>
      </c>
      <c r="H96" s="87">
        <v>0.2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60</v>
      </c>
      <c r="B97" s="60">
        <v>245</v>
      </c>
      <c r="C97" s="60">
        <v>10</v>
      </c>
      <c r="D97" s="60">
        <v>12</v>
      </c>
      <c r="E97" s="87">
        <v>0.5</v>
      </c>
      <c r="F97" s="87">
        <v>0</v>
      </c>
      <c r="G97" s="87">
        <v>0.3</v>
      </c>
      <c r="H97" s="87">
        <v>0.2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65</v>
      </c>
      <c r="B98" s="60">
        <v>255</v>
      </c>
      <c r="C98" s="60">
        <v>11</v>
      </c>
      <c r="D98" s="60">
        <v>11</v>
      </c>
      <c r="E98" s="87">
        <v>0.5</v>
      </c>
      <c r="F98" s="87">
        <v>0</v>
      </c>
      <c r="G98" s="87">
        <v>0.3</v>
      </c>
      <c r="H98" s="87">
        <v>0.2</v>
      </c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70</v>
      </c>
      <c r="B99" s="60">
        <v>263</v>
      </c>
      <c r="C99" s="60">
        <v>12</v>
      </c>
      <c r="D99" s="60">
        <v>10</v>
      </c>
      <c r="E99" s="87">
        <v>0.5</v>
      </c>
      <c r="F99" s="87">
        <v>0</v>
      </c>
      <c r="G99" s="87">
        <v>0.3</v>
      </c>
      <c r="H99" s="87">
        <v>0.2</v>
      </c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75</v>
      </c>
      <c r="B100" s="60">
        <v>270</v>
      </c>
      <c r="C100" s="60">
        <v>13</v>
      </c>
      <c r="D100" s="60">
        <v>9</v>
      </c>
      <c r="E100" s="65">
        <v>0.7</v>
      </c>
      <c r="F100" s="65">
        <v>0</v>
      </c>
      <c r="G100" s="65">
        <v>0.2</v>
      </c>
      <c r="H100" s="65">
        <v>0.1</v>
      </c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80</v>
      </c>
      <c r="B101" s="60">
        <v>275</v>
      </c>
      <c r="C101" s="60" t="s">
        <v>324</v>
      </c>
      <c r="D101" s="60">
        <v>275</v>
      </c>
      <c r="E101" s="65">
        <v>0.7</v>
      </c>
      <c r="F101" s="65">
        <v>0</v>
      </c>
      <c r="G101" s="65">
        <v>0.2</v>
      </c>
      <c r="H101" s="65">
        <v>0.1</v>
      </c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v>37</v>
      </c>
      <c r="C114" s="50">
        <v>1</v>
      </c>
      <c r="D114" s="60">
        <v>15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80</v>
      </c>
      <c r="C115" s="50">
        <v>2</v>
      </c>
      <c r="D115" s="60">
        <v>28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25</v>
      </c>
      <c r="B116" s="60">
        <v>115</v>
      </c>
      <c r="C116" s="50">
        <v>3</v>
      </c>
      <c r="D116" s="60">
        <v>28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30</v>
      </c>
      <c r="B117" s="60">
        <v>146</v>
      </c>
      <c r="C117" s="50">
        <v>4</v>
      </c>
      <c r="D117" s="60">
        <v>28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35</v>
      </c>
      <c r="B118" s="60">
        <v>172</v>
      </c>
      <c r="C118" s="50">
        <v>5</v>
      </c>
      <c r="D118" s="60">
        <v>28</v>
      </c>
      <c r="E118" s="51">
        <v>0</v>
      </c>
      <c r="F118" s="51">
        <v>0.3</v>
      </c>
      <c r="G118" s="51">
        <v>0.4</v>
      </c>
      <c r="H118" s="51">
        <v>0.3</v>
      </c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40</v>
      </c>
      <c r="B119" s="60">
        <v>192</v>
      </c>
      <c r="C119" s="50">
        <v>6</v>
      </c>
      <c r="D119" s="60">
        <v>28</v>
      </c>
      <c r="E119" s="51">
        <v>0.1</v>
      </c>
      <c r="F119" s="51">
        <v>0.4</v>
      </c>
      <c r="G119" s="51">
        <v>0.3</v>
      </c>
      <c r="H119" s="51">
        <v>0.2</v>
      </c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45</v>
      </c>
      <c r="B120" s="60">
        <v>205</v>
      </c>
      <c r="C120" s="60">
        <v>7</v>
      </c>
      <c r="D120" s="60">
        <v>22</v>
      </c>
      <c r="E120" s="87">
        <v>0.3</v>
      </c>
      <c r="F120" s="87">
        <v>0</v>
      </c>
      <c r="G120" s="87">
        <v>0.4</v>
      </c>
      <c r="H120" s="87">
        <v>0.3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50</v>
      </c>
      <c r="B121" s="60">
        <v>219</v>
      </c>
      <c r="C121" s="60">
        <v>8</v>
      </c>
      <c r="D121" s="60">
        <v>17</v>
      </c>
      <c r="E121" s="87">
        <v>0.3</v>
      </c>
      <c r="F121" s="87">
        <v>0</v>
      </c>
      <c r="G121" s="87">
        <v>0.4</v>
      </c>
      <c r="H121" s="87">
        <v>0.3</v>
      </c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55</v>
      </c>
      <c r="B122" s="60">
        <v>232</v>
      </c>
      <c r="C122" s="60">
        <v>9</v>
      </c>
      <c r="D122" s="60">
        <v>13</v>
      </c>
      <c r="E122" s="87">
        <v>0.5</v>
      </c>
      <c r="F122" s="87">
        <v>0</v>
      </c>
      <c r="G122" s="87">
        <v>0.3</v>
      </c>
      <c r="H122" s="87">
        <v>0.2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60</v>
      </c>
      <c r="B123" s="60">
        <v>245</v>
      </c>
      <c r="C123" s="60">
        <v>10</v>
      </c>
      <c r="D123" s="60">
        <v>12</v>
      </c>
      <c r="E123" s="87">
        <v>0.5</v>
      </c>
      <c r="F123" s="87">
        <v>0</v>
      </c>
      <c r="G123" s="87">
        <v>0.3</v>
      </c>
      <c r="H123" s="87">
        <v>0.2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65</v>
      </c>
      <c r="B124" s="60">
        <v>255</v>
      </c>
      <c r="C124" s="60">
        <v>11</v>
      </c>
      <c r="D124" s="60">
        <v>11</v>
      </c>
      <c r="E124" s="87">
        <v>0.5</v>
      </c>
      <c r="F124" s="87">
        <v>0</v>
      </c>
      <c r="G124" s="87">
        <v>0.3</v>
      </c>
      <c r="H124" s="87">
        <v>0.2</v>
      </c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70</v>
      </c>
      <c r="B125" s="60">
        <v>263</v>
      </c>
      <c r="C125" s="60">
        <v>12</v>
      </c>
      <c r="D125" s="60">
        <v>10</v>
      </c>
      <c r="E125" s="87">
        <v>0.5</v>
      </c>
      <c r="F125" s="87">
        <v>0</v>
      </c>
      <c r="G125" s="87">
        <v>0.3</v>
      </c>
      <c r="H125" s="87">
        <v>0.2</v>
      </c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75</v>
      </c>
      <c r="B126" s="60">
        <v>270</v>
      </c>
      <c r="C126" s="60">
        <v>13</v>
      </c>
      <c r="D126" s="60">
        <v>9</v>
      </c>
      <c r="E126" s="65">
        <v>0.7</v>
      </c>
      <c r="F126" s="65">
        <v>0</v>
      </c>
      <c r="G126" s="65">
        <v>0.2</v>
      </c>
      <c r="H126" s="65">
        <v>0.1</v>
      </c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80</v>
      </c>
      <c r="B127" s="60">
        <v>275</v>
      </c>
      <c r="C127" s="60" t="s">
        <v>324</v>
      </c>
      <c r="D127" s="60">
        <v>275</v>
      </c>
      <c r="E127" s="65">
        <v>0.7</v>
      </c>
      <c r="F127" s="65">
        <v>0</v>
      </c>
      <c r="G127" s="65">
        <v>0.2</v>
      </c>
      <c r="H127" s="65">
        <v>0.1</v>
      </c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Peuplier Trichobel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125</v>
      </c>
      <c r="C140" s="50">
        <v>0</v>
      </c>
      <c r="D140" s="60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>IFERROR(B140/A140,"")</f>
        <v>12.5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15</v>
      </c>
      <c r="B141" s="60">
        <v>232</v>
      </c>
      <c r="C141" s="50">
        <v>0</v>
      </c>
      <c r="D141" s="60">
        <v>0</v>
      </c>
      <c r="E141" s="51">
        <v>0</v>
      </c>
      <c r="F141" s="51">
        <v>0</v>
      </c>
      <c r="G141" s="51">
        <v>0</v>
      </c>
      <c r="H141" s="51">
        <v>0</v>
      </c>
      <c r="I141" s="57">
        <f t="shared" ref="I141:I159" si="5">IF(A141&lt;&gt;0,(B141-(B140-D140))/(A141-A140),"")</f>
        <v>21.4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20</v>
      </c>
      <c r="B142" s="60">
        <v>343</v>
      </c>
      <c r="C142" s="50">
        <v>0</v>
      </c>
      <c r="D142" s="60">
        <v>0</v>
      </c>
      <c r="E142" s="51">
        <v>0</v>
      </c>
      <c r="F142" s="51">
        <v>0</v>
      </c>
      <c r="G142" s="51">
        <v>0</v>
      </c>
      <c r="H142" s="51">
        <v>0</v>
      </c>
      <c r="I142" s="57">
        <f t="shared" si="5"/>
        <v>22.2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22</v>
      </c>
      <c r="B143" s="60">
        <v>382</v>
      </c>
      <c r="C143" s="50">
        <v>0</v>
      </c>
      <c r="D143" s="60">
        <v>0</v>
      </c>
      <c r="E143" s="51">
        <v>0</v>
      </c>
      <c r="F143" s="51">
        <v>0</v>
      </c>
      <c r="G143" s="51">
        <v>0</v>
      </c>
      <c r="H143" s="51">
        <v>0</v>
      </c>
      <c r="I143" s="57">
        <f t="shared" si="5"/>
        <v>19.5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24</v>
      </c>
      <c r="B144" s="60">
        <v>421</v>
      </c>
      <c r="C144" s="50">
        <v>0</v>
      </c>
      <c r="D144" s="60">
        <v>0</v>
      </c>
      <c r="E144" s="51">
        <v>0</v>
      </c>
      <c r="F144" s="51">
        <v>0</v>
      </c>
      <c r="G144" s="51">
        <v>0</v>
      </c>
      <c r="H144" s="51">
        <v>0</v>
      </c>
      <c r="I144" s="57">
        <f t="shared" si="5"/>
        <v>19.5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26</v>
      </c>
      <c r="B145" s="60">
        <v>449</v>
      </c>
      <c r="C145" s="50" t="s">
        <v>324</v>
      </c>
      <c r="D145" s="60">
        <f>B145</f>
        <v>449</v>
      </c>
      <c r="E145" s="51">
        <v>0.75</v>
      </c>
      <c r="F145" s="51">
        <v>0.25</v>
      </c>
      <c r="G145" s="51">
        <v>0</v>
      </c>
      <c r="H145" s="51">
        <v>0</v>
      </c>
      <c r="I145" s="57">
        <f t="shared" si="5"/>
        <v>14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Peuplier Koster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125</v>
      </c>
      <c r="C166" s="60">
        <v>0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12.5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15</v>
      </c>
      <c r="B167" s="60">
        <v>232</v>
      </c>
      <c r="C167" s="60">
        <v>0</v>
      </c>
      <c r="D167" s="60">
        <v>0</v>
      </c>
      <c r="E167" s="51">
        <v>0</v>
      </c>
      <c r="F167" s="51">
        <v>0</v>
      </c>
      <c r="G167" s="51">
        <v>0</v>
      </c>
      <c r="H167" s="51">
        <v>0</v>
      </c>
      <c r="I167" s="49">
        <f t="shared" ref="I167:I185" si="6">IF(A167&lt;&gt;0,(B167-(B166-D166))/(A167-A166),"")</f>
        <v>21.4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20</v>
      </c>
      <c r="B168" s="60">
        <v>343</v>
      </c>
      <c r="C168" s="60">
        <v>0</v>
      </c>
      <c r="D168" s="60">
        <v>0</v>
      </c>
      <c r="E168" s="51">
        <v>0</v>
      </c>
      <c r="F168" s="51">
        <v>0</v>
      </c>
      <c r="G168" s="51">
        <v>0</v>
      </c>
      <c r="H168" s="51">
        <v>0</v>
      </c>
      <c r="I168" s="49">
        <f t="shared" si="6"/>
        <v>22.2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22</v>
      </c>
      <c r="B169" s="60">
        <v>382</v>
      </c>
      <c r="C169" s="60">
        <v>0</v>
      </c>
      <c r="D169" s="60">
        <v>0</v>
      </c>
      <c r="E169" s="51">
        <v>0</v>
      </c>
      <c r="F169" s="51">
        <v>0</v>
      </c>
      <c r="G169" s="51">
        <v>0</v>
      </c>
      <c r="H169" s="51">
        <v>0</v>
      </c>
      <c r="I169" s="49">
        <f t="shared" si="6"/>
        <v>19.5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24</v>
      </c>
      <c r="B170" s="60">
        <v>421</v>
      </c>
      <c r="C170" s="60">
        <v>0</v>
      </c>
      <c r="D170" s="60">
        <v>0</v>
      </c>
      <c r="E170" s="51">
        <v>0</v>
      </c>
      <c r="F170" s="51">
        <v>0</v>
      </c>
      <c r="G170" s="51">
        <v>0</v>
      </c>
      <c r="H170" s="51">
        <v>0</v>
      </c>
      <c r="I170" s="49">
        <f t="shared" si="6"/>
        <v>19.5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26</v>
      </c>
      <c r="B171" s="60">
        <v>449</v>
      </c>
      <c r="C171" s="60" t="s">
        <v>324</v>
      </c>
      <c r="D171" s="60">
        <f>B171</f>
        <v>449</v>
      </c>
      <c r="E171" s="51">
        <v>0.75</v>
      </c>
      <c r="F171" s="51">
        <v>0.25</v>
      </c>
      <c r="G171" s="51">
        <v>0</v>
      </c>
      <c r="H171" s="51">
        <v>0</v>
      </c>
      <c r="I171" s="49">
        <f t="shared" si="6"/>
        <v>14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Merisier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15</v>
      </c>
      <c r="B192" s="60">
        <v>40</v>
      </c>
      <c r="C192" s="60">
        <v>1</v>
      </c>
      <c r="D192" s="60">
        <v>3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2.6666666666666665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20</v>
      </c>
      <c r="B193" s="60">
        <v>85</v>
      </c>
      <c r="C193" s="60">
        <v>2</v>
      </c>
      <c r="D193" s="60">
        <v>25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9.6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25</v>
      </c>
      <c r="B194" s="60">
        <v>113</v>
      </c>
      <c r="C194" s="60">
        <v>3</v>
      </c>
      <c r="D194" s="60">
        <v>27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10.6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31</v>
      </c>
      <c r="B195" s="60">
        <v>155</v>
      </c>
      <c r="C195" s="60">
        <v>4</v>
      </c>
      <c r="D195" s="60">
        <v>36</v>
      </c>
      <c r="E195" s="51">
        <v>0</v>
      </c>
      <c r="F195" s="51">
        <v>0</v>
      </c>
      <c r="G195" s="51">
        <v>0</v>
      </c>
      <c r="H195" s="51">
        <v>1</v>
      </c>
      <c r="I195" s="49">
        <f t="shared" si="7"/>
        <v>11.5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37</v>
      </c>
      <c r="B196" s="60">
        <v>188</v>
      </c>
      <c r="C196" s="60">
        <v>5</v>
      </c>
      <c r="D196" s="60">
        <v>36</v>
      </c>
      <c r="E196" s="51">
        <v>0</v>
      </c>
      <c r="F196" s="51">
        <v>0</v>
      </c>
      <c r="G196" s="51">
        <v>0</v>
      </c>
      <c r="H196" s="51">
        <v>1</v>
      </c>
      <c r="I196" s="49">
        <f t="shared" si="7"/>
        <v>11.5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44</v>
      </c>
      <c r="B197" s="60">
        <v>230</v>
      </c>
      <c r="C197" s="60">
        <v>6</v>
      </c>
      <c r="D197" s="60">
        <v>43</v>
      </c>
      <c r="E197" s="51">
        <v>0</v>
      </c>
      <c r="F197" s="51">
        <v>0.3</v>
      </c>
      <c r="G197" s="51">
        <v>0.4</v>
      </c>
      <c r="H197" s="51">
        <v>0.3</v>
      </c>
      <c r="I197" s="49">
        <f t="shared" si="7"/>
        <v>11.142857142857142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52</v>
      </c>
      <c r="B198" s="60">
        <v>270</v>
      </c>
      <c r="C198" s="60">
        <v>7</v>
      </c>
      <c r="D198" s="60">
        <v>48</v>
      </c>
      <c r="E198" s="51">
        <v>0.1</v>
      </c>
      <c r="F198" s="51">
        <v>0.4</v>
      </c>
      <c r="G198" s="51">
        <v>0.3</v>
      </c>
      <c r="H198" s="51">
        <v>0.2</v>
      </c>
      <c r="I198" s="49">
        <f t="shared" si="7"/>
        <v>10.375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60</v>
      </c>
      <c r="B199" s="50">
        <v>297</v>
      </c>
      <c r="C199" s="50">
        <v>8</v>
      </c>
      <c r="D199" s="50">
        <v>47</v>
      </c>
      <c r="E199" s="51">
        <v>0.3</v>
      </c>
      <c r="F199" s="51">
        <v>0.2</v>
      </c>
      <c r="G199" s="51">
        <v>0.3</v>
      </c>
      <c r="H199" s="51">
        <v>0.2</v>
      </c>
      <c r="I199" s="49">
        <f t="shared" si="7"/>
        <v>9.375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69</v>
      </c>
      <c r="B200" s="50">
        <v>328</v>
      </c>
      <c r="C200" s="50" t="s">
        <v>324</v>
      </c>
      <c r="D200" s="50">
        <v>328</v>
      </c>
      <c r="E200" s="51">
        <v>0.5</v>
      </c>
      <c r="F200" s="51">
        <v>0</v>
      </c>
      <c r="G200" s="51">
        <v>0.3</v>
      </c>
      <c r="H200" s="51">
        <v>0.2</v>
      </c>
      <c r="I200" s="49">
        <f t="shared" si="7"/>
        <v>8.6666666666666661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Châtaignier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v>56</v>
      </c>
      <c r="C218" s="50">
        <v>1</v>
      </c>
      <c r="D218" s="60">
        <v>0</v>
      </c>
      <c r="E218" s="63">
        <v>0</v>
      </c>
      <c r="F218" s="63">
        <v>0</v>
      </c>
      <c r="G218" s="63">
        <v>0</v>
      </c>
      <c r="H218" s="63">
        <v>1</v>
      </c>
      <c r="I218" s="53">
        <f>IFERROR(B218/A218,"")</f>
        <v>2.8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25</v>
      </c>
      <c r="B219" s="60">
        <v>111</v>
      </c>
      <c r="C219" s="50">
        <v>2</v>
      </c>
      <c r="D219" s="60">
        <v>26</v>
      </c>
      <c r="E219" s="63">
        <v>0</v>
      </c>
      <c r="F219" s="63">
        <v>0</v>
      </c>
      <c r="G219" s="63">
        <v>0</v>
      </c>
      <c r="H219" s="63">
        <v>1</v>
      </c>
      <c r="I219" s="53">
        <f t="shared" ref="I219:I237" si="8">IF(A219&lt;&gt;0,(B219-(B218-D218))/(A219-A218),"")</f>
        <v>11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30</v>
      </c>
      <c r="B220" s="60">
        <v>146</v>
      </c>
      <c r="C220" s="50">
        <v>3</v>
      </c>
      <c r="D220" s="60">
        <v>35</v>
      </c>
      <c r="E220" s="63">
        <v>0</v>
      </c>
      <c r="F220" s="63">
        <v>0</v>
      </c>
      <c r="G220" s="63">
        <v>0</v>
      </c>
      <c r="H220" s="63">
        <v>1</v>
      </c>
      <c r="I220" s="53">
        <f t="shared" si="8"/>
        <v>12.2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35</v>
      </c>
      <c r="B221" s="55">
        <v>175</v>
      </c>
      <c r="C221" s="55">
        <v>4</v>
      </c>
      <c r="D221" s="55">
        <v>35</v>
      </c>
      <c r="E221" s="63">
        <v>0</v>
      </c>
      <c r="F221" s="63">
        <v>0</v>
      </c>
      <c r="G221" s="63">
        <v>0</v>
      </c>
      <c r="H221" s="63">
        <v>1</v>
      </c>
      <c r="I221" s="53">
        <f t="shared" si="8"/>
        <v>12.8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40</v>
      </c>
      <c r="B222" s="55">
        <v>207</v>
      </c>
      <c r="C222" s="55">
        <v>5</v>
      </c>
      <c r="D222" s="55">
        <v>35</v>
      </c>
      <c r="E222" s="63">
        <v>0</v>
      </c>
      <c r="F222" s="63">
        <v>0</v>
      </c>
      <c r="G222" s="63">
        <v>0</v>
      </c>
      <c r="H222" s="63">
        <v>1</v>
      </c>
      <c r="I222" s="53">
        <f t="shared" si="8"/>
        <v>13.4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45</v>
      </c>
      <c r="B223" s="55">
        <v>241</v>
      </c>
      <c r="C223" s="55">
        <v>6</v>
      </c>
      <c r="D223" s="55">
        <v>35</v>
      </c>
      <c r="E223" s="63">
        <v>0</v>
      </c>
      <c r="F223" s="63">
        <v>0</v>
      </c>
      <c r="G223" s="63">
        <v>0</v>
      </c>
      <c r="H223" s="63">
        <v>1</v>
      </c>
      <c r="I223" s="53">
        <f t="shared" si="8"/>
        <v>13.8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50</v>
      </c>
      <c r="B224" s="55">
        <v>274</v>
      </c>
      <c r="C224" s="55">
        <v>7</v>
      </c>
      <c r="D224" s="55">
        <v>35</v>
      </c>
      <c r="E224" s="63">
        <v>0</v>
      </c>
      <c r="F224" s="63">
        <v>0.5</v>
      </c>
      <c r="G224" s="63">
        <v>0</v>
      </c>
      <c r="H224" s="63">
        <v>0.5</v>
      </c>
      <c r="I224" s="53">
        <f t="shared" si="8"/>
        <v>13.6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55</v>
      </c>
      <c r="B225" s="55">
        <v>306</v>
      </c>
      <c r="C225" s="55">
        <v>8</v>
      </c>
      <c r="D225" s="55">
        <v>35</v>
      </c>
      <c r="E225" s="63">
        <v>0</v>
      </c>
      <c r="F225" s="63">
        <v>0.5</v>
      </c>
      <c r="G225" s="63">
        <v>0</v>
      </c>
      <c r="H225" s="63">
        <v>0.5</v>
      </c>
      <c r="I225" s="53">
        <f t="shared" si="8"/>
        <v>13.4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60</v>
      </c>
      <c r="B226" s="55">
        <v>336</v>
      </c>
      <c r="C226" s="55">
        <v>9</v>
      </c>
      <c r="D226" s="55">
        <v>35</v>
      </c>
      <c r="E226" s="63">
        <v>0</v>
      </c>
      <c r="F226" s="63">
        <v>0.5</v>
      </c>
      <c r="G226" s="63">
        <v>0</v>
      </c>
      <c r="H226" s="63">
        <v>0.5</v>
      </c>
      <c r="I226" s="53">
        <f t="shared" si="8"/>
        <v>13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65</v>
      </c>
      <c r="B227" s="55">
        <v>363</v>
      </c>
      <c r="C227" s="55">
        <v>10</v>
      </c>
      <c r="D227" s="55">
        <v>35</v>
      </c>
      <c r="E227" s="63">
        <v>0</v>
      </c>
      <c r="F227" s="63">
        <v>0.5</v>
      </c>
      <c r="G227" s="63">
        <v>0</v>
      </c>
      <c r="H227" s="63">
        <v>0.5</v>
      </c>
      <c r="I227" s="53">
        <f t="shared" si="8"/>
        <v>12.4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70</v>
      </c>
      <c r="B228" s="55">
        <v>387</v>
      </c>
      <c r="C228" s="55">
        <v>11</v>
      </c>
      <c r="D228" s="55">
        <v>35</v>
      </c>
      <c r="E228" s="63">
        <v>0</v>
      </c>
      <c r="F228" s="63">
        <v>0.5</v>
      </c>
      <c r="G228" s="63">
        <v>0</v>
      </c>
      <c r="H228" s="63">
        <v>0.5</v>
      </c>
      <c r="I228" s="53">
        <f t="shared" si="8"/>
        <v>11.8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75</v>
      </c>
      <c r="B229" s="55">
        <v>407</v>
      </c>
      <c r="C229" s="55">
        <v>12</v>
      </c>
      <c r="D229" s="55">
        <v>35</v>
      </c>
      <c r="E229" s="63">
        <v>0.1</v>
      </c>
      <c r="F229" s="63">
        <v>0.5</v>
      </c>
      <c r="G229" s="63">
        <v>0</v>
      </c>
      <c r="H229" s="63">
        <v>0.4</v>
      </c>
      <c r="I229" s="53">
        <f t="shared" si="8"/>
        <v>11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80</v>
      </c>
      <c r="B230" s="55">
        <v>424</v>
      </c>
      <c r="C230" s="55">
        <v>13</v>
      </c>
      <c r="D230" s="55">
        <v>34</v>
      </c>
      <c r="E230" s="64">
        <v>0.1</v>
      </c>
      <c r="F230" s="64">
        <v>0.5</v>
      </c>
      <c r="G230" s="64">
        <v>0</v>
      </c>
      <c r="H230" s="64">
        <v>0.4</v>
      </c>
      <c r="I230" s="53">
        <f t="shared" si="8"/>
        <v>10.4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85</v>
      </c>
      <c r="B231" s="60">
        <v>438</v>
      </c>
      <c r="C231" s="88">
        <v>14</v>
      </c>
      <c r="D231" s="60">
        <v>33</v>
      </c>
      <c r="E231" s="54">
        <v>0.1</v>
      </c>
      <c r="F231" s="54">
        <v>0.5</v>
      </c>
      <c r="G231" s="54">
        <v>0</v>
      </c>
      <c r="H231" s="54">
        <v>0.4</v>
      </c>
      <c r="I231" s="53">
        <f t="shared" si="8"/>
        <v>9.6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90</v>
      </c>
      <c r="B232" s="50">
        <v>451</v>
      </c>
      <c r="C232" s="50">
        <v>15</v>
      </c>
      <c r="D232" s="50">
        <v>31</v>
      </c>
      <c r="E232" s="54">
        <v>0.3</v>
      </c>
      <c r="F232" s="54">
        <v>0.35</v>
      </c>
      <c r="G232" s="54">
        <v>0</v>
      </c>
      <c r="H232" s="54">
        <v>0.35</v>
      </c>
      <c r="I232" s="53">
        <f t="shared" si="8"/>
        <v>9.1999999999999993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>
        <v>95</v>
      </c>
      <c r="B233" s="50">
        <v>463</v>
      </c>
      <c r="C233" s="50">
        <v>16</v>
      </c>
      <c r="D233" s="50">
        <v>30</v>
      </c>
      <c r="E233" s="54">
        <v>0.3</v>
      </c>
      <c r="F233" s="54">
        <v>0.35</v>
      </c>
      <c r="G233" s="54">
        <v>0</v>
      </c>
      <c r="H233" s="54">
        <v>0.35</v>
      </c>
      <c r="I233" s="53">
        <f t="shared" si="8"/>
        <v>8.6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>
        <v>100</v>
      </c>
      <c r="B234" s="50">
        <v>474</v>
      </c>
      <c r="C234" s="50">
        <v>17</v>
      </c>
      <c r="D234" s="50">
        <v>29</v>
      </c>
      <c r="E234" s="54">
        <v>0.3</v>
      </c>
      <c r="F234" s="54">
        <v>0.35</v>
      </c>
      <c r="G234" s="54">
        <v>0</v>
      </c>
      <c r="H234" s="54">
        <v>0.35</v>
      </c>
      <c r="I234" s="53">
        <f t="shared" si="8"/>
        <v>8.1999999999999993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>
        <v>105</v>
      </c>
      <c r="B235" s="50">
        <v>484</v>
      </c>
      <c r="C235" s="50">
        <v>18</v>
      </c>
      <c r="D235" s="50">
        <v>28</v>
      </c>
      <c r="E235" s="54">
        <v>0.7</v>
      </c>
      <c r="F235" s="54">
        <v>0.1</v>
      </c>
      <c r="G235" s="54">
        <v>0</v>
      </c>
      <c r="H235" s="54">
        <v>0.2</v>
      </c>
      <c r="I235" s="53">
        <f t="shared" si="8"/>
        <v>7.8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>
        <v>110</v>
      </c>
      <c r="B236" s="50">
        <v>493</v>
      </c>
      <c r="C236" s="50">
        <v>19</v>
      </c>
      <c r="D236" s="50">
        <v>27</v>
      </c>
      <c r="E236" s="54">
        <v>0.7</v>
      </c>
      <c r="F236" s="54">
        <v>0.1</v>
      </c>
      <c r="G236" s="54">
        <v>0</v>
      </c>
      <c r="H236" s="54">
        <v>0.2</v>
      </c>
      <c r="I236" s="53">
        <f t="shared" si="8"/>
        <v>7.4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>
        <v>115</v>
      </c>
      <c r="B237" s="50">
        <v>501</v>
      </c>
      <c r="C237" s="50" t="s">
        <v>324</v>
      </c>
      <c r="D237" s="50">
        <v>501</v>
      </c>
      <c r="E237" s="54">
        <v>0.7</v>
      </c>
      <c r="F237" s="54">
        <v>0.1</v>
      </c>
      <c r="G237" s="54">
        <v>0</v>
      </c>
      <c r="H237" s="54">
        <v>0.2</v>
      </c>
      <c r="I237" s="53">
        <f t="shared" si="8"/>
        <v>7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Aulne à feuilles en cœur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15</v>
      </c>
      <c r="B244" s="60">
        <v>37</v>
      </c>
      <c r="C244" s="60">
        <v>1</v>
      </c>
      <c r="D244" s="60">
        <v>15</v>
      </c>
      <c r="E244" s="51">
        <v>0</v>
      </c>
      <c r="F244" s="51">
        <v>0</v>
      </c>
      <c r="G244" s="51">
        <v>0</v>
      </c>
      <c r="H244" s="63">
        <v>1</v>
      </c>
      <c r="I244" s="53">
        <f>IFERROR(B244/A244,"")</f>
        <v>2.4666666666666668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20</v>
      </c>
      <c r="B245" s="60">
        <v>80</v>
      </c>
      <c r="C245" s="60">
        <v>2</v>
      </c>
      <c r="D245" s="60">
        <v>28</v>
      </c>
      <c r="E245" s="63">
        <v>0</v>
      </c>
      <c r="F245" s="63">
        <v>0</v>
      </c>
      <c r="G245" s="63">
        <v>0</v>
      </c>
      <c r="H245" s="63">
        <v>1</v>
      </c>
      <c r="I245" s="53">
        <f>IF(A245&lt;&gt;0,(B245-(B244-D244))/(A245-A244),"")</f>
        <v>11.6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25</v>
      </c>
      <c r="B246" s="60">
        <v>115</v>
      </c>
      <c r="C246" s="60">
        <v>3</v>
      </c>
      <c r="D246" s="60">
        <v>28</v>
      </c>
      <c r="E246" s="63">
        <v>0</v>
      </c>
      <c r="F246" s="63">
        <v>0</v>
      </c>
      <c r="G246" s="63">
        <v>0</v>
      </c>
      <c r="H246" s="63">
        <v>1</v>
      </c>
      <c r="I246" s="53">
        <f>IF(A246&lt;&gt;0,(B246-(B245-D245))/(A246-A245),"")</f>
        <v>12.6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30</v>
      </c>
      <c r="B247" s="60">
        <v>146</v>
      </c>
      <c r="C247" s="60">
        <v>4</v>
      </c>
      <c r="D247" s="60">
        <v>28</v>
      </c>
      <c r="E247" s="63">
        <v>0</v>
      </c>
      <c r="F247" s="63">
        <v>0</v>
      </c>
      <c r="G247" s="63">
        <v>0</v>
      </c>
      <c r="H247" s="63">
        <v>1</v>
      </c>
      <c r="I247" s="53">
        <f t="shared" ref="I247:I263" si="9">IF(A247&lt;&gt;0,(B247-(B246-D246))/(A247-A246),"")</f>
        <v>11.8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35</v>
      </c>
      <c r="B248" s="60">
        <v>172</v>
      </c>
      <c r="C248" s="60">
        <v>5</v>
      </c>
      <c r="D248" s="60">
        <v>28</v>
      </c>
      <c r="E248" s="63">
        <v>0</v>
      </c>
      <c r="F248" s="63">
        <v>0.3</v>
      </c>
      <c r="G248" s="63">
        <v>0.4</v>
      </c>
      <c r="H248" s="63">
        <v>0.3</v>
      </c>
      <c r="I248" s="53">
        <f t="shared" si="9"/>
        <v>10.8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40</v>
      </c>
      <c r="B249" s="60">
        <v>192</v>
      </c>
      <c r="C249" s="60">
        <v>6</v>
      </c>
      <c r="D249" s="60">
        <v>28</v>
      </c>
      <c r="E249" s="63">
        <v>0.1</v>
      </c>
      <c r="F249" s="63">
        <v>0.4</v>
      </c>
      <c r="G249" s="63">
        <v>0.3</v>
      </c>
      <c r="H249" s="63">
        <v>0.2</v>
      </c>
      <c r="I249" s="53">
        <f t="shared" si="9"/>
        <v>9.6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45</v>
      </c>
      <c r="B250" s="60">
        <v>205</v>
      </c>
      <c r="C250" s="60">
        <v>7</v>
      </c>
      <c r="D250" s="60">
        <v>22</v>
      </c>
      <c r="E250" s="63">
        <v>0.3</v>
      </c>
      <c r="F250" s="63">
        <v>0</v>
      </c>
      <c r="G250" s="63">
        <v>0.4</v>
      </c>
      <c r="H250" s="63">
        <v>0.3</v>
      </c>
      <c r="I250" s="53">
        <f t="shared" si="9"/>
        <v>8.1999999999999993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50</v>
      </c>
      <c r="B251" s="55">
        <v>219</v>
      </c>
      <c r="C251" s="55">
        <v>8</v>
      </c>
      <c r="D251" s="55">
        <v>17</v>
      </c>
      <c r="E251" s="63">
        <v>0.3</v>
      </c>
      <c r="F251" s="63">
        <v>0</v>
      </c>
      <c r="G251" s="63">
        <v>0.4</v>
      </c>
      <c r="H251" s="63">
        <v>0.3</v>
      </c>
      <c r="I251" s="53">
        <f t="shared" si="9"/>
        <v>7.2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55</v>
      </c>
      <c r="B252" s="55">
        <v>232</v>
      </c>
      <c r="C252" s="55">
        <v>9</v>
      </c>
      <c r="D252" s="55">
        <v>13</v>
      </c>
      <c r="E252" s="63">
        <v>0.5</v>
      </c>
      <c r="F252" s="63">
        <v>0</v>
      </c>
      <c r="G252" s="63">
        <v>0.3</v>
      </c>
      <c r="H252" s="63">
        <v>0.2</v>
      </c>
      <c r="I252" s="53">
        <f t="shared" si="9"/>
        <v>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60</v>
      </c>
      <c r="B253" s="55">
        <v>245</v>
      </c>
      <c r="C253" s="55">
        <v>10</v>
      </c>
      <c r="D253" s="55">
        <v>12</v>
      </c>
      <c r="E253" s="63">
        <v>0.5</v>
      </c>
      <c r="F253" s="63">
        <v>0</v>
      </c>
      <c r="G253" s="63">
        <v>0.3</v>
      </c>
      <c r="H253" s="63">
        <v>0.2</v>
      </c>
      <c r="I253" s="53">
        <f t="shared" si="9"/>
        <v>5.2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65</v>
      </c>
      <c r="B254" s="55">
        <v>255</v>
      </c>
      <c r="C254" s="55">
        <v>11</v>
      </c>
      <c r="D254" s="55">
        <v>11</v>
      </c>
      <c r="E254" s="63">
        <v>0.5</v>
      </c>
      <c r="F254" s="63">
        <v>0</v>
      </c>
      <c r="G254" s="63">
        <v>0.3</v>
      </c>
      <c r="H254" s="63">
        <v>0.2</v>
      </c>
      <c r="I254" s="53">
        <f t="shared" si="9"/>
        <v>4.4000000000000004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>
        <v>70</v>
      </c>
      <c r="B255" s="55">
        <v>263</v>
      </c>
      <c r="C255" s="55">
        <v>12</v>
      </c>
      <c r="D255" s="55">
        <v>10</v>
      </c>
      <c r="E255" s="63">
        <v>0.5</v>
      </c>
      <c r="F255" s="63">
        <v>0</v>
      </c>
      <c r="G255" s="63">
        <v>0.3</v>
      </c>
      <c r="H255" s="63">
        <v>0.2</v>
      </c>
      <c r="I255" s="53">
        <f t="shared" si="9"/>
        <v>3.8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>
        <v>75</v>
      </c>
      <c r="B256" s="55">
        <v>270</v>
      </c>
      <c r="C256" s="55">
        <v>13</v>
      </c>
      <c r="D256" s="55">
        <v>9</v>
      </c>
      <c r="E256" s="64">
        <v>0.7</v>
      </c>
      <c r="F256" s="64">
        <v>0</v>
      </c>
      <c r="G256" s="64">
        <v>0.2</v>
      </c>
      <c r="H256" s="64">
        <v>0.1</v>
      </c>
      <c r="I256" s="53">
        <f t="shared" si="9"/>
        <v>3.4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>
        <v>80</v>
      </c>
      <c r="B257" s="60">
        <v>275</v>
      </c>
      <c r="C257" s="88" t="s">
        <v>324</v>
      </c>
      <c r="D257" s="60">
        <v>275</v>
      </c>
      <c r="E257" s="54">
        <v>0.7</v>
      </c>
      <c r="F257" s="54">
        <v>0</v>
      </c>
      <c r="G257" s="54">
        <v>0.2</v>
      </c>
      <c r="H257" s="54">
        <v>0.1</v>
      </c>
      <c r="I257" s="53">
        <f t="shared" si="9"/>
        <v>2.8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1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plane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Peuplier Trichobel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Peuplier Koster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Merisier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Châtaignier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Aulne à feuilles en cœur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135.66666666666666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117.33333333333333</v>
      </c>
      <c r="S3" s="59">
        <f ca="1">AVERAGE(OFFSET($R$3,0,0,'Données projet'!$E$9+1,1))-AVERAGE(OFFSET($H$3,0,0,'Données projet'!$E$9+1,1))</f>
        <v>600.52384738314299</v>
      </c>
      <c r="T3" s="59">
        <f>IF('Données projet'!E9&gt;30,$R$33-$H$33,LOOKUP('Données projet'!$E$9,$A$3:$A$203,R3:R203)-LOOKUP('Données projet'!$E$9,$A$3:$A$203,$H$3:$H$203))</f>
        <v>314.84650287986256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117.33333333333333</v>
      </c>
      <c r="AN3" s="59">
        <f ca="1">AVERAGE(OFFSET($AM$3,0,0,'Données projet'!$E$10+1,1))-AVERAGE(OFFSET($H$3,0,0,'Données projet'!$E$10+1,1))</f>
        <v>436.77894860279537</v>
      </c>
      <c r="AO3" s="59">
        <f>IF('Données projet'!E10&gt;30,$AM$33-$H$33,LOOKUP('Données projet'!$E$10,$A$3:$A$203,AM3:AM203)-LOOKUP('Données projet'!$E$10,$A$3:$A$203,$H$3:$H$203))</f>
        <v>398.63561969573072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117.33333333333333</v>
      </c>
      <c r="BI3" s="59">
        <f ca="1">AVERAGE(OFFSET($BH$3,0,0,'Données projet'!$E$11+1,1))-AVERAGE(OFFSET($H$3,0,0,'Données projet'!$E$11+1,1))</f>
        <v>344.97546176735341</v>
      </c>
      <c r="BJ3" s="59">
        <f>IF('Données projet'!E11&gt;30,$BH$33-$H$33,LOOKUP('Données projet'!$E$11,$A$3:$A$203,BH3:BH203)-LOOKUP('Données projet'!$E$11,$A$3:$A$203,$H$3:$H$203))</f>
        <v>331.15461126257492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117.33333333333333</v>
      </c>
      <c r="CD3" s="59">
        <f ca="1">AVERAGE(OFFSET($CC$3,0,0,'Données projet'!$E$12+1,1))-AVERAGE(OFFSET($H$3,0,0,'Données projet'!$E$12+1,1))</f>
        <v>344.97546176735341</v>
      </c>
      <c r="CE3" s="59">
        <f>IF('Données projet'!E12&gt;30,$CC$33-$H$33,LOOKUP('Données projet'!$E$12,$A$3:$A$203,CC3:CC203)-LOOKUP('Données projet'!$E$12,$A$3:$A$203,$H$3:$H$203))</f>
        <v>331.15461126257492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117.33333333333333</v>
      </c>
      <c r="CY3" s="59">
        <f ca="1">AVERAGE(OFFSET($CX$3,0,0,'Données projet'!$E$13+1,1))-AVERAGE(OFFSET($H$3,0,0,'Données projet'!$E$13+1,1))</f>
        <v>227.19465047672969</v>
      </c>
      <c r="CZ3" s="59">
        <f>IF('Données projet'!E13&gt;30,$CX$33-$H$33,LOOKUP('Données projet'!$E$13,$A$3:$A$203,CX3:CX203)-LOOKUP('Données projet'!$E$13,$A$3:$A$203,$H$3:$H$203))</f>
        <v>529.77979244134417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117.33333333333333</v>
      </c>
      <c r="DT3" s="59">
        <f ca="1">AVERAGE(OFFSET($DS$3,0,0,'Données projet'!$E$14+1,1))-AVERAGE(OFFSET($H$3,0,0,'Données projet'!$E$14+1,1))</f>
        <v>240.09151195692266</v>
      </c>
      <c r="DU3" s="59">
        <f>IF('Données projet'!E14&gt;30,$DS$33-$H$33,LOOKUP('Données projet'!$E$14,$A$3:$A$203,DS3:DS203)-LOOKUP('Données projet'!$E$14,$A$3:$A$203,$H$3:$H$203))</f>
        <v>559.47775134103165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117.33333333333333</v>
      </c>
      <c r="EO3" s="59">
        <f ca="1">AVERAGE(OFFSET($EN$3,0,0,'Données projet'!$E$15+1,1))-AVERAGE(OFFSET($H$3,0,0,'Données projet'!$E$15+1,1))</f>
        <v>328.79469965518484</v>
      </c>
      <c r="EP3" s="59">
        <f>IF('Données projet'!E15&gt;30,$EN$33-$H$33,LOOKUP('Données projet'!$E$15,$A$3:$A$203,EN3:EN203)-LOOKUP('Données projet'!$E$15,$A$3:$A$203,$H$3:$H$203))</f>
        <v>322.06400652269735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117.33333333333333</v>
      </c>
      <c r="FJ3" s="59">
        <f ca="1">AVERAGE(OFFSET($FI$3,0,0,'Données projet'!$E$16+1,1))-AVERAGE(OFFSET($H$3,0,0,'Données projet'!$E$16+1,1))</f>
        <v>525.22234644068908</v>
      </c>
      <c r="FK3" s="59">
        <f>IF('Données projet'!E16&gt;30,$FI$33-$H$33,LOOKUP('Données projet'!$E$16,$A$3:$A$203,FI3:FI203)-LOOKUP('Données projet'!$E$16,$A$3:$A$203,$H$3:$H$203))</f>
        <v>311.5550296132094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117.33333333333333</v>
      </c>
      <c r="GE3" s="59">
        <f ca="1">AVERAGE(OFFSET($GD$3,0,0,'Données projet'!$E$17+1,1))-AVERAGE(OFFSET($H$3,0,0,'Données projet'!$E$17+1,1))</f>
        <v>298.45881427802874</v>
      </c>
      <c r="GF3" s="59">
        <f>IF('Données projet'!E17&gt;30,$GD$33-$H$33,LOOKUP('Données projet'!$E$17,$A$3:$A$203,GD3:GD203)-LOOKUP('Données projet'!$E$17,$A$3:$A$203,$H$3:$H$203))</f>
        <v>287.00279305562356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135.66666666666666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</v>
      </c>
      <c r="N4" s="13">
        <f>IF('Données projet'!$A$36&gt;35,N3+M4-V3,IF(A4&lt;'Données projet'!$A$36,$K$205^A4,IF(A4='Données projet'!$A$36,'Données projet'!$B$36,N3+M4-V3)))</f>
        <v>4</v>
      </c>
      <c r="O4" s="13">
        <f>N4*VLOOKUP('Données projet'!$B$9,Paramètres!$A$1:$I$89,3,0)*VLOOKUP('Données projet'!$B$9,Paramètres!$A$1:$I$89,5,0)</f>
        <v>3.6191999999999998</v>
      </c>
      <c r="P4" s="13">
        <f>EXP(-1.0587+0.8836*LN(O4)+0.284)</f>
        <v>1.4359593421107981</v>
      </c>
      <c r="Q4" s="20">
        <f t="shared" ref="Q4:Q34" si="2">(O4+P4)*0.475*44/12</f>
        <v>8.8044025208429719</v>
      </c>
      <c r="R4" s="59">
        <f t="shared" si="0"/>
        <v>129.777079907065</v>
      </c>
      <c r="S4" s="59">
        <f ca="1">AVERAGE(OFFSET($R$3,0,0,'Données projet'!$E$9+1,1))-AVERAGE(OFFSET($H$3,0,0,'Données projet'!$E$9+1,1))</f>
        <v>600.52384738314299</v>
      </c>
      <c r="T4" s="59">
        <f>$T$3</f>
        <v>314.84650287986256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3.5</v>
      </c>
      <c r="AI4" s="13">
        <f>IF('Données projet'!$A$62&gt;35,AI3+AH4-AQ3,IF(A4&lt;'Données projet'!$A$62,$AF$205^A4,IF(A4='Données projet'!$A$62,'Données projet'!$B$62,AI3+AH4-AQ3)))</f>
        <v>1.4269435884576509</v>
      </c>
      <c r="AJ4" s="13">
        <f>AI4*VLOOKUP('Données projet'!$B$10,Paramètres!$A$1:$I$89,3,0)*VLOOKUP('Données projet'!$B$10,Paramètres!$A$1:$I$89,5,0)</f>
        <v>1.246577918876604</v>
      </c>
      <c r="AK4" s="13">
        <f>EXP(-1.0587+0.8836*LN(AJ4)+0.284)</f>
        <v>0.55992486380829476</v>
      </c>
      <c r="AL4" s="20">
        <f t="shared" ref="AL4:AL67" si="4">(AJ4+AK4)*0.475*44/12</f>
        <v>3.1463256798428652</v>
      </c>
      <c r="AM4" s="59">
        <f t="shared" ref="AM4:AM67" si="5">AL4+(AD4+AE4)*44/12</f>
        <v>124.11900306606489</v>
      </c>
      <c r="AN4" s="59">
        <f ca="1">AVERAGE(OFFSET($AM$3,0,0,'Données projet'!$E$10+1,1))-AVERAGE(OFFSET($H$3,0,0,'Données projet'!$E$10+1,1))</f>
        <v>436.77894860279537</v>
      </c>
      <c r="AO4" s="59">
        <f>$AO$3</f>
        <v>398.63561969573072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1.0121422546683387</v>
      </c>
      <c r="BF4" s="13">
        <f>EXP(-1.0587+0.8836*LN(BE4)+0.284)</f>
        <v>0.46578286063395047</v>
      </c>
      <c r="BG4" s="20">
        <f t="shared" ref="BG4:BG67" si="7">(BE4+BF4)*0.475*44/12</f>
        <v>2.574052909151487</v>
      </c>
      <c r="BH4" s="59">
        <f t="shared" ref="BH4:BH67" si="8">BG4+(AY4+AZ4)*44/12</f>
        <v>123.54673029537352</v>
      </c>
      <c r="BI4" s="59">
        <f ca="1">AVERAGE(OFFSET($BH$3,0,0,'Données projet'!$E$11+1,1))-AVERAGE(OFFSET($H$3,0,0,'Données projet'!$E$11+1,1))</f>
        <v>344.97546176735341</v>
      </c>
      <c r="BJ4" s="59">
        <f>$BJ$3</f>
        <v>331.15461126257492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123.54673029537352</v>
      </c>
      <c r="CD4" s="59">
        <f ca="1">AVERAGE(OFFSET($CC$3,0,0,'Données projet'!$E$12+1,1))-AVERAGE(OFFSET($H$3,0,0,'Données projet'!$E$12+1,1))</f>
        <v>344.97546176735341</v>
      </c>
      <c r="CE4" s="59">
        <f>$CE$3</f>
        <v>331.15461126257492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12.5</v>
      </c>
      <c r="CT4" s="12">
        <f>IF('Données projet'!$A$140&gt;35,CT3+CS4-DB3,IF(A4&lt;'Données projet'!$A$140,$CQ$205^A4,IF(A4='Données projet'!$A$140,'Données projet'!$B$140,CT3+CS4-DB3)))</f>
        <v>1.6206565966927624</v>
      </c>
      <c r="CU4" s="17">
        <f>CT4*VLOOKUP('Données projet'!$B$13,Paramètres!$A$1:$I$89,3,0)*VLOOKUP('Données projet'!$B$13,Paramètres!$A$1:$I$89,5,0)</f>
        <v>0.77363663299725705</v>
      </c>
      <c r="CV4" s="13">
        <f>EXP(-1.0587+0.8836*LN(CU4)+0.284)</f>
        <v>0.36733590578081077</v>
      </c>
      <c r="CW4" s="20">
        <f t="shared" ref="CW4:CW67" si="13">(CU4+CV4)*0.475*44/12</f>
        <v>1.9871938383718015</v>
      </c>
      <c r="CX4" s="59">
        <f t="shared" ref="CX4:CX67" si="14">CW4+(CO4+CP4)*44/12</f>
        <v>122.95987122459383</v>
      </c>
      <c r="CY4" s="59">
        <f ca="1">AVERAGE(OFFSET($CX$3,0,0,'Données projet'!$E$13+1,1))-AVERAGE(OFFSET($H$3,0,0,'Données projet'!$E$13+1,1))</f>
        <v>227.19465047672969</v>
      </c>
      <c r="CZ4" s="59">
        <f>$CZ$3</f>
        <v>529.77979244134417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12.5</v>
      </c>
      <c r="DO4" s="12">
        <f>IF('Données projet'!$A$166&gt;35,DO3+DN4-DW3,IF(A4&lt;'Données projet'!$A$166,$DL$205^A4,IF(A4='Données projet'!$A$166,'Données projet'!$B$166,DO3+DN4-DW3)))</f>
        <v>1.6206565966927624</v>
      </c>
      <c r="DP4" s="17">
        <f>DO4*VLOOKUP('Données projet'!$B$14,Paramètres!$A$1:$I$89,3,0)*VLOOKUP('Données projet'!$B$14,Paramètres!$A$1:$I$89,5,0)</f>
        <v>0.82420111881407132</v>
      </c>
      <c r="DQ4" s="13">
        <f>EXP(-1.0587+0.8836*LN(DP4)+0.284)</f>
        <v>0.38847135475067074</v>
      </c>
      <c r="DR4" s="20">
        <f t="shared" ref="DR4:DR67" si="16">(DP4+DQ4)*0.475*44/12</f>
        <v>2.1120712247919253</v>
      </c>
      <c r="DS4" s="59">
        <f t="shared" ref="DS4:DS67" si="17">DR4+(DJ4+DK4)*44/12</f>
        <v>123.08474861101395</v>
      </c>
      <c r="DT4" s="59">
        <f ca="1">AVERAGE(OFFSET($DS$3,0,0,'Données projet'!$E$14+1,1))-AVERAGE(OFFSET($H$3,0,0,'Données projet'!$E$14+1,1))</f>
        <v>240.09151195692266</v>
      </c>
      <c r="DU4" s="59">
        <f>$DU$3</f>
        <v>559.47775134103165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2.6666666666666665</v>
      </c>
      <c r="EJ4" s="12">
        <f>IF('Données projet'!$A$192&gt;35,EJ3+EI4-ER3,IF(A4&lt;'Données projet'!$A$192,$EG$205^A4,IF(A4='Données projet'!$A$192,'Données projet'!$B$192,EJ3+EI4-ER3)))</f>
        <v>1.2788040393997409</v>
      </c>
      <c r="EK4" s="17">
        <f>EJ4*VLOOKUP('Données projet'!$B$15,Paramètres!$A$1:$I$89,3,0)*VLOOKUP('Données projet'!$B$15,Paramètres!$A$1:$I$89,5,0)</f>
        <v>0.99746715073179792</v>
      </c>
      <c r="EL4" s="13">
        <f>EXP(-1.0587+0.8836*LN(EK4)+0.284)</f>
        <v>0.45981048445793882</v>
      </c>
      <c r="EM4" s="20">
        <f t="shared" ref="EM4:EM67" si="19">(EK4+EL4)*0.475*44/12</f>
        <v>2.5380918812887914</v>
      </c>
      <c r="EN4" s="59">
        <f t="shared" ref="EN4:EN67" si="20">EM4+(EE4+EF4)*44/12</f>
        <v>123.51076926751082</v>
      </c>
      <c r="EO4" s="59">
        <f ca="1">AVERAGE(OFFSET($EN$3,0,0,'Données projet'!$E$15+1,1))-AVERAGE(OFFSET($H$3,0,0,'Données projet'!$E$15+1,1))</f>
        <v>328.79469965518484</v>
      </c>
      <c r="EP4" s="59">
        <f>$EP$3</f>
        <v>322.06400652269735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2.8</v>
      </c>
      <c r="FE4" s="12">
        <f>IF('Données projet'!$A$218&gt;35,FE3+FD4-FM3,IF(A4&lt;'Données projet'!$A$218,$FB$205^A4,IF(A4='Données projet'!$A$218,'Données projet'!$B$218,FE3+FD4-FM3)))</f>
        <v>1.2229519710813024</v>
      </c>
      <c r="FF4" s="17">
        <f>FE4*VLOOKUP('Données projet'!$B$16,Paramètres!$A$1:$I$89,3,0)*VLOOKUP('Données projet'!$B$16,Paramètres!$A$1:$I$89,5,0)</f>
        <v>0.89666838519681091</v>
      </c>
      <c r="FG4" s="13">
        <f>EXP(-1.0587+0.8836*LN(FF4)+0.284)</f>
        <v>0.41850203514861517</v>
      </c>
      <c r="FH4" s="20">
        <f t="shared" ref="FH4:FH67" si="22">(FF4+FG4)*0.475*44/12</f>
        <v>2.2905884821016174</v>
      </c>
      <c r="FI4" s="59">
        <f t="shared" ref="FI4:FI67" si="23">FH4+(EZ4+FA4)*44/12</f>
        <v>123.26326586832364</v>
      </c>
      <c r="FJ4" s="59">
        <f ca="1">AVERAGE(OFFSET($FI$3,0,0,'Données projet'!$E$16+1,1))-AVERAGE(OFFSET($H$3,0,0,'Données projet'!$E$16+1,1))</f>
        <v>525.22234644068908</v>
      </c>
      <c r="FK4" s="59">
        <f>$FK$3</f>
        <v>311.5550296132094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2.4666666666666668</v>
      </c>
      <c r="FZ4" s="12">
        <f>IF('Données projet'!$A$244&gt;35,FZ3+FY4-GH3,IF(A4&lt;'Données projet'!$A$244,$FW$205^A4,IF(A4='Données projet'!$A$244,'Données projet'!$B$244,FZ3+FY4-GH3)))</f>
        <v>1.2721747796233518</v>
      </c>
      <c r="GA4" s="17">
        <f>FZ4*VLOOKUP('Données projet'!$B$17,Paramètres!$A$1:$I$89,3,0)*VLOOKUP('Données projet'!$B$17,Paramètres!$A$1:$I$89,5,0)</f>
        <v>0.83352891560922016</v>
      </c>
      <c r="GB4" s="13">
        <f>EXP(-1.0587+0.8836*LN(GA4)+0.284)</f>
        <v>0.39235353441936577</v>
      </c>
      <c r="GC4" s="20">
        <f t="shared" ref="GC4:GC67" si="25">(GA4+GB4)*0.475*44/12</f>
        <v>2.1350786004664535</v>
      </c>
      <c r="GD4" s="59">
        <f t="shared" ref="GD4:GD67" si="26">GC4+(FU4+FV4)*44/12</f>
        <v>123.10775598668849</v>
      </c>
      <c r="GE4" s="59">
        <f ca="1">AVERAGE(OFFSET($GD$3,0,0,'Données projet'!$E$17+1,1))-AVERAGE(OFFSET($H$3,0,0,'Données projet'!$E$17+1,1))</f>
        <v>298.45881427802874</v>
      </c>
      <c r="GF4" s="59">
        <f>$GF$3</f>
        <v>287.00279305562356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135.66666666666666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</v>
      </c>
      <c r="N5" s="13">
        <f>IF('Données projet'!$A$36&gt;35,N4+M5-V4,IF(A5&lt;'Données projet'!$A$36,$K$205^A5,IF(A5='Données projet'!$A$36,'Données projet'!$B$36,N4+M5-V4)))</f>
        <v>8</v>
      </c>
      <c r="O5" s="13">
        <f>N5*VLOOKUP('Données projet'!$B$9,Paramètres!$A$1:$I$89,3,0)*VLOOKUP('Données projet'!$B$9,Paramètres!$A$1:$I$89,5,0)</f>
        <v>7.2383999999999995</v>
      </c>
      <c r="P5" s="13">
        <f t="shared" ref="P5:P68" si="33">EXP(-1.0587+0.8836*LN(O5)+0.284)</f>
        <v>2.6493067597344675</v>
      </c>
      <c r="Q5" s="20">
        <f t="shared" si="2"/>
        <v>17.221089273204196</v>
      </c>
      <c r="R5" s="59">
        <f t="shared" si="0"/>
        <v>141.79117905242771</v>
      </c>
      <c r="S5" s="59">
        <f ca="1">AVERAGE(OFFSET($R$3,0,0,'Données projet'!$E$9+1,1))-AVERAGE(OFFSET($H$3,0,0,'Données projet'!$E$9+1,1))</f>
        <v>600.52384738314299</v>
      </c>
      <c r="T5" s="59">
        <f t="shared" ref="T5:T68" si="34">$T$3</f>
        <v>314.84650287986256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3.5</v>
      </c>
      <c r="AI5" s="13">
        <f>IF('Données projet'!$A$62&gt;35,AI4+AH5-AQ4,IF(A5&lt;'Données projet'!$A$62,$AF$205^A5,IF(A5='Données projet'!$A$62,'Données projet'!$B$62,AI4+AH5-AQ4)))</f>
        <v>2.0361680046403978</v>
      </c>
      <c r="AJ5" s="13">
        <f>AI5*VLOOKUP('Données projet'!$B$10,Paramètres!$A$1:$I$89,3,0)*VLOOKUP('Données projet'!$B$10,Paramètres!$A$1:$I$89,5,0)</f>
        <v>1.7787963688538517</v>
      </c>
      <c r="AK5" s="13">
        <f t="shared" ref="AK5:AK68" si="35">EXP(-1.0587+0.8836*LN(AJ5)+0.284)</f>
        <v>0.76659080447596062</v>
      </c>
      <c r="AL5" s="20">
        <f t="shared" si="4"/>
        <v>4.4332159935494238</v>
      </c>
      <c r="AM5" s="59">
        <f t="shared" si="5"/>
        <v>129.00330577277293</v>
      </c>
      <c r="AN5" s="59">
        <f ca="1">AVERAGE(OFFSET($AM$3,0,0,'Données projet'!$E$10+1,1))-AVERAGE(OFFSET($H$3,0,0,'Données projet'!$E$10+1,1))</f>
        <v>436.77894860279537</v>
      </c>
      <c r="AO5" s="59">
        <f t="shared" ref="AO5:AO68" si="36">$AO$3</f>
        <v>398.63561969573072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1.2876218497801761</v>
      </c>
      <c r="BF5" s="13">
        <f t="shared" ref="BF5:BF68" si="37">EXP(-1.0587+0.8836*LN(BE5)+0.284)</f>
        <v>0.57618379541883336</v>
      </c>
      <c r="BG5" s="20">
        <f t="shared" si="7"/>
        <v>3.2461281653882743</v>
      </c>
      <c r="BH5" s="59">
        <f t="shared" si="8"/>
        <v>127.81621794461179</v>
      </c>
      <c r="BI5" s="59">
        <f ca="1">AVERAGE(OFFSET($BH$3,0,0,'Données projet'!$E$11+1,1))-AVERAGE(OFFSET($H$3,0,0,'Données projet'!$E$11+1,1))</f>
        <v>344.97546176735341</v>
      </c>
      <c r="BJ5" s="59">
        <f t="shared" ref="BJ5:BJ68" si="38">$BJ$3</f>
        <v>331.15461126257492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127.81621794461179</v>
      </c>
      <c r="CD5" s="59">
        <f ca="1">AVERAGE(OFFSET($CC$3,0,0,'Données projet'!$E$12+1,1))-AVERAGE(OFFSET($H$3,0,0,'Données projet'!$E$12+1,1))</f>
        <v>344.97546176735341</v>
      </c>
      <c r="CE5" s="59">
        <f t="shared" ref="CE5:CE68" si="40">$CE$3</f>
        <v>331.15461126257492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12.5</v>
      </c>
      <c r="CT5" s="12">
        <f>IF('Données projet'!$A$140&gt;35,CT4+CS5-DB4,IF(A5&lt;'Données projet'!$A$140,$CQ$205^A5,IF(A5='Données projet'!$A$140,'Données projet'!$B$140,CT4+CS5-DB4)))</f>
        <v>2.626527804403767</v>
      </c>
      <c r="CU5" s="17">
        <f>CT5*VLOOKUP('Données projet'!$B$13,Paramètres!$A$1:$I$89,3,0)*VLOOKUP('Données projet'!$B$13,Paramètres!$A$1:$I$89,5,0)</f>
        <v>1.2537993127101823</v>
      </c>
      <c r="CV5" s="13">
        <f t="shared" ref="CV5:CV68" si="41">EXP(-1.0587+0.8836*LN(CU5)+0.284)</f>
        <v>0.56278997135415576</v>
      </c>
      <c r="CW5" s="20">
        <f t="shared" si="13"/>
        <v>3.1638930030787216</v>
      </c>
      <c r="CX5" s="59">
        <f t="shared" si="14"/>
        <v>127.73398278230225</v>
      </c>
      <c r="CY5" s="59">
        <f ca="1">AVERAGE(OFFSET($CX$3,0,0,'Données projet'!$E$13+1,1))-AVERAGE(OFFSET($H$3,0,0,'Données projet'!$E$13+1,1))</f>
        <v>227.19465047672969</v>
      </c>
      <c r="CZ5" s="59">
        <f t="shared" ref="CZ5:CZ68" si="42">$CZ$3</f>
        <v>529.77979244134417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12.5</v>
      </c>
      <c r="DO5" s="12">
        <f>IF('Données projet'!$A$166&gt;35,DO4+DN5-DW4,IF(A5&lt;'Données projet'!$A$166,$DL$205^A5,IF(A5='Données projet'!$A$166,'Données projet'!$B$166,DO4+DN5-DW4)))</f>
        <v>2.626527804403767</v>
      </c>
      <c r="DP5" s="17">
        <f>DO5*VLOOKUP('Données projet'!$B$14,Paramètres!$A$1:$I$89,3,0)*VLOOKUP('Données projet'!$B$14,Paramètres!$A$1:$I$89,5,0)</f>
        <v>1.3357469802075799</v>
      </c>
      <c r="DQ5" s="13">
        <f t="shared" ref="DQ5:DQ68" si="43">EXP(-1.0587+0.8836*LN(DP5)+0.284)</f>
        <v>0.5951712837527382</v>
      </c>
      <c r="DR5" s="20">
        <f t="shared" si="16"/>
        <v>3.3630159763975538</v>
      </c>
      <c r="DS5" s="59">
        <f t="shared" si="17"/>
        <v>127.93310575562107</v>
      </c>
      <c r="DT5" s="59">
        <f ca="1">AVERAGE(OFFSET($DS$3,0,0,'Données projet'!$E$14+1,1))-AVERAGE(OFFSET($H$3,0,0,'Données projet'!$E$14+1,1))</f>
        <v>240.09151195692266</v>
      </c>
      <c r="DU5" s="59">
        <f t="shared" ref="DU5:DU68" si="44">$DU$3</f>
        <v>559.47775134103165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2.6666666666666665</v>
      </c>
      <c r="EJ5" s="12">
        <f>IF('Données projet'!$A$192&gt;35,EJ4+EI5-ER4,IF(A5&lt;'Données projet'!$A$192,$EG$205^A5,IF(A5='Données projet'!$A$192,'Données projet'!$B$192,EJ4+EI5-ER4)))</f>
        <v>1.6353397711850939</v>
      </c>
      <c r="EK5" s="17">
        <f>EJ5*VLOOKUP('Données projet'!$B$15,Paramètres!$A$1:$I$89,3,0)*VLOOKUP('Données projet'!$B$15,Paramètres!$A$1:$I$89,5,0)</f>
        <v>1.2755650215243732</v>
      </c>
      <c r="EL5" s="13">
        <f t="shared" ref="EL5:EL68" si="45">EXP(-1.0587+0.8836*LN(EK5)+0.284)</f>
        <v>0.57141400910743001</v>
      </c>
      <c r="EM5" s="20">
        <f t="shared" si="19"/>
        <v>3.2168218116837237</v>
      </c>
      <c r="EN5" s="59">
        <f t="shared" si="20"/>
        <v>127.78691159090725</v>
      </c>
      <c r="EO5" s="59">
        <f ca="1">AVERAGE(OFFSET($EN$3,0,0,'Données projet'!$E$15+1,1))-AVERAGE(OFFSET($H$3,0,0,'Données projet'!$E$15+1,1))</f>
        <v>328.79469965518484</v>
      </c>
      <c r="EP5" s="59">
        <f t="shared" ref="EP5:EP68" si="46">$EP$3</f>
        <v>322.06400652269735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2.8</v>
      </c>
      <c r="FE5" s="12">
        <f>IF('Données projet'!$A$218&gt;35,FE4+FD5-FM4,IF(A5&lt;'Données projet'!$A$218,$FB$205^A5,IF(A5='Données projet'!$A$218,'Données projet'!$B$218,FE4+FD5-FM4)))</f>
        <v>1.4956115235716427</v>
      </c>
      <c r="FF5" s="17">
        <f>FE5*VLOOKUP('Données projet'!$B$16,Paramètres!$A$1:$I$89,3,0)*VLOOKUP('Données projet'!$B$16,Paramètres!$A$1:$I$89,5,0)</f>
        <v>1.0965823690827283</v>
      </c>
      <c r="FG5" s="13">
        <f t="shared" ref="FG5:FG68" si="47">EXP(-1.0587+0.8836*LN(FF5)+0.284)</f>
        <v>0.49995684793813105</v>
      </c>
      <c r="FH5" s="20">
        <f t="shared" si="22"/>
        <v>2.7806391363113296</v>
      </c>
      <c r="FI5" s="59">
        <f t="shared" si="23"/>
        <v>127.35072891553486</v>
      </c>
      <c r="FJ5" s="59">
        <f ca="1">AVERAGE(OFFSET($FI$3,0,0,'Données projet'!$E$16+1,1))-AVERAGE(OFFSET($H$3,0,0,'Données projet'!$E$16+1,1))</f>
        <v>525.22234644068908</v>
      </c>
      <c r="FK5" s="59">
        <f t="shared" ref="FK5:FK68" si="48">$FK$3</f>
        <v>311.5550296132094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2.4666666666666668</v>
      </c>
      <c r="FZ5" s="12">
        <f>IF('Données projet'!$A$244&gt;35,FZ4+FY5-GH4,IF(A5&lt;'Données projet'!$A$244,$FW$205^A5,IF(A5='Données projet'!$A$244,'Données projet'!$B$244,FZ4+FY5-GH4)))</f>
        <v>1.6184286699097237</v>
      </c>
      <c r="GA5" s="17">
        <f>FZ5*VLOOKUP('Données projet'!$B$17,Paramètres!$A$1:$I$89,3,0)*VLOOKUP('Données projet'!$B$17,Paramètres!$A$1:$I$89,5,0)</f>
        <v>1.0603944645248509</v>
      </c>
      <c r="GB5" s="13">
        <f t="shared" ref="GB5:GB68" si="49">EXP(-1.0587+0.8836*LN(GA5)+0.284)</f>
        <v>0.48535007986351425</v>
      </c>
      <c r="GC5" s="20">
        <f t="shared" si="25"/>
        <v>2.6921717481430694</v>
      </c>
      <c r="GD5" s="59">
        <f t="shared" si="26"/>
        <v>127.26226152736659</v>
      </c>
      <c r="GE5" s="59">
        <f ca="1">AVERAGE(OFFSET($GD$3,0,0,'Données projet'!$E$17+1,1))-AVERAGE(OFFSET($H$3,0,0,'Données projet'!$E$17+1,1))</f>
        <v>298.45881427802874</v>
      </c>
      <c r="GF5" s="59">
        <f t="shared" ref="GF5:GF68" si="50">$GF$3</f>
        <v>287.00279305562356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135.66666666666666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</v>
      </c>
      <c r="N6" s="13">
        <f>IF('Données projet'!$A$36&gt;35,N5+M6-V5,IF(A6&lt;'Données projet'!$A$36,$K$205^A6,IF(A6='Données projet'!$A$36,'Données projet'!$B$36,N5+M6-V5)))</f>
        <v>12</v>
      </c>
      <c r="O6" s="13">
        <f>N6*VLOOKUP('Données projet'!$B$9,Paramètres!$A$1:$I$89,3,0)*VLOOKUP('Données projet'!$B$9,Paramètres!$A$1:$I$89,5,0)</f>
        <v>10.8576</v>
      </c>
      <c r="P6" s="13">
        <f t="shared" si="33"/>
        <v>3.7907617001683773</v>
      </c>
      <c r="Q6" s="20">
        <f t="shared" si="2"/>
        <v>25.512563294459923</v>
      </c>
      <c r="R6" s="59">
        <f t="shared" si="0"/>
        <v>153.63886122735164</v>
      </c>
      <c r="S6" s="59">
        <f ca="1">AVERAGE(OFFSET($R$3,0,0,'Données projet'!$E$9+1,1))-AVERAGE(OFFSET($H$3,0,0,'Données projet'!$E$9+1,1))</f>
        <v>600.52384738314299</v>
      </c>
      <c r="T6" s="59">
        <f t="shared" si="34"/>
        <v>314.84650287986256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3.5</v>
      </c>
      <c r="AI6" s="13">
        <f>IF('Données projet'!$A$62&gt;35,AI5+AH6-AQ5,IF(A6&lt;'Données projet'!$A$62,$AF$205^A6,IF(A6='Données projet'!$A$62,'Données projet'!$B$62,AI5+AH6-AQ5)))</f>
        <v>2.905496879244224</v>
      </c>
      <c r="AJ6" s="13">
        <f>AI6*VLOOKUP('Données projet'!$B$10,Paramètres!$A$1:$I$89,3,0)*VLOOKUP('Données projet'!$B$10,Paramètres!$A$1:$I$89,5,0)</f>
        <v>2.5382420737077545</v>
      </c>
      <c r="AK6" s="13">
        <f t="shared" si="35"/>
        <v>1.049536285118966</v>
      </c>
      <c r="AL6" s="20">
        <f t="shared" si="4"/>
        <v>6.2487139749565381</v>
      </c>
      <c r="AM6" s="59">
        <f t="shared" si="5"/>
        <v>134.37501190784823</v>
      </c>
      <c r="AN6" s="59">
        <f ca="1">AVERAGE(OFFSET($AM$3,0,0,'Données projet'!$E$10+1,1))-AVERAGE(OFFSET($H$3,0,0,'Données projet'!$E$10+1,1))</f>
        <v>436.77894860279537</v>
      </c>
      <c r="AO6" s="59">
        <f t="shared" si="36"/>
        <v>398.63561969573072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1.6380800429823084</v>
      </c>
      <c r="BF6" s="13">
        <f t="shared" si="37"/>
        <v>0.71275221602487127</v>
      </c>
      <c r="BG6" s="20">
        <f t="shared" si="7"/>
        <v>4.0943661844375043</v>
      </c>
      <c r="BH6" s="59">
        <f t="shared" si="8"/>
        <v>132.22066411732919</v>
      </c>
      <c r="BI6" s="59">
        <f ca="1">AVERAGE(OFFSET($BH$3,0,0,'Données projet'!$E$11+1,1))-AVERAGE(OFFSET($H$3,0,0,'Données projet'!$E$11+1,1))</f>
        <v>344.97546176735341</v>
      </c>
      <c r="BJ6" s="59">
        <f t="shared" si="38"/>
        <v>331.15461126257492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132.22066411732919</v>
      </c>
      <c r="CD6" s="59">
        <f ca="1">AVERAGE(OFFSET($CC$3,0,0,'Données projet'!$E$12+1,1))-AVERAGE(OFFSET($H$3,0,0,'Données projet'!$E$12+1,1))</f>
        <v>344.97546176735341</v>
      </c>
      <c r="CE6" s="59">
        <f t="shared" si="40"/>
        <v>331.15461126257492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12.5</v>
      </c>
      <c r="CT6" s="12">
        <f>IF('Données projet'!$A$140&gt;35,CT5+CS6-DB5,IF(A6&lt;'Données projet'!$A$140,$CQ$205^A6,IF(A6='Données projet'!$A$140,'Données projet'!$B$140,CT5+CS6-DB5)))</f>
        <v>4.2566996126039225</v>
      </c>
      <c r="CU6" s="17">
        <f>CT6*VLOOKUP('Données projet'!$B$13,Paramètres!$A$1:$I$89,3,0)*VLOOKUP('Données projet'!$B$13,Paramètres!$A$1:$I$89,5,0)</f>
        <v>2.0319781270726085</v>
      </c>
      <c r="CV6" s="13">
        <f t="shared" si="41"/>
        <v>0.86224228797771174</v>
      </c>
      <c r="CW6" s="20">
        <f t="shared" si="13"/>
        <v>5.0407672228793077</v>
      </c>
      <c r="CX6" s="59">
        <f t="shared" si="14"/>
        <v>133.16706515577101</v>
      </c>
      <c r="CY6" s="59">
        <f ca="1">AVERAGE(OFFSET($CX$3,0,0,'Données projet'!$E$13+1,1))-AVERAGE(OFFSET($H$3,0,0,'Données projet'!$E$13+1,1))</f>
        <v>227.19465047672969</v>
      </c>
      <c r="CZ6" s="59">
        <f t="shared" si="42"/>
        <v>529.77979244134417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12.5</v>
      </c>
      <c r="DO6" s="12">
        <f>IF('Données projet'!$A$166&gt;35,DO5+DN6-DW5,IF(A6&lt;'Données projet'!$A$166,$DL$205^A6,IF(A6='Données projet'!$A$166,'Données projet'!$B$166,DO5+DN6-DW5)))</f>
        <v>4.2566996126039225</v>
      </c>
      <c r="DP6" s="17">
        <f>DO6*VLOOKUP('Données projet'!$B$14,Paramètres!$A$1:$I$89,3,0)*VLOOKUP('Données projet'!$B$14,Paramètres!$A$1:$I$89,5,0)</f>
        <v>2.1647871549858508</v>
      </c>
      <c r="DQ6" s="13">
        <f t="shared" si="43"/>
        <v>0.91185322333800944</v>
      </c>
      <c r="DR6" s="20">
        <f t="shared" si="16"/>
        <v>5.3584819922473903</v>
      </c>
      <c r="DS6" s="59">
        <f t="shared" si="17"/>
        <v>133.48477992513909</v>
      </c>
      <c r="DT6" s="59">
        <f ca="1">AVERAGE(OFFSET($DS$3,0,0,'Données projet'!$E$14+1,1))-AVERAGE(OFFSET($H$3,0,0,'Données projet'!$E$14+1,1))</f>
        <v>240.09151195692266</v>
      </c>
      <c r="DU6" s="59">
        <f t="shared" si="44"/>
        <v>559.47775134103165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2.6666666666666665</v>
      </c>
      <c r="EJ6" s="12">
        <f>IF('Données projet'!$A$192&gt;35,EJ5+EI6-ER5,IF(A6&lt;'Données projet'!$A$192,$EG$205^A6,IF(A6='Données projet'!$A$192,'Données projet'!$B$192,EJ5+EI6-ER5)))</f>
        <v>2.0912791051825459</v>
      </c>
      <c r="EK6" s="17">
        <f>EJ6*VLOOKUP('Données projet'!$B$15,Paramètres!$A$1:$I$89,3,0)*VLOOKUP('Données projet'!$B$15,Paramètres!$A$1:$I$89,5,0)</f>
        <v>1.6311977020423858</v>
      </c>
      <c r="EL6" s="13">
        <f t="shared" si="45"/>
        <v>0.71010553443370616</v>
      </c>
      <c r="EM6" s="20">
        <f t="shared" si="19"/>
        <v>4.0777698035291934</v>
      </c>
      <c r="EN6" s="59">
        <f t="shared" si="20"/>
        <v>132.20406773642088</v>
      </c>
      <c r="EO6" s="59">
        <f ca="1">AVERAGE(OFFSET($EN$3,0,0,'Données projet'!$E$15+1,1))-AVERAGE(OFFSET($H$3,0,0,'Données projet'!$E$15+1,1))</f>
        <v>328.79469965518484</v>
      </c>
      <c r="EP6" s="59">
        <f t="shared" si="46"/>
        <v>322.06400652269735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2.8</v>
      </c>
      <c r="FE6" s="12">
        <f>IF('Données projet'!$A$218&gt;35,FE5+FD6-FM5,IF(A6&lt;'Données projet'!$A$218,$FB$205^A6,IF(A6='Données projet'!$A$218,'Données projet'!$B$218,FE5+FD6-FM5)))</f>
        <v>1.8290610607238502</v>
      </c>
      <c r="FF6" s="17">
        <f>FE6*VLOOKUP('Données projet'!$B$16,Paramètres!$A$1:$I$89,3,0)*VLOOKUP('Données projet'!$B$16,Paramètres!$A$1:$I$89,5,0)</f>
        <v>1.341067569722727</v>
      </c>
      <c r="FG6" s="13">
        <f t="shared" si="47"/>
        <v>0.5972655538257271</v>
      </c>
      <c r="FH6" s="20">
        <f t="shared" si="22"/>
        <v>3.3759301901802239</v>
      </c>
      <c r="FI6" s="59">
        <f t="shared" si="23"/>
        <v>131.50222812307192</v>
      </c>
      <c r="FJ6" s="59">
        <f ca="1">AVERAGE(OFFSET($FI$3,0,0,'Données projet'!$E$16+1,1))-AVERAGE(OFFSET($H$3,0,0,'Données projet'!$E$16+1,1))</f>
        <v>525.22234644068908</v>
      </c>
      <c r="FK6" s="59">
        <f t="shared" si="48"/>
        <v>311.5550296132094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2.4666666666666668</v>
      </c>
      <c r="FZ6" s="12">
        <f>IF('Données projet'!$A$244&gt;35,FZ5+FY6-GH5,IF(A6&lt;'Données projet'!$A$244,$FW$205^A6,IF(A6='Données projet'!$A$244,'Données projet'!$B$244,FZ5+FY6-GH5)))</f>
        <v>2.0589241364785171</v>
      </c>
      <c r="GA6" s="17">
        <f>FZ6*VLOOKUP('Données projet'!$B$17,Paramètres!$A$1:$I$89,3,0)*VLOOKUP('Données projet'!$B$17,Paramètres!$A$1:$I$89,5,0)</f>
        <v>1.3490070942207244</v>
      </c>
      <c r="GB6" s="13">
        <f t="shared" si="49"/>
        <v>0.60038888236887178</v>
      </c>
      <c r="GC6" s="20">
        <f t="shared" si="25"/>
        <v>3.3951979925602132</v>
      </c>
      <c r="GD6" s="59">
        <f t="shared" si="26"/>
        <v>131.52149592545192</v>
      </c>
      <c r="GE6" s="59">
        <f ca="1">AVERAGE(OFFSET($GD$3,0,0,'Données projet'!$E$17+1,1))-AVERAGE(OFFSET($H$3,0,0,'Données projet'!$E$17+1,1))</f>
        <v>298.45881427802874</v>
      </c>
      <c r="GF6" s="59">
        <f t="shared" si="50"/>
        <v>287.00279305562356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135.66666666666666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</v>
      </c>
      <c r="N7" s="13">
        <f>IF('Données projet'!$A$36&gt;35,N6+M7-V6,IF(A7&lt;'Données projet'!$A$36,$K$205^A7,IF(A7='Données projet'!$A$36,'Données projet'!$B$36,N6+M7-V6)))</f>
        <v>16</v>
      </c>
      <c r="O7" s="13">
        <f>N7*VLOOKUP('Données projet'!$B$9,Paramètres!$A$1:$I$89,3,0)*VLOOKUP('Données projet'!$B$9,Paramètres!$A$1:$I$89,5,0)</f>
        <v>14.476799999999999</v>
      </c>
      <c r="P7" s="13">
        <f t="shared" si="33"/>
        <v>4.8879004449090973</v>
      </c>
      <c r="Q7" s="20">
        <f t="shared" si="2"/>
        <v>33.726853274883347</v>
      </c>
      <c r="R7" s="59">
        <f t="shared" si="0"/>
        <v>165.36886992354346</v>
      </c>
      <c r="S7" s="59">
        <f ca="1">AVERAGE(OFFSET($R$3,0,0,'Données projet'!$E$9+1,1))-AVERAGE(OFFSET($H$3,0,0,'Données projet'!$E$9+1,1))</f>
        <v>600.52384738314299</v>
      </c>
      <c r="T7" s="59">
        <f t="shared" si="34"/>
        <v>314.84650287986256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3.5</v>
      </c>
      <c r="AI7" s="13">
        <f>IF('Données projet'!$A$62&gt;35,AI6+AH7-AQ6,IF(A7&lt;'Données projet'!$A$62,$AF$205^A7,IF(A7='Données projet'!$A$62,'Données projet'!$B$62,AI6+AH7-AQ6)))</f>
        <v>4.1459801431212595</v>
      </c>
      <c r="AJ7" s="13">
        <f>AI7*VLOOKUP('Données projet'!$B$10,Paramètres!$A$1:$I$89,3,0)*VLOOKUP('Données projet'!$B$10,Paramètres!$A$1:$I$89,5,0)</f>
        <v>3.6219282530307328</v>
      </c>
      <c r="AK7" s="13">
        <f t="shared" si="35"/>
        <v>1.4369157669903438</v>
      </c>
      <c r="AL7" s="20">
        <f t="shared" si="4"/>
        <v>8.8108200015367082</v>
      </c>
      <c r="AM7" s="59">
        <f t="shared" si="5"/>
        <v>140.45283665019682</v>
      </c>
      <c r="AN7" s="59">
        <f ca="1">AVERAGE(OFFSET($AM$3,0,0,'Données projet'!$E$10+1,1))-AVERAGE(OFFSET($H$3,0,0,'Données projet'!$E$10+1,1))</f>
        <v>436.77894860279537</v>
      </c>
      <c r="AO7" s="59">
        <f t="shared" si="36"/>
        <v>398.63561969573072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2.0839241176864287</v>
      </c>
      <c r="BF7" s="13">
        <f t="shared" si="37"/>
        <v>0.88169040068036508</v>
      </c>
      <c r="BG7" s="20">
        <f t="shared" si="7"/>
        <v>5.1651119528221656</v>
      </c>
      <c r="BH7" s="59">
        <f t="shared" si="8"/>
        <v>136.80712860148228</v>
      </c>
      <c r="BI7" s="59">
        <f ca="1">AVERAGE(OFFSET($BH$3,0,0,'Données projet'!$E$11+1,1))-AVERAGE(OFFSET($H$3,0,0,'Données projet'!$E$11+1,1))</f>
        <v>344.97546176735341</v>
      </c>
      <c r="BJ7" s="59">
        <f t="shared" si="38"/>
        <v>331.15461126257492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136.80712860148228</v>
      </c>
      <c r="CD7" s="59">
        <f ca="1">AVERAGE(OFFSET($CC$3,0,0,'Données projet'!$E$12+1,1))-AVERAGE(OFFSET($H$3,0,0,'Données projet'!$E$12+1,1))</f>
        <v>344.97546176735341</v>
      </c>
      <c r="CE7" s="59">
        <f t="shared" si="40"/>
        <v>331.15461126257492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12.5</v>
      </c>
      <c r="CT7" s="12">
        <f>IF('Données projet'!$A$140&gt;35,CT6+CS7-DB6,IF(A7&lt;'Données projet'!$A$140,$CQ$205^A7,IF(A7='Données projet'!$A$140,'Données projet'!$B$140,CT6+CS7-DB6)))</f>
        <v>6.8986483073060727</v>
      </c>
      <c r="CU7" s="17">
        <f>CT7*VLOOKUP('Données projet'!$B$13,Paramètres!$A$1:$I$89,3,0)*VLOOKUP('Données projet'!$B$13,Paramètres!$A$1:$I$89,5,0)</f>
        <v>3.2931387559756269</v>
      </c>
      <c r="CV7" s="13">
        <f t="shared" si="41"/>
        <v>1.3210288047389338</v>
      </c>
      <c r="CW7" s="20">
        <f t="shared" si="13"/>
        <v>8.0363418349111946</v>
      </c>
      <c r="CX7" s="59">
        <f t="shared" si="14"/>
        <v>139.67835848357129</v>
      </c>
      <c r="CY7" s="59">
        <f ca="1">AVERAGE(OFFSET($CX$3,0,0,'Données projet'!$E$13+1,1))-AVERAGE(OFFSET($H$3,0,0,'Données projet'!$E$13+1,1))</f>
        <v>227.19465047672969</v>
      </c>
      <c r="CZ7" s="59">
        <f t="shared" si="42"/>
        <v>529.77979244134417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12.5</v>
      </c>
      <c r="DO7" s="12">
        <f>IF('Données projet'!$A$166&gt;35,DO6+DN7-DW6,IF(A7&lt;'Données projet'!$A$166,$DL$205^A7,IF(A7='Données projet'!$A$166,'Données projet'!$B$166,DO6+DN7-DW6)))</f>
        <v>6.8986483073060727</v>
      </c>
      <c r="DP7" s="17">
        <f>DO7*VLOOKUP('Données projet'!$B$14,Paramètres!$A$1:$I$89,3,0)*VLOOKUP('Données projet'!$B$14,Paramètres!$A$1:$I$89,5,0)</f>
        <v>3.5083765831635771</v>
      </c>
      <c r="DQ7" s="13">
        <f t="shared" si="43"/>
        <v>1.3970369935679754</v>
      </c>
      <c r="DR7" s="20">
        <f t="shared" si="16"/>
        <v>8.5435953128074544</v>
      </c>
      <c r="DS7" s="59">
        <f t="shared" si="17"/>
        <v>140.18561196146754</v>
      </c>
      <c r="DT7" s="59">
        <f ca="1">AVERAGE(OFFSET($DS$3,0,0,'Données projet'!$E$14+1,1))-AVERAGE(OFFSET($H$3,0,0,'Données projet'!$E$14+1,1))</f>
        <v>240.09151195692266</v>
      </c>
      <c r="DU7" s="59">
        <f t="shared" si="44"/>
        <v>559.47775134103165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2.6666666666666665</v>
      </c>
      <c r="EJ7" s="12">
        <f>IF('Données projet'!$A$192&gt;35,EJ6+EI7-ER6,IF(A7&lt;'Données projet'!$A$192,$EG$205^A7,IF(A7='Données projet'!$A$192,'Données projet'!$B$192,EJ6+EI7-ER6)))</f>
        <v>2.6743361672197152</v>
      </c>
      <c r="EK7" s="17">
        <f>EJ7*VLOOKUP('Données projet'!$B$15,Paramètres!$A$1:$I$89,3,0)*VLOOKUP('Données projet'!$B$15,Paramètres!$A$1:$I$89,5,0)</f>
        <v>2.0859822104313781</v>
      </c>
      <c r="EL7" s="13">
        <f t="shared" si="45"/>
        <v>0.88245976121767966</v>
      </c>
      <c r="EM7" s="20">
        <f t="shared" si="19"/>
        <v>5.1700364339554419</v>
      </c>
      <c r="EN7" s="59">
        <f t="shared" si="20"/>
        <v>136.81205308261553</v>
      </c>
      <c r="EO7" s="59">
        <f ca="1">AVERAGE(OFFSET($EN$3,0,0,'Données projet'!$E$15+1,1))-AVERAGE(OFFSET($H$3,0,0,'Données projet'!$E$15+1,1))</f>
        <v>328.79469965518484</v>
      </c>
      <c r="EP7" s="59">
        <f t="shared" si="46"/>
        <v>322.06400652269735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2.8</v>
      </c>
      <c r="FE7" s="12">
        <f>IF('Données projet'!$A$218&gt;35,FE6+FD7-FM6,IF(A7&lt;'Données projet'!$A$218,$FB$205^A7,IF(A7='Données projet'!$A$218,'Données projet'!$B$218,FE6+FD7-FM6)))</f>
        <v>2.2368538294402907</v>
      </c>
      <c r="FF7" s="17">
        <f>FE7*VLOOKUP('Données projet'!$B$16,Paramètres!$A$1:$I$89,3,0)*VLOOKUP('Données projet'!$B$16,Paramètres!$A$1:$I$89,5,0)</f>
        <v>1.640061227745621</v>
      </c>
      <c r="FG7" s="13">
        <f t="shared" si="47"/>
        <v>0.71351386276220552</v>
      </c>
      <c r="FH7" s="20">
        <f t="shared" si="22"/>
        <v>4.099143282634464</v>
      </c>
      <c r="FI7" s="59">
        <f t="shared" si="23"/>
        <v>135.74115993129456</v>
      </c>
      <c r="FJ7" s="59">
        <f ca="1">AVERAGE(OFFSET($FI$3,0,0,'Données projet'!$E$16+1,1))-AVERAGE(OFFSET($H$3,0,0,'Données projet'!$E$16+1,1))</f>
        <v>525.22234644068908</v>
      </c>
      <c r="FK7" s="59">
        <f t="shared" si="48"/>
        <v>311.5550296132094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2.4666666666666668</v>
      </c>
      <c r="FZ7" s="12">
        <f>IF('Données projet'!$A$244&gt;35,FZ6+FY7-GH6,IF(A7&lt;'Données projet'!$A$244,$FW$205^A7,IF(A7='Données projet'!$A$244,'Données projet'!$B$244,FZ6+FY7-GH6)))</f>
        <v>2.6193113595857573</v>
      </c>
      <c r="GA7" s="17">
        <f>FZ7*VLOOKUP('Données projet'!$B$17,Paramètres!$A$1:$I$89,3,0)*VLOOKUP('Données projet'!$B$17,Paramètres!$A$1:$I$89,5,0)</f>
        <v>1.7161728028005883</v>
      </c>
      <c r="GB7" s="13">
        <f t="shared" si="49"/>
        <v>0.74269444886773317</v>
      </c>
      <c r="GC7" s="20">
        <f t="shared" si="25"/>
        <v>4.2825271299889929</v>
      </c>
      <c r="GD7" s="59">
        <f t="shared" si="26"/>
        <v>135.92454377864911</v>
      </c>
      <c r="GE7" s="59">
        <f ca="1">AVERAGE(OFFSET($GD$3,0,0,'Données projet'!$E$17+1,1))-AVERAGE(OFFSET($H$3,0,0,'Données projet'!$E$17+1,1))</f>
        <v>298.45881427802874</v>
      </c>
      <c r="GF7" s="59">
        <f t="shared" si="50"/>
        <v>287.00279305562356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135.66666666666666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</v>
      </c>
      <c r="N8" s="13">
        <f>IF('Données projet'!$A$36&gt;35,N7+M8-V7,IF(A8&lt;'Données projet'!$A$36,$K$205^A8,IF(A8='Données projet'!$A$36,'Données projet'!$B$36,N7+M8-V7)))</f>
        <v>20</v>
      </c>
      <c r="O8" s="13">
        <f>N8*VLOOKUP('Données projet'!$B$9,Paramètres!$A$1:$I$89,3,0)*VLOOKUP('Données projet'!$B$9,Paramètres!$A$1:$I$89,5,0)</f>
        <v>18.096</v>
      </c>
      <c r="P8" s="13">
        <f t="shared" si="33"/>
        <v>5.9532214687411624</v>
      </c>
      <c r="Q8" s="20">
        <f t="shared" si="2"/>
        <v>41.885727391390851</v>
      </c>
      <c r="R8" s="59">
        <f t="shared" si="0"/>
        <v>177.00367571914634</v>
      </c>
      <c r="S8" s="59">
        <f ca="1">AVERAGE(OFFSET($R$3,0,0,'Données projet'!$E$9+1,1))-AVERAGE(OFFSET($H$3,0,0,'Données projet'!$E$9+1,1))</f>
        <v>600.52384738314299</v>
      </c>
      <c r="T8" s="59">
        <f t="shared" si="34"/>
        <v>314.84650287986256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3.5</v>
      </c>
      <c r="AI8" s="13">
        <f>IF('Données projet'!$A$62&gt;35,AI7+AH8-AQ7,IF(A8&lt;'Données projet'!$A$62,$AF$205^A8,IF(A8='Données projet'!$A$62,'Données projet'!$B$62,AI7+AH8-AQ7)))</f>
        <v>5.9160797830996152</v>
      </c>
      <c r="AJ8" s="13">
        <f>AI8*VLOOKUP('Données projet'!$B$10,Paramètres!$A$1:$I$89,3,0)*VLOOKUP('Données projet'!$B$10,Paramètres!$A$1:$I$89,5,0)</f>
        <v>5.1682872985158239</v>
      </c>
      <c r="AK8" s="13">
        <f t="shared" si="35"/>
        <v>1.967275406006004</v>
      </c>
      <c r="AL8" s="20">
        <f t="shared" si="4"/>
        <v>12.427771710375517</v>
      </c>
      <c r="AM8" s="59">
        <f t="shared" si="5"/>
        <v>147.54572003813101</v>
      </c>
      <c r="AN8" s="59">
        <f ca="1">AVERAGE(OFFSET($AM$3,0,0,'Données projet'!$E$10+1,1))-AVERAGE(OFFSET($H$3,0,0,'Données projet'!$E$10+1,1))</f>
        <v>436.77894860279537</v>
      </c>
      <c r="AO8" s="59">
        <f t="shared" si="36"/>
        <v>398.63561969573072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2.6511157051695204</v>
      </c>
      <c r="BF8" s="13">
        <f t="shared" si="37"/>
        <v>1.0906707059957799</v>
      </c>
      <c r="BG8" s="20">
        <f t="shared" si="7"/>
        <v>6.5169446661128978</v>
      </c>
      <c r="BH8" s="59">
        <f t="shared" si="8"/>
        <v>141.63489299386839</v>
      </c>
      <c r="BI8" s="59">
        <f ca="1">AVERAGE(OFFSET($BH$3,0,0,'Données projet'!$E$11+1,1))-AVERAGE(OFFSET($H$3,0,0,'Données projet'!$E$11+1,1))</f>
        <v>344.97546176735341</v>
      </c>
      <c r="BJ8" s="59">
        <f t="shared" si="38"/>
        <v>331.15461126257492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141.63489299386839</v>
      </c>
      <c r="CD8" s="59">
        <f ca="1">AVERAGE(OFFSET($CC$3,0,0,'Données projet'!$E$12+1,1))-AVERAGE(OFFSET($H$3,0,0,'Données projet'!$E$12+1,1))</f>
        <v>344.97546176735341</v>
      </c>
      <c r="CE8" s="59">
        <f t="shared" si="40"/>
        <v>331.15461126257492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12.5</v>
      </c>
      <c r="CT8" s="12">
        <f>IF('Données projet'!$A$140&gt;35,CT7+CS8-DB7,IF(A8&lt;'Données projet'!$A$140,$CQ$205^A8,IF(A8='Données projet'!$A$140,'Données projet'!$B$140,CT7+CS8-DB7)))</f>
        <v>11.180339887498945</v>
      </c>
      <c r="CU8" s="17">
        <f>CT8*VLOOKUP('Données projet'!$B$13,Paramètres!$A$1:$I$89,3,0)*VLOOKUP('Données projet'!$B$13,Paramètres!$A$1:$I$89,5,0)</f>
        <v>5.3370470486964967</v>
      </c>
      <c r="CV8" s="13">
        <f t="shared" si="41"/>
        <v>2.0239289203072421</v>
      </c>
      <c r="CW8" s="20">
        <f t="shared" si="13"/>
        <v>12.820366479348179</v>
      </c>
      <c r="CX8" s="59">
        <f t="shared" si="14"/>
        <v>147.93831480710367</v>
      </c>
      <c r="CY8" s="59">
        <f ca="1">AVERAGE(OFFSET($CX$3,0,0,'Données projet'!$E$13+1,1))-AVERAGE(OFFSET($H$3,0,0,'Données projet'!$E$13+1,1))</f>
        <v>227.19465047672969</v>
      </c>
      <c r="CZ8" s="59">
        <f t="shared" si="42"/>
        <v>529.77979244134417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12.5</v>
      </c>
      <c r="DO8" s="12">
        <f>IF('Données projet'!$A$166&gt;35,DO7+DN8-DW7,IF(A8&lt;'Données projet'!$A$166,$DL$205^A8,IF(A8='Données projet'!$A$166,'Données projet'!$B$166,DO7+DN8-DW7)))</f>
        <v>11.180339887498945</v>
      </c>
      <c r="DP8" s="17">
        <f>DO8*VLOOKUP('Données projet'!$B$14,Paramètres!$A$1:$I$89,3,0)*VLOOKUP('Données projet'!$B$14,Paramètres!$A$1:$I$89,5,0)</f>
        <v>5.685873653186464</v>
      </c>
      <c r="DQ8" s="13">
        <f t="shared" si="43"/>
        <v>2.1403799552880218</v>
      </c>
      <c r="DR8" s="20">
        <f t="shared" si="16"/>
        <v>13.630725034759729</v>
      </c>
      <c r="DS8" s="59">
        <f t="shared" si="17"/>
        <v>148.74867336251523</v>
      </c>
      <c r="DT8" s="59">
        <f ca="1">AVERAGE(OFFSET($DS$3,0,0,'Données projet'!$E$14+1,1))-AVERAGE(OFFSET($H$3,0,0,'Données projet'!$E$14+1,1))</f>
        <v>240.09151195692266</v>
      </c>
      <c r="DU8" s="59">
        <f t="shared" si="44"/>
        <v>559.47775134103165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2.6666666666666665</v>
      </c>
      <c r="EJ8" s="12">
        <f>IF('Données projet'!$A$192&gt;35,EJ7+EI8-ER7,IF(A8&lt;'Données projet'!$A$192,$EG$205^A8,IF(A8='Données projet'!$A$192,'Données projet'!$B$192,EJ7+EI8-ER7)))</f>
        <v>3.4199518933533928</v>
      </c>
      <c r="EK8" s="17">
        <f>EJ8*VLOOKUP('Données projet'!$B$15,Paramètres!$A$1:$I$89,3,0)*VLOOKUP('Données projet'!$B$15,Paramètres!$A$1:$I$89,5,0)</f>
        <v>2.6675624768156463</v>
      </c>
      <c r="EL8" s="13">
        <f t="shared" si="45"/>
        <v>1.0966471776471767</v>
      </c>
      <c r="EM8" s="20">
        <f t="shared" si="19"/>
        <v>6.5559984815227494</v>
      </c>
      <c r="EN8" s="59">
        <f t="shared" si="20"/>
        <v>141.67394680927825</v>
      </c>
      <c r="EO8" s="59">
        <f ca="1">AVERAGE(OFFSET($EN$3,0,0,'Données projet'!$E$15+1,1))-AVERAGE(OFFSET($H$3,0,0,'Données projet'!$E$15+1,1))</f>
        <v>328.79469965518484</v>
      </c>
      <c r="EP8" s="59">
        <f t="shared" si="46"/>
        <v>322.06400652269735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2.8</v>
      </c>
      <c r="FE8" s="12">
        <f>IF('Données projet'!$A$218&gt;35,FE7+FD8-FM7,IF(A8&lt;'Données projet'!$A$218,$FB$205^A8,IF(A8='Données projet'!$A$218,'Données projet'!$B$218,FE7+FD8-FM7)))</f>
        <v>2.735564799734763</v>
      </c>
      <c r="FF8" s="17">
        <f>FE8*VLOOKUP('Données projet'!$B$16,Paramètres!$A$1:$I$89,3,0)*VLOOKUP('Données projet'!$B$16,Paramètres!$A$1:$I$89,5,0)</f>
        <v>2.0057161111655284</v>
      </c>
      <c r="FG8" s="13">
        <f t="shared" si="47"/>
        <v>0.85238806941542067</v>
      </c>
      <c r="FH8" s="20">
        <f t="shared" si="22"/>
        <v>4.9778647811784866</v>
      </c>
      <c r="FI8" s="59">
        <f t="shared" si="23"/>
        <v>140.09581310893398</v>
      </c>
      <c r="FJ8" s="59">
        <f ca="1">AVERAGE(OFFSET($FI$3,0,0,'Données projet'!$E$16+1,1))-AVERAGE(OFFSET($H$3,0,0,'Données projet'!$E$16+1,1))</f>
        <v>525.22234644068908</v>
      </c>
      <c r="FK8" s="59">
        <f t="shared" si="48"/>
        <v>311.5550296132094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2.4666666666666668</v>
      </c>
      <c r="FZ8" s="12">
        <f>IF('Données projet'!$A$244&gt;35,FZ7+FY8-GH7,IF(A8&lt;'Données projet'!$A$244,$FW$205^A8,IF(A8='Données projet'!$A$244,'Données projet'!$B$244,FZ7+FY8-GH7)))</f>
        <v>3.332221851645953</v>
      </c>
      <c r="GA8" s="17">
        <f>FZ8*VLOOKUP('Données projet'!$B$17,Paramètres!$A$1:$I$89,3,0)*VLOOKUP('Données projet'!$B$17,Paramètres!$A$1:$I$89,5,0)</f>
        <v>2.1832717571984284</v>
      </c>
      <c r="GB8" s="13">
        <f t="shared" si="49"/>
        <v>0.91872961105241191</v>
      </c>
      <c r="GC8" s="20">
        <f t="shared" si="25"/>
        <v>5.4026523830368793</v>
      </c>
      <c r="GD8" s="59">
        <f t="shared" si="26"/>
        <v>140.52060071079237</v>
      </c>
      <c r="GE8" s="59">
        <f ca="1">AVERAGE(OFFSET($GD$3,0,0,'Données projet'!$E$17+1,1))-AVERAGE(OFFSET($H$3,0,0,'Données projet'!$E$17+1,1))</f>
        <v>298.45881427802874</v>
      </c>
      <c r="GF8" s="59">
        <f t="shared" si="50"/>
        <v>287.00279305562356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135.66666666666666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</v>
      </c>
      <c r="N9" s="13">
        <f>IF('Données projet'!$A$36&gt;35,N8+M9-V8,IF(A9&lt;'Données projet'!$A$36,$K$205^A9,IF(A9='Données projet'!$A$36,'Données projet'!$B$36,N8+M9-V8)))</f>
        <v>24</v>
      </c>
      <c r="O9" s="13">
        <f>N9*VLOOKUP('Données projet'!$B$9,Paramètres!$A$1:$I$89,3,0)*VLOOKUP('Données projet'!$B$9,Paramètres!$A$1:$I$89,5,0)</f>
        <v>21.715199999999999</v>
      </c>
      <c r="P9" s="13">
        <f t="shared" si="33"/>
        <v>6.9938544235075568</v>
      </c>
      <c r="Q9" s="20">
        <f t="shared" si="2"/>
        <v>50.00160312094232</v>
      </c>
      <c r="R9" s="59">
        <f t="shared" si="0"/>
        <v>188.55638630725599</v>
      </c>
      <c r="S9" s="59">
        <f ca="1">AVERAGE(OFFSET($R$3,0,0,'Données projet'!$E$9+1,1))-AVERAGE(OFFSET($H$3,0,0,'Données projet'!$E$9+1,1))</f>
        <v>600.52384738314299</v>
      </c>
      <c r="T9" s="59">
        <f t="shared" si="34"/>
        <v>314.84650287986256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3.5</v>
      </c>
      <c r="AI9" s="13">
        <f>IF('Données projet'!$A$62&gt;35,AI8+AH9-AQ8,IF(A9&lt;'Données projet'!$A$62,$AF$205^A9,IF(A9='Données projet'!$A$62,'Données projet'!$B$62,AI8+AH9-AQ8)))</f>
        <v>8.4419121152979262</v>
      </c>
      <c r="AJ9" s="13">
        <f>AI9*VLOOKUP('Données projet'!$B$10,Paramètres!$A$1:$I$89,3,0)*VLOOKUP('Données projet'!$B$10,Paramètres!$A$1:$I$89,5,0)</f>
        <v>7.3748544239242699</v>
      </c>
      <c r="AK9" s="13">
        <f t="shared" si="35"/>
        <v>2.6933885840659002</v>
      </c>
      <c r="AL9" s="20">
        <f t="shared" si="4"/>
        <v>17.535523238916209</v>
      </c>
      <c r="AM9" s="59">
        <f t="shared" si="5"/>
        <v>156.09030642522987</v>
      </c>
      <c r="AN9" s="59">
        <f ca="1">AVERAGE(OFFSET($AM$3,0,0,'Données projet'!$E$10+1,1))-AVERAGE(OFFSET($H$3,0,0,'Données projet'!$E$10+1,1))</f>
        <v>436.77894860279537</v>
      </c>
      <c r="AO9" s="59">
        <f t="shared" si="36"/>
        <v>398.63561969573072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3.3726825379800407</v>
      </c>
      <c r="BF9" s="13">
        <f t="shared" si="37"/>
        <v>1.3491840083541735</v>
      </c>
      <c r="BG9" s="20">
        <f t="shared" si="7"/>
        <v>8.2239175681987557</v>
      </c>
      <c r="BH9" s="59">
        <f t="shared" si="8"/>
        <v>146.77870075451241</v>
      </c>
      <c r="BI9" s="59">
        <f ca="1">AVERAGE(OFFSET($BH$3,0,0,'Données projet'!$E$11+1,1))-AVERAGE(OFFSET($H$3,0,0,'Données projet'!$E$11+1,1))</f>
        <v>344.97546176735341</v>
      </c>
      <c r="BJ9" s="59">
        <f t="shared" si="38"/>
        <v>331.15461126257492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146.77870075451241</v>
      </c>
      <c r="CD9" s="59">
        <f ca="1">AVERAGE(OFFSET($CC$3,0,0,'Données projet'!$E$12+1,1))-AVERAGE(OFFSET($H$3,0,0,'Données projet'!$E$12+1,1))</f>
        <v>344.97546176735341</v>
      </c>
      <c r="CE9" s="59">
        <f t="shared" si="40"/>
        <v>331.15461126257492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12.5</v>
      </c>
      <c r="CT9" s="12">
        <f>IF('Données projet'!$A$140&gt;35,CT8+CS9-DB8,IF(A9&lt;'Données projet'!$A$140,$CQ$205^A9,IF(A9='Données projet'!$A$140,'Données projet'!$B$140,CT8+CS9-DB8)))</f>
        <v>18.119491591942381</v>
      </c>
      <c r="CU9" s="17">
        <f>CT9*VLOOKUP('Données projet'!$B$13,Paramètres!$A$1:$I$89,3,0)*VLOOKUP('Données projet'!$B$13,Paramètres!$A$1:$I$89,5,0)</f>
        <v>8.6495205063296154</v>
      </c>
      <c r="CV9" s="13">
        <f t="shared" si="41"/>
        <v>3.1008319120381045</v>
      </c>
      <c r="CW9" s="20">
        <f t="shared" si="13"/>
        <v>20.465197128657113</v>
      </c>
      <c r="CX9" s="59">
        <f t="shared" si="14"/>
        <v>159.01998031497078</v>
      </c>
      <c r="CY9" s="59">
        <f ca="1">AVERAGE(OFFSET($CX$3,0,0,'Données projet'!$E$13+1,1))-AVERAGE(OFFSET($H$3,0,0,'Données projet'!$E$13+1,1))</f>
        <v>227.19465047672969</v>
      </c>
      <c r="CZ9" s="59">
        <f t="shared" si="42"/>
        <v>529.77979244134417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12.5</v>
      </c>
      <c r="DO9" s="12">
        <f>IF('Données projet'!$A$166&gt;35,DO8+DN9-DW8,IF(A9&lt;'Données projet'!$A$166,$DL$205^A9,IF(A9='Données projet'!$A$166,'Données projet'!$B$166,DO8+DN9-DW8)))</f>
        <v>18.119491591942381</v>
      </c>
      <c r="DP9" s="17">
        <f>DO9*VLOOKUP('Données projet'!$B$14,Paramètres!$A$1:$I$89,3,0)*VLOOKUP('Données projet'!$B$14,Paramètres!$A$1:$I$89,5,0)</f>
        <v>9.2148486439982182</v>
      </c>
      <c r="DQ9" s="13">
        <f t="shared" si="43"/>
        <v>3.2792448403950205</v>
      </c>
      <c r="DR9" s="20">
        <f t="shared" si="16"/>
        <v>21.760546151984894</v>
      </c>
      <c r="DS9" s="59">
        <f t="shared" si="17"/>
        <v>160.31532933829857</v>
      </c>
      <c r="DT9" s="59">
        <f ca="1">AVERAGE(OFFSET($DS$3,0,0,'Données projet'!$E$14+1,1))-AVERAGE(OFFSET($H$3,0,0,'Données projet'!$E$14+1,1))</f>
        <v>240.09151195692266</v>
      </c>
      <c r="DU9" s="59">
        <f t="shared" si="44"/>
        <v>559.47775134103165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2.6666666666666665</v>
      </c>
      <c r="EJ9" s="12">
        <f>IF('Données projet'!$A$192&gt;35,EJ8+EI9-ER8,IF(A9&lt;'Données projet'!$A$192,$EG$205^A9,IF(A9='Données projet'!$A$192,'Données projet'!$B$192,EJ8+EI9-ER8)))</f>
        <v>4.3734482957731098</v>
      </c>
      <c r="EK9" s="17">
        <f>EJ9*VLOOKUP('Données projet'!$B$15,Paramètres!$A$1:$I$89,3,0)*VLOOKUP('Données projet'!$B$15,Paramètres!$A$1:$I$89,5,0)</f>
        <v>3.4112896707030256</v>
      </c>
      <c r="EL9" s="13">
        <f t="shared" si="45"/>
        <v>1.3628213830192535</v>
      </c>
      <c r="EM9" s="20">
        <f t="shared" si="19"/>
        <v>8.3149100852329703</v>
      </c>
      <c r="EN9" s="59">
        <f t="shared" si="20"/>
        <v>146.86969327154665</v>
      </c>
      <c r="EO9" s="59">
        <f ca="1">AVERAGE(OFFSET($EN$3,0,0,'Données projet'!$E$15+1,1))-AVERAGE(OFFSET($H$3,0,0,'Données projet'!$E$15+1,1))</f>
        <v>328.79469965518484</v>
      </c>
      <c r="EP9" s="59">
        <f t="shared" si="46"/>
        <v>322.06400652269735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2.8</v>
      </c>
      <c r="FE9" s="12">
        <f>IF('Données projet'!$A$218&gt;35,FE8+FD9-FM8,IF(A9&lt;'Données projet'!$A$218,$FB$205^A9,IF(A9='Données projet'!$A$218,'Données projet'!$B$218,FE8+FD9-FM8)))</f>
        <v>3.3454643638562565</v>
      </c>
      <c r="FF9" s="17">
        <f>FE9*VLOOKUP('Données projet'!$B$16,Paramètres!$A$1:$I$89,3,0)*VLOOKUP('Données projet'!$B$16,Paramètres!$A$1:$I$89,5,0)</f>
        <v>2.4528944715794072</v>
      </c>
      <c r="FG9" s="13">
        <f t="shared" si="47"/>
        <v>1.0182919475019252</v>
      </c>
      <c r="FH9" s="20">
        <f t="shared" si="22"/>
        <v>6.045649679899987</v>
      </c>
      <c r="FI9" s="59">
        <f t="shared" si="23"/>
        <v>144.60043286621365</v>
      </c>
      <c r="FJ9" s="59">
        <f ca="1">AVERAGE(OFFSET($FI$3,0,0,'Données projet'!$E$16+1,1))-AVERAGE(OFFSET($H$3,0,0,'Données projet'!$E$16+1,1))</f>
        <v>525.22234644068908</v>
      </c>
      <c r="FK9" s="59">
        <f t="shared" si="48"/>
        <v>311.5550296132094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2.4666666666666668</v>
      </c>
      <c r="FZ9" s="12">
        <f>IF('Données projet'!$A$244&gt;35,FZ8+FY9-GH8,IF(A9&lt;'Données projet'!$A$244,$FW$205^A9,IF(A9='Données projet'!$A$244,'Données projet'!$B$244,FZ8+FY9-GH8)))</f>
        <v>4.2391685997738069</v>
      </c>
      <c r="GA9" s="17">
        <f>FZ9*VLOOKUP('Données projet'!$B$17,Paramètres!$A$1:$I$89,3,0)*VLOOKUP('Données projet'!$B$17,Paramètres!$A$1:$I$89,5,0)</f>
        <v>2.7775032665717982</v>
      </c>
      <c r="GB9" s="13">
        <f t="shared" si="49"/>
        <v>1.1364890359842124</v>
      </c>
      <c r="GC9" s="20">
        <f t="shared" si="25"/>
        <v>6.8168699269517186</v>
      </c>
      <c r="GD9" s="59">
        <f t="shared" si="26"/>
        <v>145.37165311326538</v>
      </c>
      <c r="GE9" s="59">
        <f ca="1">AVERAGE(OFFSET($GD$3,0,0,'Données projet'!$E$17+1,1))-AVERAGE(OFFSET($H$3,0,0,'Données projet'!$E$17+1,1))</f>
        <v>298.45881427802874</v>
      </c>
      <c r="GF9" s="59">
        <f t="shared" si="50"/>
        <v>287.00279305562356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135.66666666666666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</v>
      </c>
      <c r="N10" s="13">
        <f>IF('Données projet'!$A$36&gt;35,N9+M10-V9,IF(A10&lt;'Données projet'!$A$36,$K$205^A10,IF(A10='Données projet'!$A$36,'Données projet'!$B$36,N9+M10-V9)))</f>
        <v>28</v>
      </c>
      <c r="O10" s="13">
        <f>N10*VLOOKUP('Données projet'!$B$9,Paramètres!$A$1:$I$89,3,0)*VLOOKUP('Données projet'!$B$9,Paramètres!$A$1:$I$89,5,0)</f>
        <v>25.334399999999999</v>
      </c>
      <c r="P10" s="13">
        <f t="shared" si="33"/>
        <v>8.0143955200794572</v>
      </c>
      <c r="Q10" s="20">
        <f t="shared" si="2"/>
        <v>58.082485530805052</v>
      </c>
      <c r="R10" s="59">
        <f t="shared" si="0"/>
        <v>200.03568499756858</v>
      </c>
      <c r="S10" s="59">
        <f ca="1">AVERAGE(OFFSET($R$3,0,0,'Données projet'!$E$9+1,1))-AVERAGE(OFFSET($H$3,0,0,'Données projet'!$E$9+1,1))</f>
        <v>600.52384738314299</v>
      </c>
      <c r="T10" s="59">
        <f t="shared" si="34"/>
        <v>314.84650287986256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3.5</v>
      </c>
      <c r="AI10" s="13">
        <f>IF('Données projet'!$A$62&gt;35,AI9+AH10-AQ9,IF(A10&lt;'Données projet'!$A$62,$AF$205^A10,IF(A10='Données projet'!$A$62,'Données projet'!$B$62,AI9+AH10-AQ9)))</f>
        <v>12.04613236724734</v>
      </c>
      <c r="AJ10" s="13">
        <f>AI10*VLOOKUP('Données projet'!$B$10,Paramètres!$A$1:$I$89,3,0)*VLOOKUP('Données projet'!$B$10,Paramètres!$A$1:$I$89,5,0)</f>
        <v>10.523501236027279</v>
      </c>
      <c r="AK10" s="13">
        <f t="shared" si="35"/>
        <v>3.6875071190486755</v>
      </c>
      <c r="AL10" s="20">
        <f t="shared" si="4"/>
        <v>24.750839551757284</v>
      </c>
      <c r="AM10" s="59">
        <f t="shared" si="5"/>
        <v>166.7040390185208</v>
      </c>
      <c r="AN10" s="59">
        <f ca="1">AVERAGE(OFFSET($AM$3,0,0,'Données projet'!$E$10+1,1))-AVERAGE(OFFSET($H$3,0,0,'Données projet'!$E$10+1,1))</f>
        <v>436.77894860279537</v>
      </c>
      <c r="AO10" s="59">
        <f t="shared" si="36"/>
        <v>398.63561969573072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4.2906416644942853</v>
      </c>
      <c r="BF10" s="13">
        <f t="shared" si="37"/>
        <v>1.6689707336887791</v>
      </c>
      <c r="BG10" s="20">
        <f t="shared" si="7"/>
        <v>10.379658260168837</v>
      </c>
      <c r="BH10" s="59">
        <f t="shared" si="8"/>
        <v>152.33285772693236</v>
      </c>
      <c r="BI10" s="59">
        <f ca="1">AVERAGE(OFFSET($BH$3,0,0,'Données projet'!$E$11+1,1))-AVERAGE(OFFSET($H$3,0,0,'Données projet'!$E$11+1,1))</f>
        <v>344.97546176735341</v>
      </c>
      <c r="BJ10" s="59">
        <f t="shared" si="38"/>
        <v>331.15461126257492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152.33285772693236</v>
      </c>
      <c r="CD10" s="59">
        <f ca="1">AVERAGE(OFFSET($CC$3,0,0,'Données projet'!$E$12+1,1))-AVERAGE(OFFSET($H$3,0,0,'Données projet'!$E$12+1,1))</f>
        <v>344.97546176735341</v>
      </c>
      <c r="CE10" s="59">
        <f t="shared" si="40"/>
        <v>331.15461126257492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12.5</v>
      </c>
      <c r="CT10" s="12">
        <f>IF('Données projet'!$A$140&gt;35,CT9+CS10-DB9,IF(A10&lt;'Données projet'!$A$140,$CQ$205^A10,IF(A10='Données projet'!$A$140,'Données projet'!$B$140,CT9+CS10-DB9)))</f>
        <v>29.365473577200465</v>
      </c>
      <c r="CU10" s="17">
        <f>CT10*VLOOKUP('Données projet'!$B$13,Paramètres!$A$1:$I$89,3,0)*VLOOKUP('Données projet'!$B$13,Paramètres!$A$1:$I$89,5,0)</f>
        <v>14.017902466812416</v>
      </c>
      <c r="CV10" s="13">
        <f t="shared" si="41"/>
        <v>4.7507392429840172</v>
      </c>
      <c r="CW10" s="20">
        <f t="shared" si="13"/>
        <v>32.688717644562125</v>
      </c>
      <c r="CX10" s="59">
        <f t="shared" si="14"/>
        <v>174.64191711132565</v>
      </c>
      <c r="CY10" s="59">
        <f ca="1">AVERAGE(OFFSET($CX$3,0,0,'Données projet'!$E$13+1,1))-AVERAGE(OFFSET($H$3,0,0,'Données projet'!$E$13+1,1))</f>
        <v>227.19465047672969</v>
      </c>
      <c r="CZ10" s="59">
        <f t="shared" si="42"/>
        <v>529.77979244134417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12.5</v>
      </c>
      <c r="DO10" s="12">
        <f>IF('Données projet'!$A$166&gt;35,DO9+DN10-DW9,IF(A10&lt;'Données projet'!$A$166,$DL$205^A10,IF(A10='Données projet'!$A$166,'Données projet'!$B$166,DO9+DN10-DW9)))</f>
        <v>29.365473577200465</v>
      </c>
      <c r="DP10" s="17">
        <f>DO10*VLOOKUP('Données projet'!$B$14,Paramètres!$A$1:$I$89,3,0)*VLOOKUP('Données projet'!$B$14,Paramètres!$A$1:$I$89,5,0)</f>
        <v>14.934105242421069</v>
      </c>
      <c r="DQ10" s="13">
        <f t="shared" si="43"/>
        <v>5.0240830823938047</v>
      </c>
      <c r="DR10" s="20">
        <f t="shared" si="16"/>
        <v>34.760511332385903</v>
      </c>
      <c r="DS10" s="59">
        <f t="shared" si="17"/>
        <v>176.71371079914942</v>
      </c>
      <c r="DT10" s="59">
        <f ca="1">AVERAGE(OFFSET($DS$3,0,0,'Données projet'!$E$14+1,1))-AVERAGE(OFFSET($H$3,0,0,'Données projet'!$E$14+1,1))</f>
        <v>240.09151195692266</v>
      </c>
      <c r="DU10" s="59">
        <f t="shared" si="44"/>
        <v>559.47775134103165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2.6666666666666665</v>
      </c>
      <c r="EJ10" s="12">
        <f>IF('Données projet'!$A$192&gt;35,EJ9+EI10-ER9,IF(A10&lt;'Données projet'!$A$192,$EG$205^A10,IF(A10='Données projet'!$A$192,'Données projet'!$B$192,EJ9+EI10-ER9)))</f>
        <v>5.5927833467405659</v>
      </c>
      <c r="EK10" s="17">
        <f>EJ10*VLOOKUP('Données projet'!$B$15,Paramètres!$A$1:$I$89,3,0)*VLOOKUP('Données projet'!$B$15,Paramètres!$A$1:$I$89,5,0)</f>
        <v>4.3623710104576414</v>
      </c>
      <c r="EL10" s="13">
        <f t="shared" si="45"/>
        <v>1.6936004212396314</v>
      </c>
      <c r="EM10" s="20">
        <f t="shared" si="19"/>
        <v>10.54748357687275</v>
      </c>
      <c r="EN10" s="59">
        <f t="shared" si="20"/>
        <v>152.50068304363629</v>
      </c>
      <c r="EO10" s="59">
        <f ca="1">AVERAGE(OFFSET($EN$3,0,0,'Données projet'!$E$15+1,1))-AVERAGE(OFFSET($H$3,0,0,'Données projet'!$E$15+1,1))</f>
        <v>328.79469965518484</v>
      </c>
      <c r="EP10" s="59">
        <f t="shared" si="46"/>
        <v>322.06400652269735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2.8</v>
      </c>
      <c r="FE10" s="12">
        <f>IF('Données projet'!$A$218&gt;35,FE9+FD10-FM9,IF(A10&lt;'Données projet'!$A$218,$FB$205^A10,IF(A10='Données projet'!$A$218,'Données projet'!$B$218,FE9+FD10-FM9)))</f>
        <v>4.091342237960264</v>
      </c>
      <c r="FF10" s="17">
        <f>FE10*VLOOKUP('Données projet'!$B$16,Paramètres!$A$1:$I$89,3,0)*VLOOKUP('Données projet'!$B$16,Paramètres!$A$1:$I$89,5,0)</f>
        <v>2.9997721288724652</v>
      </c>
      <c r="FG10" s="13">
        <f t="shared" si="47"/>
        <v>1.2164863957544558</v>
      </c>
      <c r="FH10" s="20">
        <f t="shared" si="22"/>
        <v>7.3433169303918868</v>
      </c>
      <c r="FI10" s="59">
        <f t="shared" si="23"/>
        <v>149.29651639715541</v>
      </c>
      <c r="FJ10" s="59">
        <f ca="1">AVERAGE(OFFSET($FI$3,0,0,'Données projet'!$E$16+1,1))-AVERAGE(OFFSET($H$3,0,0,'Données projet'!$E$16+1,1))</f>
        <v>525.22234644068908</v>
      </c>
      <c r="FK10" s="59">
        <f t="shared" si="48"/>
        <v>311.5550296132094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2.4666666666666668</v>
      </c>
      <c r="FZ10" s="12">
        <f>IF('Données projet'!$A$244&gt;35,FZ9+FY10-GH9,IF(A10&lt;'Données projet'!$A$244,$FW$205^A10,IF(A10='Données projet'!$A$244,'Données projet'!$B$244,FZ9+FY10-GH9)))</f>
        <v>5.3929633792034757</v>
      </c>
      <c r="GA10" s="17">
        <f>FZ10*VLOOKUP('Données projet'!$B$17,Paramètres!$A$1:$I$89,3,0)*VLOOKUP('Données projet'!$B$17,Paramètres!$A$1:$I$89,5,0)</f>
        <v>3.5334696060541173</v>
      </c>
      <c r="GB10" s="13">
        <f t="shared" si="49"/>
        <v>1.4058623052682262</v>
      </c>
      <c r="GC10" s="20">
        <f t="shared" si="25"/>
        <v>8.6026697455530794</v>
      </c>
      <c r="GD10" s="59">
        <f t="shared" si="26"/>
        <v>150.55586921231659</v>
      </c>
      <c r="GE10" s="59">
        <f ca="1">AVERAGE(OFFSET($GD$3,0,0,'Données projet'!$E$17+1,1))-AVERAGE(OFFSET($H$3,0,0,'Données projet'!$E$17+1,1))</f>
        <v>298.45881427802874</v>
      </c>
      <c r="GF10" s="59">
        <f t="shared" si="50"/>
        <v>287.00279305562356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135.66666666666666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</v>
      </c>
      <c r="N11" s="13">
        <f>IF('Données projet'!$A$36&gt;35,N10+M11-V10,IF(A11&lt;'Données projet'!$A$36,$K$205^A11,IF(A11='Données projet'!$A$36,'Données projet'!$B$36,N10+M11-V10)))</f>
        <v>32</v>
      </c>
      <c r="O11" s="13">
        <f>N11*VLOOKUP('Données projet'!$B$9,Paramètres!$A$1:$I$89,3,0)*VLOOKUP('Données projet'!$B$9,Paramètres!$A$1:$I$89,5,0)</f>
        <v>28.953599999999998</v>
      </c>
      <c r="P11" s="13">
        <f t="shared" si="33"/>
        <v>9.0180462007869302</v>
      </c>
      <c r="Q11" s="20">
        <f t="shared" si="2"/>
        <v>66.133950466370564</v>
      </c>
      <c r="R11" s="59">
        <f t="shared" si="0"/>
        <v>211.44781411191474</v>
      </c>
      <c r="S11" s="59">
        <f ca="1">AVERAGE(OFFSET($R$3,0,0,'Données projet'!$E$9+1,1))-AVERAGE(OFFSET($H$3,0,0,'Données projet'!$E$9+1,1))</f>
        <v>600.52384738314299</v>
      </c>
      <c r="T11" s="59">
        <f t="shared" si="34"/>
        <v>314.84650287986256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3.5</v>
      </c>
      <c r="AI11" s="13">
        <f>IF('Données projet'!$A$62&gt;35,AI10+AH11-AQ10,IF(A11&lt;'Données projet'!$A$62,$AF$205^A11,IF(A11='Données projet'!$A$62,'Données projet'!$B$62,AI10+AH11-AQ10)))</f>
        <v>17.189151347155779</v>
      </c>
      <c r="AJ11" s="13">
        <f>AI11*VLOOKUP('Données projet'!$B$10,Paramètres!$A$1:$I$89,3,0)*VLOOKUP('Données projet'!$B$10,Paramètres!$A$1:$I$89,5,0)</f>
        <v>15.01644261687529</v>
      </c>
      <c r="AK11" s="13">
        <f t="shared" si="35"/>
        <v>5.0485506745958499</v>
      </c>
      <c r="AL11" s="20">
        <f t="shared" si="4"/>
        <v>34.946529982645565</v>
      </c>
      <c r="AM11" s="59">
        <f t="shared" si="5"/>
        <v>180.26039362818972</v>
      </c>
      <c r="AN11" s="59">
        <f ca="1">AVERAGE(OFFSET($AM$3,0,0,'Données projet'!$E$10+1,1))-AVERAGE(OFFSET($H$3,0,0,'Données projet'!$E$10+1,1))</f>
        <v>436.77894860279537</v>
      </c>
      <c r="AO11" s="59">
        <f t="shared" si="36"/>
        <v>398.63561969573072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5.4584461139707896</v>
      </c>
      <c r="BF11" s="13">
        <f t="shared" si="37"/>
        <v>2.0645540509389519</v>
      </c>
      <c r="BG11" s="20">
        <f t="shared" si="7"/>
        <v>13.102558620551131</v>
      </c>
      <c r="BH11" s="59">
        <f t="shared" si="8"/>
        <v>158.41642226609528</v>
      </c>
      <c r="BI11" s="59">
        <f ca="1">AVERAGE(OFFSET($BH$3,0,0,'Données projet'!$E$11+1,1))-AVERAGE(OFFSET($H$3,0,0,'Données projet'!$E$11+1,1))</f>
        <v>344.97546176735341</v>
      </c>
      <c r="BJ11" s="59">
        <f t="shared" si="38"/>
        <v>331.15461126257492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158.41642226609528</v>
      </c>
      <c r="CD11" s="59">
        <f ca="1">AVERAGE(OFFSET($CC$3,0,0,'Données projet'!$E$12+1,1))-AVERAGE(OFFSET($H$3,0,0,'Données projet'!$E$12+1,1))</f>
        <v>344.97546176735341</v>
      </c>
      <c r="CE11" s="59">
        <f t="shared" si="40"/>
        <v>331.15461126257492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12.5</v>
      </c>
      <c r="CT11" s="12">
        <f>IF('Données projet'!$A$140&gt;35,CT10+CS11-DB10,IF(A11&lt;'Données projet'!$A$140,$CQ$205^A11,IF(A11='Données projet'!$A$140,'Données projet'!$B$140,CT10+CS11-DB10)))</f>
        <v>47.591348467896943</v>
      </c>
      <c r="CU11" s="17">
        <f>CT11*VLOOKUP('Données projet'!$B$13,Paramètres!$A$1:$I$89,3,0)*VLOOKUP('Données projet'!$B$13,Paramètres!$A$1:$I$89,5,0)</f>
        <v>22.718206104635286</v>
      </c>
      <c r="CV11" s="13">
        <f t="shared" si="41"/>
        <v>7.2785381455887839</v>
      </c>
      <c r="CW11" s="20">
        <f t="shared" si="13"/>
        <v>52.244329569140241</v>
      </c>
      <c r="CX11" s="59">
        <f t="shared" si="14"/>
        <v>197.55819321468439</v>
      </c>
      <c r="CY11" s="59">
        <f ca="1">AVERAGE(OFFSET($CX$3,0,0,'Données projet'!$E$13+1,1))-AVERAGE(OFFSET($H$3,0,0,'Données projet'!$E$13+1,1))</f>
        <v>227.19465047672969</v>
      </c>
      <c r="CZ11" s="59">
        <f t="shared" si="42"/>
        <v>529.77979244134417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12.5</v>
      </c>
      <c r="DO11" s="12">
        <f>IF('Données projet'!$A$166&gt;35,DO10+DN11-DW10,IF(A11&lt;'Données projet'!$A$166,$DL$205^A11,IF(A11='Données projet'!$A$166,'Données projet'!$B$166,DO10+DN11-DW10)))</f>
        <v>47.591348467896943</v>
      </c>
      <c r="DP11" s="17">
        <f>DO11*VLOOKUP('Données projet'!$B$14,Paramètres!$A$1:$I$89,3,0)*VLOOKUP('Données projet'!$B$14,Paramètres!$A$1:$I$89,5,0)</f>
        <v>24.20305617683367</v>
      </c>
      <c r="DQ11" s="13">
        <f t="shared" si="43"/>
        <v>7.6973242460770441</v>
      </c>
      <c r="DR11" s="20">
        <f t="shared" si="16"/>
        <v>55.559829236569499</v>
      </c>
      <c r="DS11" s="59">
        <f t="shared" si="17"/>
        <v>200.87369288211366</v>
      </c>
      <c r="DT11" s="59">
        <f ca="1">AVERAGE(OFFSET($DS$3,0,0,'Données projet'!$E$14+1,1))-AVERAGE(OFFSET($H$3,0,0,'Données projet'!$E$14+1,1))</f>
        <v>240.09151195692266</v>
      </c>
      <c r="DU11" s="59">
        <f t="shared" si="44"/>
        <v>559.47775134103165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2.6666666666666665</v>
      </c>
      <c r="EJ11" s="12">
        <f>IF('Données projet'!$A$192&gt;35,EJ10+EI11-ER10,IF(A11&lt;'Données projet'!$A$192,$EG$205^A11,IF(A11='Données projet'!$A$192,'Données projet'!$B$192,EJ10+EI11-ER10)))</f>
        <v>7.1520739352994367</v>
      </c>
      <c r="EK11" s="17">
        <f>EJ11*VLOOKUP('Données projet'!$B$15,Paramètres!$A$1:$I$89,3,0)*VLOOKUP('Données projet'!$B$15,Paramètres!$A$1:$I$89,5,0)</f>
        <v>5.5786176695335605</v>
      </c>
      <c r="EL11" s="13">
        <f t="shared" si="45"/>
        <v>2.1046649418345189</v>
      </c>
      <c r="EM11" s="20">
        <f t="shared" si="19"/>
        <v>13.381717214799407</v>
      </c>
      <c r="EN11" s="59">
        <f t="shared" si="20"/>
        <v>158.69558086034357</v>
      </c>
      <c r="EO11" s="59">
        <f ca="1">AVERAGE(OFFSET($EN$3,0,0,'Données projet'!$E$15+1,1))-AVERAGE(OFFSET($H$3,0,0,'Données projet'!$E$15+1,1))</f>
        <v>328.79469965518484</v>
      </c>
      <c r="EP11" s="59">
        <f t="shared" si="46"/>
        <v>322.06400652269735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2.8</v>
      </c>
      <c r="FE11" s="12">
        <f>IF('Données projet'!$A$218&gt;35,FE10+FD11-FM10,IF(A11&lt;'Données projet'!$A$218,$FB$205^A11,IF(A11='Données projet'!$A$218,'Données projet'!$B$218,FE10+FD11-FM10)))</f>
        <v>5.0035150542816931</v>
      </c>
      <c r="FF11" s="17">
        <f>FE11*VLOOKUP('Données projet'!$B$16,Paramètres!$A$1:$I$89,3,0)*VLOOKUP('Données projet'!$B$16,Paramètres!$A$1:$I$89,5,0)</f>
        <v>3.6685772377993371</v>
      </c>
      <c r="FG11" s="13">
        <f t="shared" si="47"/>
        <v>1.4532562637719066</v>
      </c>
      <c r="FH11" s="20">
        <f t="shared" si="22"/>
        <v>8.9205266819032492</v>
      </c>
      <c r="FI11" s="59">
        <f t="shared" si="23"/>
        <v>154.23439032744741</v>
      </c>
      <c r="FJ11" s="59">
        <f ca="1">AVERAGE(OFFSET($FI$3,0,0,'Données projet'!$E$16+1,1))-AVERAGE(OFFSET($H$3,0,0,'Données projet'!$E$16+1,1))</f>
        <v>525.22234644068908</v>
      </c>
      <c r="FK11" s="59">
        <f t="shared" si="48"/>
        <v>311.5550296132094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2.4666666666666668</v>
      </c>
      <c r="FZ11" s="12">
        <f>IF('Données projet'!$A$244&gt;35,FZ10+FY11-GH10,IF(A11&lt;'Données projet'!$A$244,$FW$205^A11,IF(A11='Données projet'!$A$244,'Données projet'!$B$244,FZ10+FY11-GH10)))</f>
        <v>6.8607919984549888</v>
      </c>
      <c r="GA11" s="17">
        <f>FZ11*VLOOKUP('Données projet'!$B$17,Paramètres!$A$1:$I$89,3,0)*VLOOKUP('Données projet'!$B$17,Paramètres!$A$1:$I$89,5,0)</f>
        <v>4.4951909173877089</v>
      </c>
      <c r="GB11" s="13">
        <f t="shared" si="49"/>
        <v>1.7390830520969034</v>
      </c>
      <c r="GC11" s="20">
        <f t="shared" si="25"/>
        <v>10.858027163519033</v>
      </c>
      <c r="GD11" s="59">
        <f t="shared" si="26"/>
        <v>156.1718908090632</v>
      </c>
      <c r="GE11" s="59">
        <f ca="1">AVERAGE(OFFSET($GD$3,0,0,'Données projet'!$E$17+1,1))-AVERAGE(OFFSET($H$3,0,0,'Données projet'!$E$17+1,1))</f>
        <v>298.45881427802874</v>
      </c>
      <c r="GF11" s="59">
        <f t="shared" si="50"/>
        <v>287.00279305562356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135.66666666666666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</v>
      </c>
      <c r="N12" s="13">
        <f>IF('Données projet'!$A$36&gt;35,N11+M12-V11,IF(A12&lt;'Données projet'!$A$36,$K$205^A12,IF(A12='Données projet'!$A$36,'Données projet'!$B$36,N11+M12-V11)))</f>
        <v>36</v>
      </c>
      <c r="O12" s="13">
        <f>N12*VLOOKUP('Données projet'!$B$9,Paramètres!$A$1:$I$89,3,0)*VLOOKUP('Données projet'!$B$9,Paramètres!$A$1:$I$89,5,0)</f>
        <v>32.572800000000001</v>
      </c>
      <c r="P12" s="13">
        <f t="shared" si="33"/>
        <v>10.007159566468195</v>
      </c>
      <c r="Q12" s="20">
        <f t="shared" si="2"/>
        <v>74.160096244932106</v>
      </c>
      <c r="R12" s="59">
        <f t="shared" si="0"/>
        <v>222.79752688215061</v>
      </c>
      <c r="S12" s="59">
        <f ca="1">AVERAGE(OFFSET($R$3,0,0,'Données projet'!$E$9+1,1))-AVERAGE(OFFSET($H$3,0,0,'Données projet'!$E$9+1,1))</f>
        <v>600.52384738314299</v>
      </c>
      <c r="T12" s="59">
        <f t="shared" si="34"/>
        <v>314.84650287986256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3.5</v>
      </c>
      <c r="AI12" s="13">
        <f>IF('Données projet'!$A$62&gt;35,AI11+AH12-AQ11,IF(A12&lt;'Données projet'!$A$62,$AF$205^A12,IF(A12='Données projet'!$A$62,'Données projet'!$B$62,AI11+AH12-AQ11)))</f>
        <v>24.527949305852133</v>
      </c>
      <c r="AJ12" s="13">
        <f>AI12*VLOOKUP('Données projet'!$B$10,Paramètres!$A$1:$I$89,3,0)*VLOOKUP('Données projet'!$B$10,Paramètres!$A$1:$I$89,5,0)</f>
        <v>21.427616513592426</v>
      </c>
      <c r="AK12" s="13">
        <f t="shared" si="35"/>
        <v>6.9119497511743733</v>
      </c>
      <c r="AL12" s="20">
        <f t="shared" si="4"/>
        <v>49.358077911135503</v>
      </c>
      <c r="AM12" s="59">
        <f t="shared" si="5"/>
        <v>197.995508548354</v>
      </c>
      <c r="AN12" s="59">
        <f ca="1">AVERAGE(OFFSET($AM$3,0,0,'Données projet'!$E$10+1,1))-AVERAGE(OFFSET($H$3,0,0,'Données projet'!$E$10+1,1))</f>
        <v>436.77894860279537</v>
      </c>
      <c r="AO12" s="59">
        <f t="shared" si="36"/>
        <v>398.63561969573072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6.9440974821267289</v>
      </c>
      <c r="BF12" s="13">
        <f t="shared" si="37"/>
        <v>2.5538994442566798</v>
      </c>
      <c r="BG12" s="20">
        <f t="shared" si="7"/>
        <v>16.542344646784436</v>
      </c>
      <c r="BH12" s="59">
        <f t="shared" si="8"/>
        <v>165.17977528400294</v>
      </c>
      <c r="BI12" s="59">
        <f ca="1">AVERAGE(OFFSET($BH$3,0,0,'Données projet'!$E$11+1,1))-AVERAGE(OFFSET($H$3,0,0,'Données projet'!$E$11+1,1))</f>
        <v>344.97546176735341</v>
      </c>
      <c r="BJ12" s="59">
        <f t="shared" si="38"/>
        <v>331.15461126257492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165.17977528400294</v>
      </c>
      <c r="CD12" s="59">
        <f ca="1">AVERAGE(OFFSET($CC$3,0,0,'Données projet'!$E$12+1,1))-AVERAGE(OFFSET($H$3,0,0,'Données projet'!$E$12+1,1))</f>
        <v>344.97546176735341</v>
      </c>
      <c r="CE12" s="59">
        <f t="shared" si="40"/>
        <v>331.15461126257492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12.5</v>
      </c>
      <c r="CT12" s="12">
        <f>IF('Données projet'!$A$140&gt;35,CT11+CS12-DB11,IF(A12&lt;'Données projet'!$A$140,$CQ$205^A12,IF(A12='Données projet'!$A$140,'Données projet'!$B$140,CT11+CS12-DB11)))</f>
        <v>77.129232840001166</v>
      </c>
      <c r="CU12" s="17">
        <f>CT12*VLOOKUP('Données projet'!$B$13,Paramètres!$A$1:$I$89,3,0)*VLOOKUP('Données projet'!$B$13,Paramètres!$A$1:$I$89,5,0)</f>
        <v>36.818410588502957</v>
      </c>
      <c r="CV12" s="13">
        <f t="shared" si="41"/>
        <v>11.151341891691613</v>
      </c>
      <c r="CW12" s="20">
        <f t="shared" si="13"/>
        <v>83.547318903005547</v>
      </c>
      <c r="CX12" s="59">
        <f t="shared" si="14"/>
        <v>232.18474954022406</v>
      </c>
      <c r="CY12" s="59">
        <f ca="1">AVERAGE(OFFSET($CX$3,0,0,'Données projet'!$E$13+1,1))-AVERAGE(OFFSET($H$3,0,0,'Données projet'!$E$13+1,1))</f>
        <v>227.19465047672969</v>
      </c>
      <c r="CZ12" s="59">
        <f t="shared" si="42"/>
        <v>529.77979244134417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12.5</v>
      </c>
      <c r="DO12" s="12">
        <f>IF('Données projet'!$A$166&gt;35,DO11+DN12-DW11,IF(A12&lt;'Données projet'!$A$166,$DL$205^A12,IF(A12='Données projet'!$A$166,'Données projet'!$B$166,DO11+DN12-DW11)))</f>
        <v>77.129232840001166</v>
      </c>
      <c r="DP12" s="17">
        <f>DO12*VLOOKUP('Données projet'!$B$14,Paramètres!$A$1:$I$89,3,0)*VLOOKUP('Données projet'!$B$14,Paramètres!$A$1:$I$89,5,0)</f>
        <v>39.224842653110997</v>
      </c>
      <c r="DQ12" s="13">
        <f t="shared" si="43"/>
        <v>11.792957954233417</v>
      </c>
      <c r="DR12" s="20">
        <f t="shared" si="16"/>
        <v>88.856002724458179</v>
      </c>
      <c r="DS12" s="59">
        <f t="shared" si="17"/>
        <v>237.49343336167669</v>
      </c>
      <c r="DT12" s="59">
        <f ca="1">AVERAGE(OFFSET($DS$3,0,0,'Données projet'!$E$14+1,1))-AVERAGE(OFFSET($H$3,0,0,'Données projet'!$E$14+1,1))</f>
        <v>240.09151195692266</v>
      </c>
      <c r="DU12" s="59">
        <f t="shared" si="44"/>
        <v>559.47775134103165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2.6666666666666665</v>
      </c>
      <c r="EJ12" s="12">
        <f>IF('Données projet'!$A$192&gt;35,EJ11+EI12-ER11,IF(A12&lt;'Données projet'!$A$192,$EG$205^A12,IF(A12='Données projet'!$A$192,'Données projet'!$B$192,EJ11+EI12-ER11)))</f>
        <v>9.1461010385465205</v>
      </c>
      <c r="EK12" s="17">
        <f>EJ12*VLOOKUP('Données projet'!$B$15,Paramètres!$A$1:$I$89,3,0)*VLOOKUP('Données projet'!$B$15,Paramètres!$A$1:$I$89,5,0)</f>
        <v>7.1339588100662858</v>
      </c>
      <c r="EL12" s="13">
        <f t="shared" si="45"/>
        <v>2.6155015444227643</v>
      </c>
      <c r="EM12" s="20">
        <f t="shared" si="19"/>
        <v>16.980310117401761</v>
      </c>
      <c r="EN12" s="59">
        <f t="shared" si="20"/>
        <v>165.61774075462026</v>
      </c>
      <c r="EO12" s="59">
        <f ca="1">AVERAGE(OFFSET($EN$3,0,0,'Données projet'!$E$15+1,1))-AVERAGE(OFFSET($H$3,0,0,'Données projet'!$E$15+1,1))</f>
        <v>328.79469965518484</v>
      </c>
      <c r="EP12" s="59">
        <f t="shared" si="46"/>
        <v>322.06400652269735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2.8</v>
      </c>
      <c r="FE12" s="12">
        <f>IF('Données projet'!$A$218&gt;35,FE11+FD12-FM11,IF(A12&lt;'Données projet'!$A$218,$FB$205^A12,IF(A12='Données projet'!$A$218,'Données projet'!$B$218,FE11+FD12-FM11)))</f>
        <v>6.1190585979687659</v>
      </c>
      <c r="FF12" s="17">
        <f>FE12*VLOOKUP('Données projet'!$B$16,Paramètres!$A$1:$I$89,3,0)*VLOOKUP('Données projet'!$B$16,Paramètres!$A$1:$I$89,5,0)</f>
        <v>4.4864937640306986</v>
      </c>
      <c r="FG12" s="13">
        <f t="shared" si="47"/>
        <v>1.7361096478867435</v>
      </c>
      <c r="FH12" s="20">
        <f t="shared" si="22"/>
        <v>10.837700942422877</v>
      </c>
      <c r="FI12" s="59">
        <f t="shared" si="23"/>
        <v>159.47513157964138</v>
      </c>
      <c r="FJ12" s="59">
        <f ca="1">AVERAGE(OFFSET($FI$3,0,0,'Données projet'!$E$16+1,1))-AVERAGE(OFFSET($H$3,0,0,'Données projet'!$E$16+1,1))</f>
        <v>525.22234644068908</v>
      </c>
      <c r="FK12" s="59">
        <f t="shared" si="48"/>
        <v>311.5550296132094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2.4666666666666668</v>
      </c>
      <c r="FZ12" s="12">
        <f>IF('Données projet'!$A$244&gt;35,FZ11+FY12-GH11,IF(A12&lt;'Données projet'!$A$244,$FW$205^A12,IF(A12='Données projet'!$A$244,'Données projet'!$B$244,FZ11+FY12-GH11)))</f>
        <v>8.7281265486761299</v>
      </c>
      <c r="GA12" s="17">
        <f>FZ12*VLOOKUP('Données projet'!$B$17,Paramètres!$A$1:$I$89,3,0)*VLOOKUP('Données projet'!$B$17,Paramètres!$A$1:$I$89,5,0)</f>
        <v>5.7186685146926006</v>
      </c>
      <c r="GB12" s="13">
        <f t="shared" si="49"/>
        <v>2.1512845537982104</v>
      </c>
      <c r="GC12" s="20">
        <f t="shared" si="25"/>
        <v>13.706834927621495</v>
      </c>
      <c r="GD12" s="59">
        <f t="shared" si="26"/>
        <v>162.34426556483999</v>
      </c>
      <c r="GE12" s="59">
        <f ca="1">AVERAGE(OFFSET($GD$3,0,0,'Données projet'!$E$17+1,1))-AVERAGE(OFFSET($H$3,0,0,'Données projet'!$E$17+1,1))</f>
        <v>298.45881427802874</v>
      </c>
      <c r="GF12" s="59">
        <f t="shared" si="50"/>
        <v>287.00279305562356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135.66666666666666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</v>
      </c>
      <c r="N13" s="13">
        <f>IF('Données projet'!$A$36&gt;35,N12+M13-V12,IF(A13&lt;'Données projet'!$A$36,$K$205^A13,IF(A13='Données projet'!$A$36,'Données projet'!$B$36,N12+M13-V12)))</f>
        <v>40</v>
      </c>
      <c r="O13" s="13">
        <f>N13*VLOOKUP('Données projet'!$B$9,Paramètres!$A$1:$I$89,3,0)*VLOOKUP('Données projet'!$B$9,Paramètres!$A$1:$I$89,5,0)</f>
        <v>36.192</v>
      </c>
      <c r="P13" s="13">
        <f t="shared" si="33"/>
        <v>10.98353513000465</v>
      </c>
      <c r="Q13" s="20">
        <f t="shared" si="2"/>
        <v>82.164057018091427</v>
      </c>
      <c r="R13" s="59">
        <f t="shared" si="0"/>
        <v>234.08860101313743</v>
      </c>
      <c r="S13" s="59">
        <f ca="1">AVERAGE(OFFSET($R$3,0,0,'Données projet'!$E$9+1,1))-AVERAGE(OFFSET($H$3,0,0,'Données projet'!$E$9+1,1))</f>
        <v>600.52384738314299</v>
      </c>
      <c r="T13" s="59">
        <f t="shared" si="34"/>
        <v>314.84650287986256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35</v>
      </c>
      <c r="AG13" s="12">
        <f>VLOOKUP(A13,'Données projet'!$A$61:$I$81,9,0)</f>
        <v>3.5</v>
      </c>
      <c r="AH13" s="12">
        <f t="array" ref="AH13">INDEX(AG:AG,MIN(IF(ISNUMBER(AG13:AG209),ROW(AG13:AG209),"")))</f>
        <v>3.5</v>
      </c>
      <c r="AI13" s="13">
        <f>IF('Données projet'!$A$62&gt;35,AI12+AH13-AQ12,IF(A13&lt;'Données projet'!$A$62,$AF$205^A13,IF(A13='Données projet'!$A$62,'Données projet'!$B$62,AI12+AH13-AQ12)))</f>
        <v>35</v>
      </c>
      <c r="AJ13" s="13">
        <f>AI13*VLOOKUP('Données projet'!$B$10,Paramètres!$A$1:$I$89,3,0)*VLOOKUP('Données projet'!$B$10,Paramètres!$A$1:$I$89,5,0)</f>
        <v>30.576000000000004</v>
      </c>
      <c r="AK13" s="13">
        <f t="shared" si="35"/>
        <v>9.4631216842413863</v>
      </c>
      <c r="AL13" s="20">
        <f t="shared" si="4"/>
        <v>69.734803600053766</v>
      </c>
      <c r="AM13" s="59">
        <f t="shared" si="5"/>
        <v>221.65934759509977</v>
      </c>
      <c r="AN13" s="59">
        <f ca="1">AVERAGE(OFFSET($AM$3,0,0,'Données projet'!$E$10+1,1))-AVERAGE(OFFSET($H$3,0,0,'Données projet'!$E$10+1,1))</f>
        <v>436.77894860279537</v>
      </c>
      <c r="AO13" s="59">
        <f t="shared" si="36"/>
        <v>398.63561969573072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8.8341056840076444</v>
      </c>
      <c r="BF13" s="13">
        <f t="shared" si="37"/>
        <v>3.1592306185484516</v>
      </c>
      <c r="BG13" s="20">
        <f t="shared" si="7"/>
        <v>20.888394060285197</v>
      </c>
      <c r="BH13" s="59">
        <f t="shared" si="8"/>
        <v>172.81293805533122</v>
      </c>
      <c r="BI13" s="59">
        <f ca="1">AVERAGE(OFFSET($BH$3,0,0,'Données projet'!$E$11+1,1))-AVERAGE(OFFSET($H$3,0,0,'Données projet'!$E$11+1,1))</f>
        <v>344.97546176735341</v>
      </c>
      <c r="BJ13" s="59">
        <f t="shared" si="38"/>
        <v>331.15461126257492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172.81293805533122</v>
      </c>
      <c r="CD13" s="59">
        <f ca="1">AVERAGE(OFFSET($CC$3,0,0,'Données projet'!$E$12+1,1))-AVERAGE(OFFSET($H$3,0,0,'Données projet'!$E$12+1,1))</f>
        <v>344.97546176735341</v>
      </c>
      <c r="CE13" s="59">
        <f t="shared" si="40"/>
        <v>331.15461126257492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125</v>
      </c>
      <c r="CR13" s="12">
        <f>VLOOKUP(A13,'Données projet'!$A$139:$I$159,9,0)</f>
        <v>12.5</v>
      </c>
      <c r="CS13" s="12">
        <f t="array" ref="CS13">INDEX(CR:CR,MIN(IF(ISNUMBER(CR13:CR209),ROW(CR13:CR209),"")))</f>
        <v>12.5</v>
      </c>
      <c r="CT13" s="12">
        <f>IF('Données projet'!$A$140&gt;35,CT12+CS13-DB12,IF(A13&lt;'Données projet'!$A$140,$CQ$205^A13,IF(A13='Données projet'!$A$140,'Données projet'!$B$140,CT12+CS13-DB12)))</f>
        <v>125</v>
      </c>
      <c r="CU13" s="17">
        <f>CT13*VLOOKUP('Données projet'!$B$13,Paramètres!$A$1:$I$89,3,0)*VLOOKUP('Données projet'!$B$13,Paramètres!$A$1:$I$89,5,0)</f>
        <v>59.67</v>
      </c>
      <c r="CV13" s="13">
        <f t="shared" si="41"/>
        <v>17.084807896591332</v>
      </c>
      <c r="CW13" s="20">
        <f t="shared" si="13"/>
        <v>133.68129041989656</v>
      </c>
      <c r="CX13" s="59">
        <f t="shared" si="14"/>
        <v>285.60583441494259</v>
      </c>
      <c r="CY13" s="59">
        <f ca="1">AVERAGE(OFFSET($CX$3,0,0,'Données projet'!$E$13+1,1))-AVERAGE(OFFSET($H$3,0,0,'Données projet'!$E$13+1,1))</f>
        <v>227.19465047672969</v>
      </c>
      <c r="CZ13" s="59">
        <f t="shared" si="42"/>
        <v>529.77979244134417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125</v>
      </c>
      <c r="DM13" s="12">
        <f>VLOOKUP(A13,'Données projet'!$A$165:$I$185,9,0)</f>
        <v>12.5</v>
      </c>
      <c r="DN13" s="12">
        <f t="array" ref="DN13">INDEX(DM:DM,MIN(IF(ISNUMBER(DM13:DM209),ROW(DM13:DM209),"")))</f>
        <v>12.5</v>
      </c>
      <c r="DO13" s="12">
        <f>IF('Données projet'!$A$166&gt;35,DO12+DN13-DW12,IF(A13&lt;'Données projet'!$A$166,$DL$205^A13,IF(A13='Données projet'!$A$166,'Données projet'!$B$166,DO12+DN13-DW12)))</f>
        <v>125</v>
      </c>
      <c r="DP13" s="17">
        <f>DO13*VLOOKUP('Données projet'!$B$14,Paramètres!$A$1:$I$89,3,0)*VLOOKUP('Données projet'!$B$14,Paramètres!$A$1:$I$89,5,0)</f>
        <v>63.57</v>
      </c>
      <c r="DQ13" s="13">
        <f t="shared" si="43"/>
        <v>18.067818486559997</v>
      </c>
      <c r="DR13" s="20">
        <f t="shared" si="16"/>
        <v>142.18586719742532</v>
      </c>
      <c r="DS13" s="59">
        <f t="shared" si="17"/>
        <v>294.11041119247136</v>
      </c>
      <c r="DT13" s="59">
        <f ca="1">AVERAGE(OFFSET($DS$3,0,0,'Données projet'!$E$14+1,1))-AVERAGE(OFFSET($H$3,0,0,'Données projet'!$E$14+1,1))</f>
        <v>240.09151195692266</v>
      </c>
      <c r="DU13" s="59">
        <f t="shared" si="44"/>
        <v>559.47775134103165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2.6666666666666665</v>
      </c>
      <c r="EJ13" s="12">
        <f>IF('Données projet'!$A$192&gt;35,EJ12+EI13-ER12,IF(A13&lt;'Données projet'!$A$192,$EG$205^A13,IF(A13='Données projet'!$A$192,'Données projet'!$B$192,EJ12+EI13-ER12)))</f>
        <v>11.696070952851455</v>
      </c>
      <c r="EK13" s="17">
        <f>EJ13*VLOOKUP('Données projet'!$B$15,Paramètres!$A$1:$I$89,3,0)*VLOOKUP('Données projet'!$B$15,Paramètres!$A$1:$I$89,5,0)</f>
        <v>9.1229353432241354</v>
      </c>
      <c r="EL13" s="13">
        <f t="shared" si="45"/>
        <v>3.2503265450485803</v>
      </c>
      <c r="EM13" s="20">
        <f t="shared" si="19"/>
        <v>21.550097788741649</v>
      </c>
      <c r="EN13" s="59">
        <f t="shared" si="20"/>
        <v>173.47464178378766</v>
      </c>
      <c r="EO13" s="59">
        <f ca="1">AVERAGE(OFFSET($EN$3,0,0,'Données projet'!$E$15+1,1))-AVERAGE(OFFSET($H$3,0,0,'Données projet'!$E$15+1,1))</f>
        <v>328.79469965518484</v>
      </c>
      <c r="EP13" s="59">
        <f t="shared" si="46"/>
        <v>322.06400652269735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2.8</v>
      </c>
      <c r="FE13" s="12">
        <f>IF('Données projet'!$A$218&gt;35,FE12+FD13-FM12,IF(A13&lt;'Données projet'!$A$218,$FB$205^A13,IF(A13='Données projet'!$A$218,'Données projet'!$B$218,FE12+FD13-FM12)))</f>
        <v>7.4833147735478933</v>
      </c>
      <c r="FF13" s="17">
        <f>FE13*VLOOKUP('Données projet'!$B$16,Paramètres!$A$1:$I$89,3,0)*VLOOKUP('Données projet'!$B$16,Paramètres!$A$1:$I$89,5,0)</f>
        <v>5.4867663919653147</v>
      </c>
      <c r="FG13" s="13">
        <f t="shared" si="47"/>
        <v>2.074015976826026</v>
      </c>
      <c r="FH13" s="20">
        <f t="shared" si="22"/>
        <v>13.168362625644917</v>
      </c>
      <c r="FI13" s="59">
        <f t="shared" si="23"/>
        <v>165.09290662069094</v>
      </c>
      <c r="FJ13" s="59">
        <f ca="1">AVERAGE(OFFSET($FI$3,0,0,'Données projet'!$E$16+1,1))-AVERAGE(OFFSET($H$3,0,0,'Données projet'!$E$16+1,1))</f>
        <v>525.22234644068908</v>
      </c>
      <c r="FK13" s="59">
        <f t="shared" si="48"/>
        <v>311.5550296132094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2.4666666666666668</v>
      </c>
      <c r="FZ13" s="12">
        <f>IF('Données projet'!$A$244&gt;35,FZ12+FY13-GH12,IF(A13&lt;'Données projet'!$A$244,$FW$205^A13,IF(A13='Données projet'!$A$244,'Données projet'!$B$244,FZ12+FY13-GH12)))</f>
        <v>11.103702468586782</v>
      </c>
      <c r="GA13" s="17">
        <f>FZ13*VLOOKUP('Données projet'!$B$17,Paramètres!$A$1:$I$89,3,0)*VLOOKUP('Données projet'!$B$17,Paramètres!$A$1:$I$89,5,0)</f>
        <v>7.2751458574180594</v>
      </c>
      <c r="GB13" s="13">
        <f t="shared" si="49"/>
        <v>2.6611870122191768</v>
      </c>
      <c r="GC13" s="20">
        <f t="shared" si="25"/>
        <v>17.305779747951522</v>
      </c>
      <c r="GD13" s="59">
        <f t="shared" si="26"/>
        <v>169.23032374299754</v>
      </c>
      <c r="GE13" s="59">
        <f ca="1">AVERAGE(OFFSET($GD$3,0,0,'Données projet'!$E$17+1,1))-AVERAGE(OFFSET($H$3,0,0,'Données projet'!$E$17+1,1))</f>
        <v>298.45881427802874</v>
      </c>
      <c r="GF13" s="59">
        <f t="shared" si="50"/>
        <v>287.00279305562356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135.66666666666666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</v>
      </c>
      <c r="N14" s="13">
        <f>IF('Données projet'!$A$36&gt;35,N13+M14-V13,IF(A14&lt;'Données projet'!$A$36,$K$205^A14,IF(A14='Données projet'!$A$36,'Données projet'!$B$36,N13+M14-V13)))</f>
        <v>44</v>
      </c>
      <c r="O14" s="13">
        <f>N14*VLOOKUP('Données projet'!$B$9,Paramètres!$A$1:$I$89,3,0)*VLOOKUP('Données projet'!$B$9,Paramètres!$A$1:$I$89,5,0)</f>
        <v>39.811199999999999</v>
      </c>
      <c r="P14" s="13">
        <f t="shared" si="33"/>
        <v>11.948591675101238</v>
      </c>
      <c r="Q14" s="20">
        <f t="shared" si="2"/>
        <v>90.148303834134651</v>
      </c>
      <c r="R14" s="59">
        <f t="shared" si="0"/>
        <v>245.32413994221034</v>
      </c>
      <c r="S14" s="59">
        <f ca="1">AVERAGE(OFFSET($R$3,0,0,'Données projet'!$E$9+1,1))-AVERAGE(OFFSET($H$3,0,0,'Données projet'!$E$9+1,1))</f>
        <v>600.52384738314299</v>
      </c>
      <c r="T14" s="59">
        <f t="shared" si="34"/>
        <v>314.84650287986256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10.6</v>
      </c>
      <c r="AI14" s="13">
        <f>IF('Données projet'!$A$62&gt;35,AI13+AH14-AQ13,IF(A14&lt;'Données projet'!$A$62,$AF$205^A14,IF(A14='Données projet'!$A$62,'Données projet'!$B$62,AI13+AH14-AQ13)))</f>
        <v>45.6</v>
      </c>
      <c r="AJ14" s="13">
        <f>AI14*VLOOKUP('Données projet'!$B$10,Paramètres!$A$1:$I$89,3,0)*VLOOKUP('Données projet'!$B$10,Paramètres!$A$1:$I$89,5,0)</f>
        <v>39.836160000000007</v>
      </c>
      <c r="AK14" s="13">
        <f t="shared" si="35"/>
        <v>11.955210728675533</v>
      </c>
      <c r="AL14" s="20">
        <f t="shared" si="4"/>
        <v>90.203304019109893</v>
      </c>
      <c r="AM14" s="59">
        <f t="shared" si="5"/>
        <v>245.37914012718556</v>
      </c>
      <c r="AN14" s="59">
        <f ca="1">AVERAGE(OFFSET($AM$3,0,0,'Données projet'!$E$10+1,1))-AVERAGE(OFFSET($H$3,0,0,'Données projet'!$E$10+1,1))</f>
        <v>436.77894860279537</v>
      </c>
      <c r="AO14" s="59">
        <f t="shared" si="36"/>
        <v>398.63561969573072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11.238526451721825</v>
      </c>
      <c r="BF14" s="13">
        <f t="shared" si="37"/>
        <v>3.9080387928425129</v>
      </c>
      <c r="BG14" s="20">
        <f t="shared" si="7"/>
        <v>26.380267800949554</v>
      </c>
      <c r="BH14" s="59">
        <f t="shared" si="8"/>
        <v>181.55610390902524</v>
      </c>
      <c r="BI14" s="59">
        <f ca="1">AVERAGE(OFFSET($BH$3,0,0,'Données projet'!$E$11+1,1))-AVERAGE(OFFSET($H$3,0,0,'Données projet'!$E$11+1,1))</f>
        <v>344.97546176735341</v>
      </c>
      <c r="BJ14" s="59">
        <f t="shared" si="38"/>
        <v>331.15461126257492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181.55610390902524</v>
      </c>
      <c r="CD14" s="59">
        <f ca="1">AVERAGE(OFFSET($CC$3,0,0,'Données projet'!$E$12+1,1))-AVERAGE(OFFSET($H$3,0,0,'Données projet'!$E$12+1,1))</f>
        <v>344.97546176735341</v>
      </c>
      <c r="CE14" s="59">
        <f t="shared" si="40"/>
        <v>331.15461126257492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21.4</v>
      </c>
      <c r="CT14" s="12">
        <f>IF('Données projet'!$A$140&gt;35,CT13+CS14-DB13,IF(A14&lt;'Données projet'!$A$140,$CQ$205^A14,IF(A14='Données projet'!$A$140,'Données projet'!$B$140,CT13+CS14-DB13)))</f>
        <v>146.4</v>
      </c>
      <c r="CU14" s="17">
        <f>CT14*VLOOKUP('Données projet'!$B$13,Paramètres!$A$1:$I$89,3,0)*VLOOKUP('Données projet'!$B$13,Paramètres!$A$1:$I$89,5,0)</f>
        <v>69.885503999999997</v>
      </c>
      <c r="CV14" s="13">
        <f t="shared" si="41"/>
        <v>19.645021470860105</v>
      </c>
      <c r="CW14" s="20">
        <f t="shared" si="13"/>
        <v>155.932331861748</v>
      </c>
      <c r="CX14" s="59">
        <f t="shared" si="14"/>
        <v>311.10816796982368</v>
      </c>
      <c r="CY14" s="59">
        <f ca="1">AVERAGE(OFFSET($CX$3,0,0,'Données projet'!$E$13+1,1))-AVERAGE(OFFSET($H$3,0,0,'Données projet'!$E$13+1,1))</f>
        <v>227.19465047672969</v>
      </c>
      <c r="CZ14" s="59">
        <f t="shared" si="42"/>
        <v>529.77979244134417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21.4</v>
      </c>
      <c r="DO14" s="12">
        <f>IF('Données projet'!$A$166&gt;35,DO13+DN14-DW13,IF(A14&lt;'Données projet'!$A$166,$DL$205^A14,IF(A14='Données projet'!$A$166,'Données projet'!$B$166,DO13+DN14-DW13)))</f>
        <v>146.4</v>
      </c>
      <c r="DP14" s="17">
        <f>DO14*VLOOKUP('Données projet'!$B$14,Paramètres!$A$1:$I$89,3,0)*VLOOKUP('Données projet'!$B$14,Paramètres!$A$1:$I$89,5,0)</f>
        <v>74.453184000000007</v>
      </c>
      <c r="DQ14" s="13">
        <f t="shared" si="43"/>
        <v>20.775339368661587</v>
      </c>
      <c r="DR14" s="20">
        <f t="shared" si="16"/>
        <v>165.8563448670856</v>
      </c>
      <c r="DS14" s="59">
        <f t="shared" si="17"/>
        <v>321.03218097516128</v>
      </c>
      <c r="DT14" s="59">
        <f ca="1">AVERAGE(OFFSET($DS$3,0,0,'Données projet'!$E$14+1,1))-AVERAGE(OFFSET($H$3,0,0,'Données projet'!$E$14+1,1))</f>
        <v>240.09151195692266</v>
      </c>
      <c r="DU14" s="59">
        <f t="shared" si="44"/>
        <v>559.47775134103165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2.6666666666666665</v>
      </c>
      <c r="EJ14" s="12">
        <f>IF('Données projet'!$A$192&gt;35,EJ13+EI14-ER13,IF(A14&lt;'Données projet'!$A$192,$EG$205^A14,IF(A14='Données projet'!$A$192,'Données projet'!$B$192,EJ13+EI14-ER13)))</f>
        <v>14.956982779612416</v>
      </c>
      <c r="EK14" s="17">
        <f>EJ14*VLOOKUP('Données projet'!$B$15,Paramètres!$A$1:$I$89,3,0)*VLOOKUP('Données projet'!$B$15,Paramètres!$A$1:$I$89,5,0)</f>
        <v>11.666446568097685</v>
      </c>
      <c r="EL14" s="13">
        <f t="shared" si="45"/>
        <v>4.0392339557111736</v>
      </c>
      <c r="EM14" s="20">
        <f t="shared" si="19"/>
        <v>27.354060245633761</v>
      </c>
      <c r="EN14" s="59">
        <f t="shared" si="20"/>
        <v>182.52989635370943</v>
      </c>
      <c r="EO14" s="59">
        <f ca="1">AVERAGE(OFFSET($EN$3,0,0,'Données projet'!$E$15+1,1))-AVERAGE(OFFSET($H$3,0,0,'Données projet'!$E$15+1,1))</f>
        <v>328.79469965518484</v>
      </c>
      <c r="EP14" s="59">
        <f t="shared" si="46"/>
        <v>322.06400652269735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2.8</v>
      </c>
      <c r="FE14" s="12">
        <f>IF('Données projet'!$A$218&gt;35,FE13+FD14-FM13,IF(A14&lt;'Données projet'!$A$218,$FB$205^A14,IF(A14='Données projet'!$A$218,'Données projet'!$B$218,FE13+FD14-FM13)))</f>
        <v>9.1517345525322273</v>
      </c>
      <c r="FF14" s="17">
        <f>FE14*VLOOKUP('Données projet'!$B$16,Paramètres!$A$1:$I$89,3,0)*VLOOKUP('Données projet'!$B$16,Paramètres!$A$1:$I$89,5,0)</f>
        <v>6.7100517739166285</v>
      </c>
      <c r="FG14" s="13">
        <f t="shared" si="47"/>
        <v>2.4776904369868635</v>
      </c>
      <c r="FH14" s="20">
        <f t="shared" si="22"/>
        <v>16.001984350656915</v>
      </c>
      <c r="FI14" s="59">
        <f t="shared" si="23"/>
        <v>171.17782045873261</v>
      </c>
      <c r="FJ14" s="59">
        <f ca="1">AVERAGE(OFFSET($FI$3,0,0,'Données projet'!$E$16+1,1))-AVERAGE(OFFSET($H$3,0,0,'Données projet'!$E$16+1,1))</f>
        <v>525.22234644068908</v>
      </c>
      <c r="FK14" s="59">
        <f t="shared" si="48"/>
        <v>311.5550296132094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2.4666666666666668</v>
      </c>
      <c r="FZ14" s="12">
        <f>IF('Données projet'!$A$244&gt;35,FZ13+FY14-GH13,IF(A14&lt;'Données projet'!$A$244,$FW$205^A14,IF(A14='Données projet'!$A$244,'Données projet'!$B$244,FZ13+FY14-GH13)))</f>
        <v>14.125850240977657</v>
      </c>
      <c r="GA14" s="17">
        <f>FZ14*VLOOKUP('Données projet'!$B$17,Paramètres!$A$1:$I$89,3,0)*VLOOKUP('Données projet'!$B$17,Paramètres!$A$1:$I$89,5,0)</f>
        <v>9.2552570778885617</v>
      </c>
      <c r="GB14" s="13">
        <f t="shared" si="49"/>
        <v>3.2919477349012349</v>
      </c>
      <c r="GC14" s="20">
        <f t="shared" si="25"/>
        <v>21.853048382275563</v>
      </c>
      <c r="GD14" s="59">
        <f t="shared" si="26"/>
        <v>177.02888449035126</v>
      </c>
      <c r="GE14" s="59">
        <f ca="1">AVERAGE(OFFSET($GD$3,0,0,'Données projet'!$E$17+1,1))-AVERAGE(OFFSET($H$3,0,0,'Données projet'!$E$17+1,1))</f>
        <v>298.45881427802874</v>
      </c>
      <c r="GF14" s="59">
        <f t="shared" si="50"/>
        <v>287.00279305562356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135.66666666666666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</v>
      </c>
      <c r="N15" s="13">
        <f>IF('Données projet'!$A$36&gt;35,N14+M15-V14,IF(A15&lt;'Données projet'!$A$36,$K$205^A15,IF(A15='Données projet'!$A$36,'Données projet'!$B$36,N14+M15-V14)))</f>
        <v>48</v>
      </c>
      <c r="O15" s="13">
        <f>N15*VLOOKUP('Données projet'!$B$9,Paramètres!$A$1:$I$89,3,0)*VLOOKUP('Données projet'!$B$9,Paramètres!$A$1:$I$89,5,0)</f>
        <v>43.430399999999999</v>
      </c>
      <c r="P15" s="13">
        <f t="shared" si="33"/>
        <v>12.903475229013621</v>
      </c>
      <c r="Q15" s="20">
        <f t="shared" si="2"/>
        <v>98.114832690532054</v>
      </c>
      <c r="R15" s="59">
        <f t="shared" si="0"/>
        <v>256.50676108535265</v>
      </c>
      <c r="S15" s="59">
        <f ca="1">AVERAGE(OFFSET($R$3,0,0,'Données projet'!$E$9+1,1))-AVERAGE(OFFSET($H$3,0,0,'Données projet'!$E$9+1,1))</f>
        <v>600.52384738314299</v>
      </c>
      <c r="T15" s="59">
        <f t="shared" si="34"/>
        <v>314.84650287986256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10.6</v>
      </c>
      <c r="AI15" s="13">
        <f>IF('Données projet'!$A$62&gt;35,AI14+AH15-AQ14,IF(A15&lt;'Données projet'!$A$62,$AF$205^A15,IF(A15='Données projet'!$A$62,'Données projet'!$B$62,AI14+AH15-AQ14)))</f>
        <v>56.2</v>
      </c>
      <c r="AJ15" s="13">
        <f>AI15*VLOOKUP('Données projet'!$B$10,Paramètres!$A$1:$I$89,3,0)*VLOOKUP('Données projet'!$B$10,Paramètres!$A$1:$I$89,5,0)</f>
        <v>49.096320000000006</v>
      </c>
      <c r="AK15" s="13">
        <f t="shared" si="35"/>
        <v>14.380133207801931</v>
      </c>
      <c r="AL15" s="20">
        <f t="shared" si="4"/>
        <v>110.55482267025504</v>
      </c>
      <c r="AM15" s="59">
        <f t="shared" si="5"/>
        <v>268.94675106507566</v>
      </c>
      <c r="AN15" s="59">
        <f ca="1">AVERAGE(OFFSET($AM$3,0,0,'Données projet'!$E$10+1,1))-AVERAGE(OFFSET($H$3,0,0,'Données projet'!$E$10+1,1))</f>
        <v>436.77894860279537</v>
      </c>
      <c r="AO15" s="59">
        <f t="shared" si="36"/>
        <v>398.63561969573072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14.297369912010421</v>
      </c>
      <c r="BF15" s="13">
        <f t="shared" si="37"/>
        <v>4.8343312187127445</v>
      </c>
      <c r="BG15" s="20">
        <f t="shared" si="7"/>
        <v>33.321046136009507</v>
      </c>
      <c r="BH15" s="59">
        <f t="shared" si="8"/>
        <v>191.71297453083011</v>
      </c>
      <c r="BI15" s="59">
        <f ca="1">AVERAGE(OFFSET($BH$3,0,0,'Données projet'!$E$11+1,1))-AVERAGE(OFFSET($H$3,0,0,'Données projet'!$E$11+1,1))</f>
        <v>344.97546176735341</v>
      </c>
      <c r="BJ15" s="59">
        <f t="shared" si="38"/>
        <v>331.15461126257492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191.71297453083011</v>
      </c>
      <c r="CD15" s="59">
        <f ca="1">AVERAGE(OFFSET($CC$3,0,0,'Données projet'!$E$12+1,1))-AVERAGE(OFFSET($H$3,0,0,'Données projet'!$E$12+1,1))</f>
        <v>344.97546176735341</v>
      </c>
      <c r="CE15" s="59">
        <f t="shared" si="40"/>
        <v>331.15461126257492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21.4</v>
      </c>
      <c r="CT15" s="12">
        <f>IF('Données projet'!$A$140&gt;35,CT14+CS15-DB14,IF(A15&lt;'Données projet'!$A$140,$CQ$205^A15,IF(A15='Données projet'!$A$140,'Données projet'!$B$140,CT14+CS15-DB14)))</f>
        <v>167.8</v>
      </c>
      <c r="CU15" s="17">
        <f>CT15*VLOOKUP('Données projet'!$B$13,Paramètres!$A$1:$I$89,3,0)*VLOOKUP('Données projet'!$B$13,Paramètres!$A$1:$I$89,5,0)</f>
        <v>80.101008000000007</v>
      </c>
      <c r="CV15" s="13">
        <f t="shared" si="41"/>
        <v>22.161879295807708</v>
      </c>
      <c r="CW15" s="20">
        <f t="shared" si="13"/>
        <v>178.10786204019846</v>
      </c>
      <c r="CX15" s="59">
        <f t="shared" si="14"/>
        <v>336.49979043501907</v>
      </c>
      <c r="CY15" s="59">
        <f ca="1">AVERAGE(OFFSET($CX$3,0,0,'Données projet'!$E$13+1,1))-AVERAGE(OFFSET($H$3,0,0,'Données projet'!$E$13+1,1))</f>
        <v>227.19465047672969</v>
      </c>
      <c r="CZ15" s="59">
        <f t="shared" si="42"/>
        <v>529.77979244134417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21.4</v>
      </c>
      <c r="DO15" s="12">
        <f>IF('Données projet'!$A$166&gt;35,DO14+DN15-DW14,IF(A15&lt;'Données projet'!$A$166,$DL$205^A15,IF(A15='Données projet'!$A$166,'Données projet'!$B$166,DO14+DN15-DW14)))</f>
        <v>167.8</v>
      </c>
      <c r="DP15" s="17">
        <f>DO15*VLOOKUP('Données projet'!$B$14,Paramètres!$A$1:$I$89,3,0)*VLOOKUP('Données projet'!$B$14,Paramètres!$A$1:$I$89,5,0)</f>
        <v>85.336368000000007</v>
      </c>
      <c r="DQ15" s="13">
        <f t="shared" si="43"/>
        <v>23.437009936622978</v>
      </c>
      <c r="DR15" s="20">
        <f t="shared" si="16"/>
        <v>189.44696657295165</v>
      </c>
      <c r="DS15" s="59">
        <f t="shared" si="17"/>
        <v>347.83889496777226</v>
      </c>
      <c r="DT15" s="59">
        <f ca="1">AVERAGE(OFFSET($DS$3,0,0,'Données projet'!$E$14+1,1))-AVERAGE(OFFSET($H$3,0,0,'Données projet'!$E$14+1,1))</f>
        <v>240.09151195692266</v>
      </c>
      <c r="DU15" s="59">
        <f t="shared" si="44"/>
        <v>559.47775134103165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2.6666666666666665</v>
      </c>
      <c r="EJ15" s="12">
        <f>IF('Données projet'!$A$192&gt;35,EJ14+EI15-ER14,IF(A15&lt;'Données projet'!$A$192,$EG$205^A15,IF(A15='Données projet'!$A$192,'Données projet'!$B$192,EJ14+EI15-ER14)))</f>
        <v>19.127049995800721</v>
      </c>
      <c r="EK15" s="17">
        <f>EJ15*VLOOKUP('Données projet'!$B$15,Paramètres!$A$1:$I$89,3,0)*VLOOKUP('Données projet'!$B$15,Paramètres!$A$1:$I$89,5,0)</f>
        <v>14.919098996724562</v>
      </c>
      <c r="EL15" s="13">
        <f t="shared" si="45"/>
        <v>5.019622097301081</v>
      </c>
      <c r="EM15" s="20">
        <f t="shared" si="19"/>
        <v>34.726605905427995</v>
      </c>
      <c r="EN15" s="59">
        <f t="shared" si="20"/>
        <v>193.1185343002486</v>
      </c>
      <c r="EO15" s="59">
        <f ca="1">AVERAGE(OFFSET($EN$3,0,0,'Données projet'!$E$15+1,1))-AVERAGE(OFFSET($H$3,0,0,'Données projet'!$E$15+1,1))</f>
        <v>328.79469965518484</v>
      </c>
      <c r="EP15" s="59">
        <f t="shared" si="46"/>
        <v>322.06400652269735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2.8</v>
      </c>
      <c r="FE15" s="12">
        <f>IF('Données projet'!$A$218&gt;35,FE14+FD15-FM14,IF(A15&lt;'Données projet'!$A$218,$FB$205^A15,IF(A15='Données projet'!$A$218,'Données projet'!$B$218,FE14+FD15-FM14)))</f>
        <v>11.19213180983215</v>
      </c>
      <c r="FF15" s="17">
        <f>FE15*VLOOKUP('Données projet'!$B$16,Paramètres!$A$1:$I$89,3,0)*VLOOKUP('Données projet'!$B$16,Paramètres!$A$1:$I$89,5,0)</f>
        <v>8.2060710429689312</v>
      </c>
      <c r="FG15" s="13">
        <f t="shared" si="47"/>
        <v>2.9599337566005186</v>
      </c>
      <c r="FH15" s="20">
        <f t="shared" si="22"/>
        <v>19.447458359250124</v>
      </c>
      <c r="FI15" s="59">
        <f t="shared" si="23"/>
        <v>177.83938675407074</v>
      </c>
      <c r="FJ15" s="59">
        <f ca="1">AVERAGE(OFFSET($FI$3,0,0,'Données projet'!$E$16+1,1))-AVERAGE(OFFSET($H$3,0,0,'Données projet'!$E$16+1,1))</f>
        <v>525.22234644068908</v>
      </c>
      <c r="FK15" s="59">
        <f t="shared" si="48"/>
        <v>311.5550296132094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2.4666666666666668</v>
      </c>
      <c r="FZ15" s="12">
        <f>IF('Données projet'!$A$244&gt;35,FZ14+FY15-GH14,IF(A15&lt;'Données projet'!$A$244,$FW$205^A15,IF(A15='Données projet'!$A$244,'Données projet'!$B$244,FZ14+FY15-GH14)))</f>
        <v>17.970550417308221</v>
      </c>
      <c r="GA15" s="17">
        <f>FZ15*VLOOKUP('Données projet'!$B$17,Paramètres!$A$1:$I$89,3,0)*VLOOKUP('Données projet'!$B$17,Paramètres!$A$1:$I$89,5,0)</f>
        <v>11.774304633420346</v>
      </c>
      <c r="GB15" s="13">
        <f t="shared" si="49"/>
        <v>4.0722128281711418</v>
      </c>
      <c r="GC15" s="20">
        <f t="shared" si="25"/>
        <v>27.599351245605177</v>
      </c>
      <c r="GD15" s="59">
        <f t="shared" si="26"/>
        <v>185.99127964042577</v>
      </c>
      <c r="GE15" s="59">
        <f ca="1">AVERAGE(OFFSET($GD$3,0,0,'Données projet'!$E$17+1,1))-AVERAGE(OFFSET($H$3,0,0,'Données projet'!$E$17+1,1))</f>
        <v>298.45881427802874</v>
      </c>
      <c r="GF15" s="59">
        <f t="shared" si="50"/>
        <v>287.00279305562356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135.66666666666666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</v>
      </c>
      <c r="N16" s="13">
        <f>IF('Données projet'!$A$36&gt;35,N15+M16-V15,IF(A16&lt;'Données projet'!$A$36,$K$205^A16,IF(A16='Données projet'!$A$36,'Données projet'!$B$36,N15+M16-V15)))</f>
        <v>52</v>
      </c>
      <c r="O16" s="13">
        <f>N16*VLOOKUP('Données projet'!$B$9,Paramètres!$A$1:$I$89,3,0)*VLOOKUP('Données projet'!$B$9,Paramètres!$A$1:$I$89,5,0)</f>
        <v>47.049599999999998</v>
      </c>
      <c r="P16" s="13">
        <f t="shared" si="33"/>
        <v>13.849129922569936</v>
      </c>
      <c r="Q16" s="20">
        <f t="shared" si="2"/>
        <v>106.06528794847596</v>
      </c>
      <c r="R16" s="59">
        <f t="shared" si="0"/>
        <v>267.63871944204766</v>
      </c>
      <c r="S16" s="59">
        <f ca="1">AVERAGE(OFFSET($R$3,0,0,'Données projet'!$E$9+1,1))-AVERAGE(OFFSET($H$3,0,0,'Données projet'!$E$9+1,1))</f>
        <v>600.52384738314299</v>
      </c>
      <c r="T16" s="59">
        <f t="shared" si="34"/>
        <v>314.84650287986256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10.6</v>
      </c>
      <c r="AI16" s="13">
        <f>IF('Données projet'!$A$62&gt;35,AI15+AH16-AQ15,IF(A16&lt;'Données projet'!$A$62,$AF$205^A16,IF(A16='Données projet'!$A$62,'Données projet'!$B$62,AI15+AH16-AQ15)))</f>
        <v>66.8</v>
      </c>
      <c r="AJ16" s="13">
        <f>AI16*VLOOKUP('Données projet'!$B$10,Paramètres!$A$1:$I$89,3,0)*VLOOKUP('Données projet'!$B$10,Paramètres!$A$1:$I$89,5,0)</f>
        <v>58.356480000000005</v>
      </c>
      <c r="AK16" s="13">
        <f t="shared" si="35"/>
        <v>16.75206628947662</v>
      </c>
      <c r="AL16" s="20">
        <f t="shared" si="4"/>
        <v>130.81405145417179</v>
      </c>
      <c r="AM16" s="59">
        <f t="shared" si="5"/>
        <v>292.38748294774348</v>
      </c>
      <c r="AN16" s="59">
        <f ca="1">AVERAGE(OFFSET($AM$3,0,0,'Données projet'!$E$10+1,1))-AVERAGE(OFFSET($H$3,0,0,'Données projet'!$E$10+1,1))</f>
        <v>436.77894860279537</v>
      </c>
      <c r="AO16" s="59">
        <f t="shared" si="36"/>
        <v>398.63561969573072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18.188753417005401</v>
      </c>
      <c r="BF16" s="13">
        <f t="shared" si="37"/>
        <v>5.9801756254374139</v>
      </c>
      <c r="BG16" s="20">
        <f t="shared" si="7"/>
        <v>42.094218082254564</v>
      </c>
      <c r="BH16" s="59">
        <f t="shared" si="8"/>
        <v>203.66764957582626</v>
      </c>
      <c r="BI16" s="59">
        <f ca="1">AVERAGE(OFFSET($BH$3,0,0,'Données projet'!$E$11+1,1))-AVERAGE(OFFSET($H$3,0,0,'Données projet'!$E$11+1,1))</f>
        <v>344.97546176735341</v>
      </c>
      <c r="BJ16" s="59">
        <f t="shared" si="38"/>
        <v>331.15461126257492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203.66764957582626</v>
      </c>
      <c r="CD16" s="59">
        <f ca="1">AVERAGE(OFFSET($CC$3,0,0,'Données projet'!$E$12+1,1))-AVERAGE(OFFSET($H$3,0,0,'Données projet'!$E$12+1,1))</f>
        <v>344.97546176735341</v>
      </c>
      <c r="CE16" s="59">
        <f t="shared" si="40"/>
        <v>331.15461126257492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21.4</v>
      </c>
      <c r="CT16" s="12">
        <f>IF('Données projet'!$A$140&gt;35,CT15+CS16-DB15,IF(A16&lt;'Données projet'!$A$140,$CQ$205^A16,IF(A16='Données projet'!$A$140,'Données projet'!$B$140,CT15+CS16-DB15)))</f>
        <v>189.20000000000002</v>
      </c>
      <c r="CU16" s="17">
        <f>CT16*VLOOKUP('Données projet'!$B$13,Paramètres!$A$1:$I$89,3,0)*VLOOKUP('Données projet'!$B$13,Paramètres!$A$1:$I$89,5,0)</f>
        <v>90.316512000000003</v>
      </c>
      <c r="CV16" s="13">
        <f t="shared" si="41"/>
        <v>24.641544463034592</v>
      </c>
      <c r="CW16" s="20">
        <f t="shared" si="13"/>
        <v>200.21861500645193</v>
      </c>
      <c r="CX16" s="59">
        <f t="shared" si="14"/>
        <v>361.79204650002362</v>
      </c>
      <c r="CY16" s="59">
        <f ca="1">AVERAGE(OFFSET($CX$3,0,0,'Données projet'!$E$13+1,1))-AVERAGE(OFFSET($H$3,0,0,'Données projet'!$E$13+1,1))</f>
        <v>227.19465047672969</v>
      </c>
      <c r="CZ16" s="59">
        <f t="shared" si="42"/>
        <v>529.77979244134417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21.4</v>
      </c>
      <c r="DO16" s="12">
        <f>IF('Données projet'!$A$166&gt;35,DO15+DN16-DW15,IF(A16&lt;'Données projet'!$A$166,$DL$205^A16,IF(A16='Données projet'!$A$166,'Données projet'!$B$166,DO15+DN16-DW15)))</f>
        <v>189.20000000000002</v>
      </c>
      <c r="DP16" s="17">
        <f>DO16*VLOOKUP('Données projet'!$B$14,Paramètres!$A$1:$I$89,3,0)*VLOOKUP('Données projet'!$B$14,Paramètres!$A$1:$I$89,5,0)</f>
        <v>96.219552000000022</v>
      </c>
      <c r="DQ16" s="13">
        <f t="shared" si="43"/>
        <v>26.059347888566776</v>
      </c>
      <c r="DR16" s="20">
        <f t="shared" si="16"/>
        <v>212.96908397258713</v>
      </c>
      <c r="DS16" s="59">
        <f t="shared" si="17"/>
        <v>374.54251546615882</v>
      </c>
      <c r="DT16" s="59">
        <f ca="1">AVERAGE(OFFSET($DS$3,0,0,'Données projet'!$E$14+1,1))-AVERAGE(OFFSET($H$3,0,0,'Données projet'!$E$14+1,1))</f>
        <v>240.09151195692266</v>
      </c>
      <c r="DU16" s="59">
        <f t="shared" si="44"/>
        <v>559.47775134103165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2.6666666666666665</v>
      </c>
      <c r="EJ16" s="12">
        <f>IF('Données projet'!$A$192&gt;35,EJ15+EI16-ER15,IF(A16&lt;'Données projet'!$A$192,$EG$205^A16,IF(A16='Données projet'!$A$192,'Données projet'!$B$192,EJ15+EI16-ER15)))</f>
        <v>24.459748796430759</v>
      </c>
      <c r="EK16" s="17">
        <f>EJ16*VLOOKUP('Données projet'!$B$15,Paramètres!$A$1:$I$89,3,0)*VLOOKUP('Données projet'!$B$15,Paramètres!$A$1:$I$89,5,0)</f>
        <v>19.078604061215994</v>
      </c>
      <c r="EL16" s="13">
        <f t="shared" si="45"/>
        <v>6.2379664748280286</v>
      </c>
      <c r="EM16" s="20">
        <f t="shared" si="19"/>
        <v>44.093027016943331</v>
      </c>
      <c r="EN16" s="59">
        <f t="shared" si="20"/>
        <v>205.66645851051501</v>
      </c>
      <c r="EO16" s="59">
        <f ca="1">AVERAGE(OFFSET($EN$3,0,0,'Données projet'!$E$15+1,1))-AVERAGE(OFFSET($H$3,0,0,'Données projet'!$E$15+1,1))</f>
        <v>328.79469965518484</v>
      </c>
      <c r="EP16" s="59">
        <f t="shared" si="46"/>
        <v>322.06400652269735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2.8</v>
      </c>
      <c r="FE16" s="12">
        <f>IF('Données projet'!$A$218&gt;35,FE15+FD16-FM15,IF(A16&lt;'Données projet'!$A$218,$FB$205^A16,IF(A16='Données projet'!$A$218,'Données projet'!$B$218,FE15+FD16-FM15)))</f>
        <v>13.687439657435972</v>
      </c>
      <c r="FF16" s="17">
        <f>FE16*VLOOKUP('Données projet'!$B$16,Paramètres!$A$1:$I$89,3,0)*VLOOKUP('Données projet'!$B$16,Paramètres!$A$1:$I$89,5,0)</f>
        <v>10.035630756832054</v>
      </c>
      <c r="FG16" s="13">
        <f t="shared" si="47"/>
        <v>3.5360381235187024</v>
      </c>
      <c r="FH16" s="20">
        <f t="shared" si="22"/>
        <v>23.637323299944232</v>
      </c>
      <c r="FI16" s="59">
        <f t="shared" si="23"/>
        <v>185.21075479351592</v>
      </c>
      <c r="FJ16" s="59">
        <f ca="1">AVERAGE(OFFSET($FI$3,0,0,'Données projet'!$E$16+1,1))-AVERAGE(OFFSET($H$3,0,0,'Données projet'!$E$16+1,1))</f>
        <v>525.22234644068908</v>
      </c>
      <c r="FK16" s="59">
        <f t="shared" si="48"/>
        <v>311.5550296132094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2.4666666666666668</v>
      </c>
      <c r="FZ16" s="12">
        <f>IF('Données projet'!$A$244&gt;35,FZ15+FY16-GH15,IF(A16&lt;'Données projet'!$A$244,$FW$205^A16,IF(A16='Données projet'!$A$244,'Données projet'!$B$244,FZ15+FY16-GH15)))</f>
        <v>22.86168101684942</v>
      </c>
      <c r="GA16" s="17">
        <f>FZ16*VLOOKUP('Données projet'!$B$17,Paramètres!$A$1:$I$89,3,0)*VLOOKUP('Données projet'!$B$17,Paramètres!$A$1:$I$89,5,0)</f>
        <v>14.97897340223974</v>
      </c>
      <c r="GB16" s="13">
        <f t="shared" si="49"/>
        <v>5.0374181649694805</v>
      </c>
      <c r="GC16" s="20">
        <f t="shared" si="25"/>
        <v>34.861881979556053</v>
      </c>
      <c r="GD16" s="59">
        <f t="shared" si="26"/>
        <v>196.43531347312774</v>
      </c>
      <c r="GE16" s="59">
        <f ca="1">AVERAGE(OFFSET($GD$3,0,0,'Données projet'!$E$17+1,1))-AVERAGE(OFFSET($H$3,0,0,'Données projet'!$E$17+1,1))</f>
        <v>298.45881427802874</v>
      </c>
      <c r="GF16" s="59">
        <f t="shared" si="50"/>
        <v>287.00279305562356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135.66666666666666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</v>
      </c>
      <c r="N17" s="13">
        <f>IF('Données projet'!$A$36&gt;35,N16+M17-V16,IF(A17&lt;'Données projet'!$A$36,$K$205^A17,IF(A17='Données projet'!$A$36,'Données projet'!$B$36,N16+M17-V16)))</f>
        <v>56</v>
      </c>
      <c r="O17" s="13">
        <f>N17*VLOOKUP('Données projet'!$B$9,Paramètres!$A$1:$I$89,3,0)*VLOOKUP('Données projet'!$B$9,Paramètres!$A$1:$I$89,5,0)</f>
        <v>50.668799999999997</v>
      </c>
      <c r="P17" s="13">
        <f t="shared" si="33"/>
        <v>14.786346384516113</v>
      </c>
      <c r="Q17" s="20">
        <f t="shared" si="2"/>
        <v>114.0010466196989</v>
      </c>
      <c r="R17" s="59">
        <f t="shared" si="0"/>
        <v>278.72199206910972</v>
      </c>
      <c r="S17" s="59">
        <f ca="1">AVERAGE(OFFSET($R$3,0,0,'Données projet'!$E$9+1,1))-AVERAGE(OFFSET($H$3,0,0,'Données projet'!$E$9+1,1))</f>
        <v>600.52384738314299</v>
      </c>
      <c r="T17" s="59">
        <f t="shared" si="34"/>
        <v>314.84650287986256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10.6</v>
      </c>
      <c r="AI17" s="13">
        <f>IF('Données projet'!$A$62&gt;35,AI16+AH17-AQ16,IF(A17&lt;'Données projet'!$A$62,$AF$205^A17,IF(A17='Données projet'!$A$62,'Données projet'!$B$62,AI16+AH17-AQ16)))</f>
        <v>77.399999999999991</v>
      </c>
      <c r="AJ17" s="13">
        <f>AI17*VLOOKUP('Données projet'!$B$10,Paramètres!$A$1:$I$89,3,0)*VLOOKUP('Données projet'!$B$10,Paramètres!$A$1:$I$89,5,0)</f>
        <v>67.616640000000004</v>
      </c>
      <c r="AK17" s="13">
        <f t="shared" si="35"/>
        <v>19.080397298873443</v>
      </c>
      <c r="AL17" s="20">
        <f t="shared" si="4"/>
        <v>150.99733996220459</v>
      </c>
      <c r="AM17" s="59">
        <f t="shared" si="5"/>
        <v>315.7182854116154</v>
      </c>
      <c r="AN17" s="59">
        <f ca="1">AVERAGE(OFFSET($AM$3,0,0,'Données projet'!$E$10+1,1))-AVERAGE(OFFSET($H$3,0,0,'Données projet'!$E$10+1,1))</f>
        <v>436.77894860279537</v>
      </c>
      <c r="AO17" s="59">
        <f t="shared" si="36"/>
        <v>398.63561969573072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23.13927336990233</v>
      </c>
      <c r="BF17" s="13">
        <f t="shared" si="37"/>
        <v>7.3976107331343286</v>
      </c>
      <c r="BG17" s="20">
        <f t="shared" si="7"/>
        <v>53.185073146122171</v>
      </c>
      <c r="BH17" s="59">
        <f t="shared" si="8"/>
        <v>217.90601859553297</v>
      </c>
      <c r="BI17" s="59">
        <f ca="1">AVERAGE(OFFSET($BH$3,0,0,'Données projet'!$E$11+1,1))-AVERAGE(OFFSET($H$3,0,0,'Données projet'!$E$11+1,1))</f>
        <v>344.97546176735341</v>
      </c>
      <c r="BJ17" s="59">
        <f t="shared" si="38"/>
        <v>331.15461126257492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217.90601859553297</v>
      </c>
      <c r="CD17" s="59">
        <f ca="1">AVERAGE(OFFSET($CC$3,0,0,'Données projet'!$E$12+1,1))-AVERAGE(OFFSET($H$3,0,0,'Données projet'!$E$12+1,1))</f>
        <v>344.97546176735341</v>
      </c>
      <c r="CE17" s="59">
        <f t="shared" si="40"/>
        <v>331.15461126257492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21.4</v>
      </c>
      <c r="CT17" s="12">
        <f>IF('Données projet'!$A$140&gt;35,CT16+CS17-DB16,IF(A17&lt;'Données projet'!$A$140,$CQ$205^A17,IF(A17='Données projet'!$A$140,'Données projet'!$B$140,CT16+CS17-DB16)))</f>
        <v>210.60000000000002</v>
      </c>
      <c r="CU17" s="17">
        <f>CT17*VLOOKUP('Données projet'!$B$13,Paramètres!$A$1:$I$89,3,0)*VLOOKUP('Données projet'!$B$13,Paramètres!$A$1:$I$89,5,0)</f>
        <v>100.53201600000001</v>
      </c>
      <c r="CV17" s="13">
        <f t="shared" si="41"/>
        <v>27.088703856887207</v>
      </c>
      <c r="CW17" s="20">
        <f t="shared" si="13"/>
        <v>222.27275375074524</v>
      </c>
      <c r="CX17" s="59">
        <f t="shared" si="14"/>
        <v>386.99369920015602</v>
      </c>
      <c r="CY17" s="59">
        <f ca="1">AVERAGE(OFFSET($CX$3,0,0,'Données projet'!$E$13+1,1))-AVERAGE(OFFSET($H$3,0,0,'Données projet'!$E$13+1,1))</f>
        <v>227.19465047672969</v>
      </c>
      <c r="CZ17" s="59">
        <f t="shared" si="42"/>
        <v>529.77979244134417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21.4</v>
      </c>
      <c r="DO17" s="12">
        <f>IF('Données projet'!$A$166&gt;35,DO16+DN17-DW16,IF(A17&lt;'Données projet'!$A$166,$DL$205^A17,IF(A17='Données projet'!$A$166,'Données projet'!$B$166,DO16+DN17-DW16)))</f>
        <v>210.60000000000002</v>
      </c>
      <c r="DP17" s="17">
        <f>DO17*VLOOKUP('Données projet'!$B$14,Paramètres!$A$1:$I$89,3,0)*VLOOKUP('Données projet'!$B$14,Paramètres!$A$1:$I$89,5,0)</f>
        <v>107.10273600000001</v>
      </c>
      <c r="DQ17" s="13">
        <f t="shared" si="43"/>
        <v>28.647309778652222</v>
      </c>
      <c r="DR17" s="20">
        <f t="shared" si="16"/>
        <v>236.43132973115266</v>
      </c>
      <c r="DS17" s="59">
        <f t="shared" si="17"/>
        <v>401.15227518056349</v>
      </c>
      <c r="DT17" s="59">
        <f ca="1">AVERAGE(OFFSET($DS$3,0,0,'Données projet'!$E$14+1,1))-AVERAGE(OFFSET($H$3,0,0,'Données projet'!$E$14+1,1))</f>
        <v>240.09151195692266</v>
      </c>
      <c r="DU17" s="59">
        <f t="shared" si="44"/>
        <v>559.47775134103165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2.6666666666666665</v>
      </c>
      <c r="EJ17" s="12">
        <f>IF('Données projet'!$A$192&gt;35,EJ16+EI17-ER16,IF(A17&lt;'Données projet'!$A$192,$EG$205^A17,IF(A17='Données projet'!$A$192,'Données projet'!$B$192,EJ16+EI17-ER16)))</f>
        <v>31.279225563578599</v>
      </c>
      <c r="EK17" s="17">
        <f>EJ17*VLOOKUP('Données projet'!$B$15,Paramètres!$A$1:$I$89,3,0)*VLOOKUP('Données projet'!$B$15,Paramètres!$A$1:$I$89,5,0)</f>
        <v>24.397795939591308</v>
      </c>
      <c r="EL17" s="13">
        <f t="shared" si="45"/>
        <v>7.75202295846145</v>
      </c>
      <c r="EM17" s="20">
        <f t="shared" si="19"/>
        <v>55.994267914108548</v>
      </c>
      <c r="EN17" s="59">
        <f t="shared" si="20"/>
        <v>220.71521336351935</v>
      </c>
      <c r="EO17" s="59">
        <f ca="1">AVERAGE(OFFSET($EN$3,0,0,'Données projet'!$E$15+1,1))-AVERAGE(OFFSET($H$3,0,0,'Données projet'!$E$15+1,1))</f>
        <v>328.79469965518484</v>
      </c>
      <c r="EP17" s="59">
        <f t="shared" si="46"/>
        <v>322.06400652269735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2.8</v>
      </c>
      <c r="FE17" s="12">
        <f>IF('Données projet'!$A$218&gt;35,FE16+FD17-FM16,IF(A17&lt;'Données projet'!$A$218,$FB$205^A17,IF(A17='Données projet'!$A$218,'Données projet'!$B$218,FE16+FD17-FM16)))</f>
        <v>16.739081308117708</v>
      </c>
      <c r="FF17" s="17">
        <f>FE17*VLOOKUP('Données projet'!$B$16,Paramètres!$A$1:$I$89,3,0)*VLOOKUP('Données projet'!$B$16,Paramètres!$A$1:$I$89,5,0)</f>
        <v>12.273094415111903</v>
      </c>
      <c r="FG17" s="13">
        <f t="shared" si="47"/>
        <v>4.2242721084873178</v>
      </c>
      <c r="FH17" s="20">
        <f t="shared" si="22"/>
        <v>28.732913361935303</v>
      </c>
      <c r="FI17" s="59">
        <f t="shared" si="23"/>
        <v>193.45385881134609</v>
      </c>
      <c r="FJ17" s="59">
        <f ca="1">AVERAGE(OFFSET($FI$3,0,0,'Données projet'!$E$16+1,1))-AVERAGE(OFFSET($H$3,0,0,'Données projet'!$E$16+1,1))</f>
        <v>525.22234644068908</v>
      </c>
      <c r="FK17" s="59">
        <f t="shared" si="48"/>
        <v>311.5550296132094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2.4666666666666668</v>
      </c>
      <c r="FZ17" s="12">
        <f>IF('Données projet'!$A$244&gt;35,FZ16+FY17-GH16,IF(A17&lt;'Données projet'!$A$244,$FW$205^A17,IF(A17='Données projet'!$A$244,'Données projet'!$B$244,FZ16+FY17-GH16)))</f>
        <v>29.084054009429774</v>
      </c>
      <c r="GA17" s="17">
        <f>FZ17*VLOOKUP('Données projet'!$B$17,Paramètres!$A$1:$I$89,3,0)*VLOOKUP('Données projet'!$B$17,Paramètres!$A$1:$I$89,5,0)</f>
        <v>19.055872186978391</v>
      </c>
      <c r="GB17" s="13">
        <f t="shared" si="49"/>
        <v>6.231398711093604</v>
      </c>
      <c r="GC17" s="20">
        <f t="shared" si="25"/>
        <v>44.041996814142045</v>
      </c>
      <c r="GD17" s="59">
        <f t="shared" si="26"/>
        <v>208.76294226355284</v>
      </c>
      <c r="GE17" s="59">
        <f ca="1">AVERAGE(OFFSET($GD$3,0,0,'Données projet'!$E$17+1,1))-AVERAGE(OFFSET($H$3,0,0,'Données projet'!$E$17+1,1))</f>
        <v>298.45881427802874</v>
      </c>
      <c r="GF17" s="59">
        <f t="shared" si="50"/>
        <v>287.00279305562356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135.66666666666666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</v>
      </c>
      <c r="N18" s="13">
        <f>IF('Données projet'!$A$36&gt;35,N17+M18-V17,IF(A18&lt;'Données projet'!$A$36,$K$205^A18,IF(A18='Données projet'!$A$36,'Données projet'!$B$36,N17+M18-V17)))</f>
        <v>60</v>
      </c>
      <c r="O18" s="13">
        <f>N18*VLOOKUP('Données projet'!$B$9,Paramètres!$A$1:$I$89,3,0)*VLOOKUP('Données projet'!$B$9,Paramètres!$A$1:$I$89,5,0)</f>
        <v>54.287999999999997</v>
      </c>
      <c r="P18" s="13">
        <f t="shared" si="33"/>
        <v>15.715795896526746</v>
      </c>
      <c r="Q18" s="20">
        <f t="shared" si="2"/>
        <v>121.9232778531174</v>
      </c>
      <c r="R18" s="59">
        <f t="shared" si="0"/>
        <v>289.75833775109658</v>
      </c>
      <c r="S18" s="59">
        <f ca="1">AVERAGE(OFFSET($R$3,0,0,'Données projet'!$E$9+1,1))-AVERAGE(OFFSET($H$3,0,0,'Données projet'!$E$9+1,1))</f>
        <v>600.52384738314299</v>
      </c>
      <c r="T18" s="59">
        <f t="shared" si="34"/>
        <v>314.84650287986256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88</v>
      </c>
      <c r="AG18" s="12">
        <f>VLOOKUP(A18,'Données projet'!$A$61:$I$81,9,0)</f>
        <v>10.6</v>
      </c>
      <c r="AH18" s="12">
        <f t="array" ref="AH18">INDEX(AG:AG,MIN(IF(ISNUMBER(AG18:AG214),ROW(AG18:AG214),"")))</f>
        <v>10.6</v>
      </c>
      <c r="AI18" s="13">
        <f>IF('Données projet'!$A$62&gt;35,AI17+AH18-AQ17,IF(A18&lt;'Données projet'!$A$62,$AF$205^A18,IF(A18='Données projet'!$A$62,'Données projet'!$B$62,AI17+AH18-AQ17)))</f>
        <v>87.999999999999986</v>
      </c>
      <c r="AJ18" s="13">
        <f>AI18*VLOOKUP('Données projet'!$B$10,Paramètres!$A$1:$I$89,3,0)*VLOOKUP('Données projet'!$B$10,Paramètres!$A$1:$I$89,5,0)</f>
        <v>76.876799999999989</v>
      </c>
      <c r="AK18" s="13">
        <f t="shared" si="35"/>
        <v>21.371784666185118</v>
      </c>
      <c r="AL18" s="20">
        <f t="shared" si="4"/>
        <v>171.1162849602724</v>
      </c>
      <c r="AM18" s="59">
        <f t="shared" si="5"/>
        <v>338.95134485825156</v>
      </c>
      <c r="AN18" s="59">
        <f ca="1">AVERAGE(OFFSET($AM$3,0,0,'Données projet'!$E$10+1,1))-AVERAGE(OFFSET($H$3,0,0,'Données projet'!$E$10+1,1))</f>
        <v>436.77894860279537</v>
      </c>
      <c r="AO18" s="59">
        <f t="shared" si="36"/>
        <v>398.63561969573072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29.437200000000004</v>
      </c>
      <c r="BF18" s="13">
        <f t="shared" si="37"/>
        <v>9.1510096001539196</v>
      </c>
      <c r="BG18" s="20">
        <f t="shared" si="7"/>
        <v>67.207798386934755</v>
      </c>
      <c r="BH18" s="59">
        <f t="shared" si="8"/>
        <v>235.0428582849139</v>
      </c>
      <c r="BI18" s="59">
        <f ca="1">AVERAGE(OFFSET($BH$3,0,0,'Données projet'!$E$11+1,1))-AVERAGE(OFFSET($H$3,0,0,'Données projet'!$E$11+1,1))</f>
        <v>344.97546176735341</v>
      </c>
      <c r="BJ18" s="59">
        <f t="shared" si="38"/>
        <v>331.15461126257492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235.0428582849139</v>
      </c>
      <c r="CD18" s="59">
        <f ca="1">AVERAGE(OFFSET($CC$3,0,0,'Données projet'!$E$12+1,1))-AVERAGE(OFFSET($H$3,0,0,'Données projet'!$E$12+1,1))</f>
        <v>344.97546176735341</v>
      </c>
      <c r="CE18" s="59">
        <f t="shared" si="40"/>
        <v>331.15461126257492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232</v>
      </c>
      <c r="CR18" s="12">
        <f>VLOOKUP(A18,'Données projet'!$A$139:$I$159,9,0)</f>
        <v>21.4</v>
      </c>
      <c r="CS18" s="12">
        <f t="array" ref="CS18">INDEX(CR:CR,MIN(IF(ISNUMBER(CR18:CR214),ROW(CR18:CR214),"")))</f>
        <v>21.4</v>
      </c>
      <c r="CT18" s="12">
        <f>IF('Données projet'!$A$140&gt;35,CT17+CS18-DB17,IF(A18&lt;'Données projet'!$A$140,$CQ$205^A18,IF(A18='Données projet'!$A$140,'Données projet'!$B$140,CT17+CS18-DB17)))</f>
        <v>232.00000000000003</v>
      </c>
      <c r="CU18" s="17">
        <f>CT18*VLOOKUP('Données projet'!$B$13,Paramètres!$A$1:$I$89,3,0)*VLOOKUP('Données projet'!$B$13,Paramètres!$A$1:$I$89,5,0)</f>
        <v>110.74752000000001</v>
      </c>
      <c r="CV18" s="13">
        <f t="shared" si="41"/>
        <v>29.507036633390541</v>
      </c>
      <c r="CW18" s="20">
        <f t="shared" si="13"/>
        <v>244.27668613648856</v>
      </c>
      <c r="CX18" s="59">
        <f t="shared" si="14"/>
        <v>412.11174603446773</v>
      </c>
      <c r="CY18" s="59">
        <f ca="1">AVERAGE(OFFSET($CX$3,0,0,'Données projet'!$E$13+1,1))-AVERAGE(OFFSET($H$3,0,0,'Données projet'!$E$13+1,1))</f>
        <v>227.19465047672969</v>
      </c>
      <c r="CZ18" s="59">
        <f t="shared" si="42"/>
        <v>529.77979244134417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232</v>
      </c>
      <c r="DM18" s="12">
        <f>VLOOKUP(A18,'Données projet'!$A$165:$I$185,9,0)</f>
        <v>21.4</v>
      </c>
      <c r="DN18" s="12">
        <f t="array" ref="DN18">INDEX(DM:DM,MIN(IF(ISNUMBER(DM18:DM214),ROW(DM18:DM214),"")))</f>
        <v>21.4</v>
      </c>
      <c r="DO18" s="12">
        <f>IF('Données projet'!$A$166&gt;35,DO17+DN18-DW17,IF(A18&lt;'Données projet'!$A$166,$DL$205^A18,IF(A18='Données projet'!$A$166,'Données projet'!$B$166,DO17+DN18-DW17)))</f>
        <v>232.00000000000003</v>
      </c>
      <c r="DP18" s="17">
        <f>DO18*VLOOKUP('Données projet'!$B$14,Paramètres!$A$1:$I$89,3,0)*VLOOKUP('Données projet'!$B$14,Paramètres!$A$1:$I$89,5,0)</f>
        <v>117.98592000000001</v>
      </c>
      <c r="DQ18" s="13">
        <f t="shared" si="43"/>
        <v>31.20478645093479</v>
      </c>
      <c r="DR18" s="20">
        <f t="shared" si="16"/>
        <v>259.84048040204476</v>
      </c>
      <c r="DS18" s="59">
        <f t="shared" si="17"/>
        <v>427.67554030002395</v>
      </c>
      <c r="DT18" s="59">
        <f ca="1">AVERAGE(OFFSET($DS$3,0,0,'Données projet'!$E$14+1,1))-AVERAGE(OFFSET($H$3,0,0,'Données projet'!$E$14+1,1))</f>
        <v>240.09151195692266</v>
      </c>
      <c r="DU18" s="59">
        <f t="shared" si="44"/>
        <v>559.47775134103165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40</v>
      </c>
      <c r="EH18" s="12">
        <f>VLOOKUP(A18,'Données projet'!$A$191:$I$211,9,0)</f>
        <v>2.6666666666666665</v>
      </c>
      <c r="EI18" s="12">
        <f t="array" ref="EI18">INDEX(EH:EH,MIN(IF(ISNUMBER(EH18:EH214),ROW(EH18:EH214),"")))</f>
        <v>2.6666666666666665</v>
      </c>
      <c r="EJ18" s="12">
        <f>IF('Données projet'!$A$192&gt;35,EJ17+EI18-ER17,IF(A18&lt;'Données projet'!$A$192,$EG$205^A18,IF(A18='Données projet'!$A$192,'Données projet'!$B$192,EJ17+EI18-ER17)))</f>
        <v>40</v>
      </c>
      <c r="EK18" s="17">
        <f>EJ18*VLOOKUP('Données projet'!$B$15,Paramètres!$A$1:$I$89,3,0)*VLOOKUP('Données projet'!$B$15,Paramètres!$A$1:$I$89,5,0)</f>
        <v>31.200000000000003</v>
      </c>
      <c r="EL18" s="13">
        <f t="shared" si="45"/>
        <v>9.6335657126419925</v>
      </c>
      <c r="EM18" s="20">
        <f t="shared" si="19"/>
        <v>71.118460282851473</v>
      </c>
      <c r="EN18" s="59">
        <f t="shared" si="20"/>
        <v>238.95352018083065</v>
      </c>
      <c r="EO18" s="59">
        <f ca="1">AVERAGE(OFFSET($EN$3,0,0,'Données projet'!$E$15+1,1))-AVERAGE(OFFSET($H$3,0,0,'Données projet'!$E$15+1,1))</f>
        <v>328.79469965518484</v>
      </c>
      <c r="EP18" s="59">
        <f t="shared" si="46"/>
        <v>322.06400652269735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2.8</v>
      </c>
      <c r="FE18" s="12">
        <f>IF('Données projet'!$A$218&gt;35,FE17+FD18-FM17,IF(A18&lt;'Données projet'!$A$218,$FB$205^A18,IF(A18='Données projet'!$A$218,'Données projet'!$B$218,FE17+FD18-FM17)))</f>
        <v>20.471092479852732</v>
      </c>
      <c r="FF18" s="17">
        <f>FE18*VLOOKUP('Données projet'!$B$16,Paramètres!$A$1:$I$89,3,0)*VLOOKUP('Données projet'!$B$16,Paramètres!$A$1:$I$89,5,0)</f>
        <v>15.009405006228024</v>
      </c>
      <c r="FG18" s="13">
        <f t="shared" si="47"/>
        <v>5.0464599710782805</v>
      </c>
      <c r="FH18" s="20">
        <f t="shared" si="22"/>
        <v>34.930631502141807</v>
      </c>
      <c r="FI18" s="59">
        <f t="shared" si="23"/>
        <v>202.76569140012097</v>
      </c>
      <c r="FJ18" s="59">
        <f ca="1">AVERAGE(OFFSET($FI$3,0,0,'Données projet'!$E$16+1,1))-AVERAGE(OFFSET($H$3,0,0,'Données projet'!$E$16+1,1))</f>
        <v>525.22234644068908</v>
      </c>
      <c r="FK18" s="59">
        <f t="shared" si="48"/>
        <v>311.5550296132094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37</v>
      </c>
      <c r="FX18" s="12">
        <f>VLOOKUP(A18,'Données projet'!$A$243:$I$263,9,0)</f>
        <v>2.4666666666666668</v>
      </c>
      <c r="FY18" s="12">
        <f t="array" ref="FY18">INDEX(FX:FX,MIN(IF(ISNUMBER(FX18:FX214),ROW(FX18:FX214),"")))</f>
        <v>2.4666666666666668</v>
      </c>
      <c r="FZ18" s="12">
        <f>IF('Données projet'!$A$244&gt;35,FZ17+FY18-GH17,IF(A18&lt;'Données projet'!$A$244,$FW$205^A18,IF(A18='Données projet'!$A$244,'Données projet'!$B$244,FZ17+FY18-GH17)))</f>
        <v>37</v>
      </c>
      <c r="GA18" s="17">
        <f>FZ18*VLOOKUP('Données projet'!$B$17,Paramètres!$A$1:$I$89,3,0)*VLOOKUP('Données projet'!$B$17,Paramètres!$A$1:$I$89,5,0)</f>
        <v>24.2424</v>
      </c>
      <c r="GB18" s="13">
        <f t="shared" si="49"/>
        <v>7.7083792976822032</v>
      </c>
      <c r="GC18" s="20">
        <f t="shared" si="25"/>
        <v>55.647607276796499</v>
      </c>
      <c r="GD18" s="59">
        <f t="shared" si="26"/>
        <v>223.48266717477566</v>
      </c>
      <c r="GE18" s="59">
        <f ca="1">AVERAGE(OFFSET($GD$3,0,0,'Données projet'!$E$17+1,1))-AVERAGE(OFFSET($H$3,0,0,'Données projet'!$E$17+1,1))</f>
        <v>298.45881427802874</v>
      </c>
      <c r="GF18" s="59">
        <f t="shared" si="50"/>
        <v>287.00279305562356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15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135.66666666666666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</v>
      </c>
      <c r="N19" s="13">
        <f>IF('Données projet'!$A$36&gt;35,N18+M19-V18,IF(A19&lt;'Données projet'!$A$36,$K$205^A19,IF(A19='Données projet'!$A$36,'Données projet'!$B$36,N18+M19-V18)))</f>
        <v>64</v>
      </c>
      <c r="O19" s="13">
        <f>N19*VLOOKUP('Données projet'!$B$9,Paramètres!$A$1:$I$89,3,0)*VLOOKUP('Données projet'!$B$9,Paramètres!$A$1:$I$89,5,0)</f>
        <v>57.907199999999996</v>
      </c>
      <c r="P19" s="13">
        <f t="shared" si="33"/>
        <v>16.638055172386</v>
      </c>
      <c r="Q19" s="20">
        <f t="shared" si="2"/>
        <v>129.83298609190561</v>
      </c>
      <c r="R19" s="59">
        <f t="shared" si="0"/>
        <v>300.74934033796342</v>
      </c>
      <c r="S19" s="59">
        <f ca="1">AVERAGE(OFFSET($R$3,0,0,'Données projet'!$E$9+1,1))-AVERAGE(OFFSET($H$3,0,0,'Données projet'!$E$9+1,1))</f>
        <v>600.52384738314299</v>
      </c>
      <c r="T19" s="59">
        <f t="shared" si="34"/>
        <v>314.84650287986256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11.8</v>
      </c>
      <c r="AI19" s="13">
        <f>IF('Données projet'!$A$62&gt;35,AI18+AH19-AQ18,IF(A19&lt;'Données projet'!$A$62,$AF$205^A19,IF(A19='Données projet'!$A$62,'Données projet'!$B$62,AI18+AH19-AQ18)))</f>
        <v>69.799999999999983</v>
      </c>
      <c r="AJ19" s="13">
        <f>AI19*VLOOKUP('Données projet'!$B$10,Paramètres!$A$1:$I$89,3,0)*VLOOKUP('Données projet'!$B$10,Paramètres!$A$1:$I$89,5,0)</f>
        <v>60.977279999999993</v>
      </c>
      <c r="AK19" s="13">
        <f t="shared" si="35"/>
        <v>17.415123237238468</v>
      </c>
      <c r="AL19" s="20">
        <f t="shared" si="4"/>
        <v>136.5334356381903</v>
      </c>
      <c r="AM19" s="59">
        <f t="shared" si="5"/>
        <v>307.4497898842481</v>
      </c>
      <c r="AN19" s="59">
        <f ca="1">AVERAGE(OFFSET($AM$3,0,0,'Données projet'!$E$10+1,1))-AVERAGE(OFFSET($H$3,0,0,'Données projet'!$E$10+1,1))</f>
        <v>436.77894860279537</v>
      </c>
      <c r="AO19" s="59">
        <f t="shared" si="36"/>
        <v>398.63561969573072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26.732160000000004</v>
      </c>
      <c r="BF19" s="13">
        <f t="shared" si="37"/>
        <v>8.4038705306032053</v>
      </c>
      <c r="BG19" s="20">
        <f t="shared" si="7"/>
        <v>61.195253174133917</v>
      </c>
      <c r="BH19" s="59">
        <f t="shared" si="8"/>
        <v>232.11160742019172</v>
      </c>
      <c r="BI19" s="59">
        <f ca="1">AVERAGE(OFFSET($BH$3,0,0,'Données projet'!$E$11+1,1))-AVERAGE(OFFSET($H$3,0,0,'Données projet'!$E$11+1,1))</f>
        <v>344.97546176735341</v>
      </c>
      <c r="BJ19" s="59">
        <f t="shared" si="38"/>
        <v>331.15461126257492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232.11160742019172</v>
      </c>
      <c r="CD19" s="59">
        <f ca="1">AVERAGE(OFFSET($CC$3,0,0,'Données projet'!$E$12+1,1))-AVERAGE(OFFSET($H$3,0,0,'Données projet'!$E$12+1,1))</f>
        <v>344.97546176735341</v>
      </c>
      <c r="CE19" s="59">
        <f t="shared" si="40"/>
        <v>331.15461126257492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22.2</v>
      </c>
      <c r="CT19" s="12">
        <f>IF('Données projet'!$A$140&gt;35,CT18+CS19-DB18,IF(A19&lt;'Données projet'!$A$140,$CQ$205^A19,IF(A19='Données projet'!$A$140,'Données projet'!$B$140,CT18+CS19-DB18)))</f>
        <v>254.20000000000002</v>
      </c>
      <c r="CU19" s="17">
        <f>CT19*VLOOKUP('Données projet'!$B$13,Paramètres!$A$1:$I$89,3,0)*VLOOKUP('Données projet'!$B$13,Paramètres!$A$1:$I$89,5,0)</f>
        <v>121.34491200000001</v>
      </c>
      <c r="CV19" s="13">
        <f t="shared" si="41"/>
        <v>31.988474173464638</v>
      </c>
      <c r="CW19" s="20">
        <f t="shared" si="13"/>
        <v>267.05564758545091</v>
      </c>
      <c r="CX19" s="59">
        <f t="shared" si="14"/>
        <v>437.97200183150869</v>
      </c>
      <c r="CY19" s="59">
        <f ca="1">AVERAGE(OFFSET($CX$3,0,0,'Données projet'!$E$13+1,1))-AVERAGE(OFFSET($H$3,0,0,'Données projet'!$E$13+1,1))</f>
        <v>227.19465047672969</v>
      </c>
      <c r="CZ19" s="59">
        <f t="shared" si="42"/>
        <v>529.77979244134417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22.2</v>
      </c>
      <c r="DO19" s="12">
        <f>IF('Données projet'!$A$166&gt;35,DO18+DN19-DW18,IF(A19&lt;'Données projet'!$A$166,$DL$205^A19,IF(A19='Données projet'!$A$166,'Données projet'!$B$166,DO18+DN19-DW18)))</f>
        <v>254.20000000000002</v>
      </c>
      <c r="DP19" s="17">
        <f>DO19*VLOOKUP('Données projet'!$B$14,Paramètres!$A$1:$I$89,3,0)*VLOOKUP('Données projet'!$B$14,Paramètres!$A$1:$I$89,5,0)</f>
        <v>129.27595200000002</v>
      </c>
      <c r="DQ19" s="13">
        <f t="shared" si="43"/>
        <v>33.828998752949573</v>
      </c>
      <c r="DR19" s="20">
        <f t="shared" si="16"/>
        <v>284.07445589472053</v>
      </c>
      <c r="DS19" s="59">
        <f t="shared" si="17"/>
        <v>454.99081014077831</v>
      </c>
      <c r="DT19" s="59">
        <f ca="1">AVERAGE(OFFSET($DS$3,0,0,'Données projet'!$E$14+1,1))-AVERAGE(OFFSET($H$3,0,0,'Données projet'!$E$14+1,1))</f>
        <v>240.09151195692266</v>
      </c>
      <c r="DU19" s="59">
        <f t="shared" si="44"/>
        <v>559.47775134103165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9.6</v>
      </c>
      <c r="EJ19" s="12">
        <f>IF('Données projet'!$A$192&gt;35,EJ18+EI19-ER18,IF(A19&lt;'Données projet'!$A$192,$EG$205^A19,IF(A19='Données projet'!$A$192,'Données projet'!$B$192,EJ18+EI19-ER18)))</f>
        <v>46.6</v>
      </c>
      <c r="EK19" s="17">
        <f>EJ19*VLOOKUP('Données projet'!$B$15,Paramètres!$A$1:$I$89,3,0)*VLOOKUP('Données projet'!$B$15,Paramètres!$A$1:$I$89,5,0)</f>
        <v>36.347999999999999</v>
      </c>
      <c r="EL19" s="13">
        <f t="shared" si="45"/>
        <v>11.025356771848859</v>
      </c>
      <c r="EM19" s="20">
        <f t="shared" si="19"/>
        <v>82.508596377636763</v>
      </c>
      <c r="EN19" s="59">
        <f t="shared" si="20"/>
        <v>253.42495062369457</v>
      </c>
      <c r="EO19" s="59">
        <f ca="1">AVERAGE(OFFSET($EN$3,0,0,'Données projet'!$E$15+1,1))-AVERAGE(OFFSET($H$3,0,0,'Données projet'!$E$15+1,1))</f>
        <v>328.79469965518484</v>
      </c>
      <c r="EP19" s="59">
        <f t="shared" si="46"/>
        <v>322.06400652269735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2.8</v>
      </c>
      <c r="FE19" s="12">
        <f>IF('Données projet'!$A$218&gt;35,FE18+FD19-FM18,IF(A19&lt;'Données projet'!$A$218,$FB$205^A19,IF(A19='Données projet'!$A$218,'Données projet'!$B$218,FE18+FD19-FM18)))</f>
        <v>25.035162898423533</v>
      </c>
      <c r="FF19" s="17">
        <f>FE19*VLOOKUP('Données projet'!$B$16,Paramètres!$A$1:$I$89,3,0)*VLOOKUP('Données projet'!$B$16,Paramètres!$A$1:$I$89,5,0)</f>
        <v>18.355781437124133</v>
      </c>
      <c r="FG19" s="13">
        <f t="shared" si="47"/>
        <v>6.0286737183734314</v>
      </c>
      <c r="FH19" s="20">
        <f t="shared" si="22"/>
        <v>42.469592729158251</v>
      </c>
      <c r="FI19" s="59">
        <f t="shared" si="23"/>
        <v>213.38594697521606</v>
      </c>
      <c r="FJ19" s="59">
        <f ca="1">AVERAGE(OFFSET($FI$3,0,0,'Données projet'!$E$16+1,1))-AVERAGE(OFFSET($H$3,0,0,'Données projet'!$E$16+1,1))</f>
        <v>525.22234644068908</v>
      </c>
      <c r="FK19" s="59">
        <f t="shared" si="48"/>
        <v>311.5550296132094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11.6</v>
      </c>
      <c r="FZ19" s="12">
        <f>IF('Données projet'!$A$244&gt;35,FZ18+FY19-GH18,IF(A19&lt;'Données projet'!$A$244,$FW$205^A19,IF(A19='Données projet'!$A$244,'Données projet'!$B$244,FZ18+FY19-GH18)))</f>
        <v>33.6</v>
      </c>
      <c r="GA19" s="17">
        <f>FZ19*VLOOKUP('Données projet'!$B$17,Paramètres!$A$1:$I$89,3,0)*VLOOKUP('Données projet'!$B$17,Paramètres!$A$1:$I$89,5,0)</f>
        <v>22.014720000000001</v>
      </c>
      <c r="GB19" s="13">
        <f t="shared" si="49"/>
        <v>7.0790245501888318</v>
      </c>
      <c r="GC19" s="20">
        <f t="shared" si="25"/>
        <v>50.671605091578876</v>
      </c>
      <c r="GD19" s="59">
        <f t="shared" si="26"/>
        <v>221.58795933763668</v>
      </c>
      <c r="GE19" s="59">
        <f ca="1">AVERAGE(OFFSET($GD$3,0,0,'Données projet'!$E$17+1,1))-AVERAGE(OFFSET($H$3,0,0,'Données projet'!$E$17+1,1))</f>
        <v>298.45881427802874</v>
      </c>
      <c r="GF19" s="59">
        <f t="shared" si="50"/>
        <v>287.00279305562356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135.66666666666666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</v>
      </c>
      <c r="N20" s="13">
        <f>IF('Données projet'!$A$36&gt;35,N19+M20-V19,IF(A20&lt;'Données projet'!$A$36,$K$205^A20,IF(A20='Données projet'!$A$36,'Données projet'!$B$36,N19+M20-V19)))</f>
        <v>68</v>
      </c>
      <c r="O20" s="13">
        <f>N20*VLOOKUP('Données projet'!$B$9,Paramètres!$A$1:$I$89,3,0)*VLOOKUP('Données projet'!$B$9,Paramètres!$A$1:$I$89,5,0)</f>
        <v>61.526399999999995</v>
      </c>
      <c r="P20" s="13">
        <f t="shared" si="33"/>
        <v>17.553624762159014</v>
      </c>
      <c r="Q20" s="20">
        <f t="shared" si="2"/>
        <v>137.73104312742694</v>
      </c>
      <c r="R20" s="59">
        <f t="shared" si="0"/>
        <v>311.69644097644237</v>
      </c>
      <c r="S20" s="59">
        <f ca="1">AVERAGE(OFFSET($R$3,0,0,'Données projet'!$E$9+1,1))-AVERAGE(OFFSET($H$3,0,0,'Données projet'!$E$9+1,1))</f>
        <v>600.52384738314299</v>
      </c>
      <c r="T20" s="59">
        <f t="shared" si="34"/>
        <v>314.84650287986256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11.8</v>
      </c>
      <c r="AI20" s="13">
        <f>IF('Données projet'!$A$62&gt;35,AI19+AH20-AQ19,IF(A20&lt;'Données projet'!$A$62,$AF$205^A20,IF(A20='Données projet'!$A$62,'Données projet'!$B$62,AI19+AH20-AQ19)))</f>
        <v>81.59999999999998</v>
      </c>
      <c r="AJ20" s="13">
        <f>AI20*VLOOKUP('Données projet'!$B$10,Paramètres!$A$1:$I$89,3,0)*VLOOKUP('Données projet'!$B$10,Paramètres!$A$1:$I$89,5,0)</f>
        <v>71.285759999999982</v>
      </c>
      <c r="AK20" s="13">
        <f t="shared" si="35"/>
        <v>19.992418069182566</v>
      </c>
      <c r="AL20" s="20">
        <f t="shared" si="4"/>
        <v>158.97616013715958</v>
      </c>
      <c r="AM20" s="59">
        <f t="shared" si="5"/>
        <v>332.94155798617498</v>
      </c>
      <c r="AN20" s="59">
        <f ca="1">AVERAGE(OFFSET($AM$3,0,0,'Données projet'!$E$10+1,1))-AVERAGE(OFFSET($H$3,0,0,'Données projet'!$E$10+1,1))</f>
        <v>436.77894860279537</v>
      </c>
      <c r="AO20" s="59">
        <f t="shared" si="36"/>
        <v>398.63561969573072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35.961120000000008</v>
      </c>
      <c r="BF20" s="13">
        <f t="shared" si="37"/>
        <v>10.921600552662685</v>
      </c>
      <c r="BG20" s="20">
        <f t="shared" si="7"/>
        <v>81.654071629220851</v>
      </c>
      <c r="BH20" s="59">
        <f t="shared" si="8"/>
        <v>255.61946947823628</v>
      </c>
      <c r="BI20" s="59">
        <f ca="1">AVERAGE(OFFSET($BH$3,0,0,'Données projet'!$E$11+1,1))-AVERAGE(OFFSET($H$3,0,0,'Données projet'!$E$11+1,1))</f>
        <v>344.97546176735341</v>
      </c>
      <c r="BJ20" s="59">
        <f t="shared" si="38"/>
        <v>331.15461126257492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255.61946947823628</v>
      </c>
      <c r="CD20" s="59">
        <f ca="1">AVERAGE(OFFSET($CC$3,0,0,'Données projet'!$E$12+1,1))-AVERAGE(OFFSET($H$3,0,0,'Données projet'!$E$12+1,1))</f>
        <v>344.97546176735341</v>
      </c>
      <c r="CE20" s="59">
        <f t="shared" si="40"/>
        <v>331.15461126257492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22.2</v>
      </c>
      <c r="CT20" s="12">
        <f>IF('Données projet'!$A$140&gt;35,CT19+CS20-DB19,IF(A20&lt;'Données projet'!$A$140,$CQ$205^A20,IF(A20='Données projet'!$A$140,'Données projet'!$B$140,CT19+CS20-DB19)))</f>
        <v>276.40000000000003</v>
      </c>
      <c r="CU20" s="17">
        <f>CT20*VLOOKUP('Données projet'!$B$13,Paramètres!$A$1:$I$89,3,0)*VLOOKUP('Données projet'!$B$13,Paramètres!$A$1:$I$89,5,0)</f>
        <v>131.94230400000001</v>
      </c>
      <c r="CV20" s="13">
        <f t="shared" si="41"/>
        <v>34.444780647879675</v>
      </c>
      <c r="CW20" s="20">
        <f t="shared" si="13"/>
        <v>289.79083909505704</v>
      </c>
      <c r="CX20" s="59">
        <f t="shared" si="14"/>
        <v>463.7562369440725</v>
      </c>
      <c r="CY20" s="59">
        <f ca="1">AVERAGE(OFFSET($CX$3,0,0,'Données projet'!$E$13+1,1))-AVERAGE(OFFSET($H$3,0,0,'Données projet'!$E$13+1,1))</f>
        <v>227.19465047672969</v>
      </c>
      <c r="CZ20" s="59">
        <f t="shared" si="42"/>
        <v>529.77979244134417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22.2</v>
      </c>
      <c r="DO20" s="12">
        <f>IF('Données projet'!$A$166&gt;35,DO19+DN20-DW19,IF(A20&lt;'Données projet'!$A$166,$DL$205^A20,IF(A20='Données projet'!$A$166,'Données projet'!$B$166,DO19+DN20-DW19)))</f>
        <v>276.40000000000003</v>
      </c>
      <c r="DP20" s="17">
        <f>DO20*VLOOKUP('Données projet'!$B$14,Paramètres!$A$1:$I$89,3,0)*VLOOKUP('Données projet'!$B$14,Paramètres!$A$1:$I$89,5,0)</f>
        <v>140.56598400000001</v>
      </c>
      <c r="DQ20" s="13">
        <f t="shared" si="43"/>
        <v>36.426634020241487</v>
      </c>
      <c r="DR20" s="20">
        <f t="shared" si="16"/>
        <v>308.26214305192059</v>
      </c>
      <c r="DS20" s="59">
        <f t="shared" si="17"/>
        <v>482.22754090093599</v>
      </c>
      <c r="DT20" s="59">
        <f ca="1">AVERAGE(OFFSET($DS$3,0,0,'Données projet'!$E$14+1,1))-AVERAGE(OFFSET($H$3,0,0,'Données projet'!$E$14+1,1))</f>
        <v>240.09151195692266</v>
      </c>
      <c r="DU20" s="59">
        <f t="shared" si="44"/>
        <v>559.47775134103165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9.6</v>
      </c>
      <c r="EJ20" s="12">
        <f>IF('Données projet'!$A$192&gt;35,EJ19+EI20-ER19,IF(A20&lt;'Données projet'!$A$192,$EG$205^A20,IF(A20='Données projet'!$A$192,'Données projet'!$B$192,EJ19+EI20-ER19)))</f>
        <v>56.2</v>
      </c>
      <c r="EK20" s="17">
        <f>EJ20*VLOOKUP('Données projet'!$B$15,Paramètres!$A$1:$I$89,3,0)*VLOOKUP('Données projet'!$B$15,Paramètres!$A$1:$I$89,5,0)</f>
        <v>43.836000000000006</v>
      </c>
      <c r="EL20" s="13">
        <f t="shared" si="45"/>
        <v>13.009897179721728</v>
      </c>
      <c r="EM20" s="20">
        <f t="shared" si="19"/>
        <v>99.006604254682017</v>
      </c>
      <c r="EN20" s="59">
        <f t="shared" si="20"/>
        <v>272.97200210369743</v>
      </c>
      <c r="EO20" s="59">
        <f ca="1">AVERAGE(OFFSET($EN$3,0,0,'Données projet'!$E$15+1,1))-AVERAGE(OFFSET($H$3,0,0,'Données projet'!$E$15+1,1))</f>
        <v>328.79469965518484</v>
      </c>
      <c r="EP20" s="59">
        <f t="shared" si="46"/>
        <v>322.06400652269735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2.8</v>
      </c>
      <c r="FE20" s="12">
        <f>IF('Données projet'!$A$218&gt;35,FE19+FD20-FM19,IF(A20&lt;'Données projet'!$A$218,$FB$205^A20,IF(A20='Données projet'!$A$218,'Données projet'!$B$218,FE19+FD20-FM19)))</f>
        <v>30.61680181296855</v>
      </c>
      <c r="FF20" s="17">
        <f>FE20*VLOOKUP('Données projet'!$B$16,Paramètres!$A$1:$I$89,3,0)*VLOOKUP('Données projet'!$B$16,Paramètres!$A$1:$I$89,5,0)</f>
        <v>22.44823908926854</v>
      </c>
      <c r="FG20" s="13">
        <f t="shared" si="47"/>
        <v>7.2020598619433178</v>
      </c>
      <c r="FH20" s="20">
        <f t="shared" si="22"/>
        <v>51.640937340027314</v>
      </c>
      <c r="FI20" s="59">
        <f t="shared" si="23"/>
        <v>225.60633518904274</v>
      </c>
      <c r="FJ20" s="59">
        <f ca="1">AVERAGE(OFFSET($FI$3,0,0,'Données projet'!$E$16+1,1))-AVERAGE(OFFSET($H$3,0,0,'Données projet'!$E$16+1,1))</f>
        <v>525.22234644068908</v>
      </c>
      <c r="FK20" s="59">
        <f t="shared" si="48"/>
        <v>311.5550296132094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11.6</v>
      </c>
      <c r="FZ20" s="12">
        <f>IF('Données projet'!$A$244&gt;35,FZ19+FY20-GH19,IF(A20&lt;'Données projet'!$A$244,$FW$205^A20,IF(A20='Données projet'!$A$244,'Données projet'!$B$244,FZ19+FY20-GH19)))</f>
        <v>45.2</v>
      </c>
      <c r="GA20" s="17">
        <f>FZ20*VLOOKUP('Données projet'!$B$17,Paramètres!$A$1:$I$89,3,0)*VLOOKUP('Données projet'!$B$17,Paramètres!$A$1:$I$89,5,0)</f>
        <v>29.615040000000004</v>
      </c>
      <c r="GB20" s="13">
        <f t="shared" si="49"/>
        <v>9.1998416870072379</v>
      </c>
      <c r="GC20" s="20">
        <f t="shared" si="25"/>
        <v>67.602585604870953</v>
      </c>
      <c r="GD20" s="59">
        <f t="shared" si="26"/>
        <v>241.56798345388637</v>
      </c>
      <c r="GE20" s="59">
        <f ca="1">AVERAGE(OFFSET($GD$3,0,0,'Données projet'!$E$17+1,1))-AVERAGE(OFFSET($H$3,0,0,'Données projet'!$E$17+1,1))</f>
        <v>298.45881427802874</v>
      </c>
      <c r="GF20" s="59">
        <f t="shared" si="50"/>
        <v>287.00279305562356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135.66666666666666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</v>
      </c>
      <c r="N21" s="13">
        <f>IF('Données projet'!$A$36&gt;35,N20+M21-V20,IF(A21&lt;'Données projet'!$A$36,$K$205^A21,IF(A21='Données projet'!$A$36,'Données projet'!$B$36,N20+M21-V20)))</f>
        <v>72</v>
      </c>
      <c r="O21" s="13">
        <f>N21*VLOOKUP('Données projet'!$B$9,Paramètres!$A$1:$I$89,3,0)*VLOOKUP('Données projet'!$B$9,Paramètres!$A$1:$I$89,5,0)</f>
        <v>65.145600000000002</v>
      </c>
      <c r="P21" s="13">
        <f t="shared" si="33"/>
        <v>18.462943001028204</v>
      </c>
      <c r="Q21" s="20">
        <f t="shared" si="2"/>
        <v>145.61821239345747</v>
      </c>
      <c r="R21" s="59">
        <f t="shared" si="0"/>
        <v>322.60096257863557</v>
      </c>
      <c r="S21" s="59">
        <f ca="1">AVERAGE(OFFSET($R$3,0,0,'Données projet'!$E$9+1,1))-AVERAGE(OFFSET($H$3,0,0,'Données projet'!$E$9+1,1))</f>
        <v>600.52384738314299</v>
      </c>
      <c r="T21" s="59">
        <f t="shared" si="34"/>
        <v>314.84650287986256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11.8</v>
      </c>
      <c r="AI21" s="13">
        <f>IF('Données projet'!$A$62&gt;35,AI20+AH21-AQ20,IF(A21&lt;'Données projet'!$A$62,$AF$205^A21,IF(A21='Données projet'!$A$62,'Données projet'!$B$62,AI20+AH21-AQ20)))</f>
        <v>93.399999999999977</v>
      </c>
      <c r="AJ21" s="13">
        <f>AI21*VLOOKUP('Données projet'!$B$10,Paramètres!$A$1:$I$89,3,0)*VLOOKUP('Données projet'!$B$10,Paramètres!$A$1:$I$89,5,0)</f>
        <v>81.594239999999999</v>
      </c>
      <c r="AK21" s="13">
        <f t="shared" si="35"/>
        <v>22.526535320646335</v>
      </c>
      <c r="AL21" s="20">
        <f t="shared" si="4"/>
        <v>181.34368368345903</v>
      </c>
      <c r="AM21" s="59">
        <f t="shared" si="5"/>
        <v>358.32643386863714</v>
      </c>
      <c r="AN21" s="59">
        <f ca="1">AVERAGE(OFFSET($AM$3,0,0,'Données projet'!$E$10+1,1))-AVERAGE(OFFSET($H$3,0,0,'Données projet'!$E$10+1,1))</f>
        <v>436.77894860279537</v>
      </c>
      <c r="AO21" s="59">
        <f t="shared" si="36"/>
        <v>398.63561969573072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45.190080000000009</v>
      </c>
      <c r="BF21" s="13">
        <f t="shared" si="37"/>
        <v>13.364359727915414</v>
      </c>
      <c r="BG21" s="20">
        <f t="shared" si="7"/>
        <v>101.98231585945268</v>
      </c>
      <c r="BH21" s="59">
        <f t="shared" si="8"/>
        <v>278.96506604463082</v>
      </c>
      <c r="BI21" s="59">
        <f ca="1">AVERAGE(OFFSET($BH$3,0,0,'Données projet'!$E$11+1,1))-AVERAGE(OFFSET($H$3,0,0,'Données projet'!$E$11+1,1))</f>
        <v>344.97546176735341</v>
      </c>
      <c r="BJ21" s="59">
        <f t="shared" si="38"/>
        <v>331.15461126257492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278.96506604463082</v>
      </c>
      <c r="CD21" s="59">
        <f ca="1">AVERAGE(OFFSET($CC$3,0,0,'Données projet'!$E$12+1,1))-AVERAGE(OFFSET($H$3,0,0,'Données projet'!$E$12+1,1))</f>
        <v>344.97546176735341</v>
      </c>
      <c r="CE21" s="59">
        <f t="shared" si="40"/>
        <v>331.15461126257492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22.2</v>
      </c>
      <c r="CT21" s="12">
        <f>IF('Données projet'!$A$140&gt;35,CT20+CS21-DB20,IF(A21&lt;'Données projet'!$A$140,$CQ$205^A21,IF(A21='Données projet'!$A$140,'Données projet'!$B$140,CT20+CS21-DB20)))</f>
        <v>298.60000000000002</v>
      </c>
      <c r="CU21" s="17">
        <f>CT21*VLOOKUP('Données projet'!$B$13,Paramètres!$A$1:$I$89,3,0)*VLOOKUP('Données projet'!$B$13,Paramètres!$A$1:$I$89,5,0)</f>
        <v>142.53969599999999</v>
      </c>
      <c r="CV21" s="13">
        <f t="shared" si="41"/>
        <v>36.87820402585001</v>
      </c>
      <c r="CW21" s="20">
        <f t="shared" si="13"/>
        <v>312.48617587835537</v>
      </c>
      <c r="CX21" s="59">
        <f t="shared" si="14"/>
        <v>489.46892606353344</v>
      </c>
      <c r="CY21" s="59">
        <f ca="1">AVERAGE(OFFSET($CX$3,0,0,'Données projet'!$E$13+1,1))-AVERAGE(OFFSET($H$3,0,0,'Données projet'!$E$13+1,1))</f>
        <v>227.19465047672969</v>
      </c>
      <c r="CZ21" s="59">
        <f t="shared" si="42"/>
        <v>529.77979244134417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22.2</v>
      </c>
      <c r="DO21" s="12">
        <f>IF('Données projet'!$A$166&gt;35,DO20+DN21-DW20,IF(A21&lt;'Données projet'!$A$166,$DL$205^A21,IF(A21='Données projet'!$A$166,'Données projet'!$B$166,DO20+DN21-DW20)))</f>
        <v>298.60000000000002</v>
      </c>
      <c r="DP21" s="17">
        <f>DO21*VLOOKUP('Données projet'!$B$14,Paramètres!$A$1:$I$89,3,0)*VLOOKUP('Données projet'!$B$14,Paramètres!$A$1:$I$89,5,0)</f>
        <v>151.85601600000001</v>
      </c>
      <c r="DQ21" s="13">
        <f t="shared" si="43"/>
        <v>39.000069563692435</v>
      </c>
      <c r="DR21" s="20">
        <f t="shared" si="16"/>
        <v>332.40768235676427</v>
      </c>
      <c r="DS21" s="59">
        <f t="shared" si="17"/>
        <v>509.39043254194235</v>
      </c>
      <c r="DT21" s="59">
        <f ca="1">AVERAGE(OFFSET($DS$3,0,0,'Données projet'!$E$14+1,1))-AVERAGE(OFFSET($H$3,0,0,'Données projet'!$E$14+1,1))</f>
        <v>240.09151195692266</v>
      </c>
      <c r="DU21" s="59">
        <f t="shared" si="44"/>
        <v>559.47775134103165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9.6</v>
      </c>
      <c r="EJ21" s="12">
        <f>IF('Données projet'!$A$192&gt;35,EJ20+EI21-ER20,IF(A21&lt;'Données projet'!$A$192,$EG$205^A21,IF(A21='Données projet'!$A$192,'Données projet'!$B$192,EJ20+EI21-ER20)))</f>
        <v>65.8</v>
      </c>
      <c r="EK21" s="17">
        <f>EJ21*VLOOKUP('Données projet'!$B$15,Paramètres!$A$1:$I$89,3,0)*VLOOKUP('Données projet'!$B$15,Paramètres!$A$1:$I$89,5,0)</f>
        <v>51.323999999999998</v>
      </c>
      <c r="EL21" s="13">
        <f t="shared" si="45"/>
        <v>14.95516659950003</v>
      </c>
      <c r="EM21" s="20">
        <f t="shared" si="19"/>
        <v>115.43621516079588</v>
      </c>
      <c r="EN21" s="59">
        <f t="shared" si="20"/>
        <v>292.41896534597402</v>
      </c>
      <c r="EO21" s="59">
        <f ca="1">AVERAGE(OFFSET($EN$3,0,0,'Données projet'!$E$15+1,1))-AVERAGE(OFFSET($H$3,0,0,'Données projet'!$E$15+1,1))</f>
        <v>328.79469965518484</v>
      </c>
      <c r="EP21" s="59">
        <f t="shared" si="46"/>
        <v>322.06400652269735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2.8</v>
      </c>
      <c r="FE21" s="12">
        <f>IF('Données projet'!$A$218&gt;35,FE20+FD21-FM20,IF(A21&lt;'Données projet'!$A$218,$FB$205^A21,IF(A21='Données projet'!$A$218,'Données projet'!$B$218,FE20+FD21-FM20)))</f>
        <v>37.442878125375486</v>
      </c>
      <c r="FF21" s="17">
        <f>FE21*VLOOKUP('Données projet'!$B$16,Paramètres!$A$1:$I$89,3,0)*VLOOKUP('Données projet'!$B$16,Paramètres!$A$1:$I$89,5,0)</f>
        <v>27.453118241525306</v>
      </c>
      <c r="FG21" s="13">
        <f t="shared" si="47"/>
        <v>8.6038270900170275</v>
      </c>
      <c r="FH21" s="20">
        <f t="shared" si="22"/>
        <v>62.799179785769574</v>
      </c>
      <c r="FI21" s="59">
        <f t="shared" si="23"/>
        <v>239.78192997094769</v>
      </c>
      <c r="FJ21" s="59">
        <f ca="1">AVERAGE(OFFSET($FI$3,0,0,'Données projet'!$E$16+1,1))-AVERAGE(OFFSET($H$3,0,0,'Données projet'!$E$16+1,1))</f>
        <v>525.22234644068908</v>
      </c>
      <c r="FK21" s="59">
        <f t="shared" si="48"/>
        <v>311.5550296132094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11.6</v>
      </c>
      <c r="FZ21" s="12">
        <f>IF('Données projet'!$A$244&gt;35,FZ20+FY21-GH20,IF(A21&lt;'Données projet'!$A$244,$FW$205^A21,IF(A21='Données projet'!$A$244,'Données projet'!$B$244,FZ20+FY21-GH20)))</f>
        <v>56.800000000000004</v>
      </c>
      <c r="GA21" s="17">
        <f>FZ21*VLOOKUP('Données projet'!$B$17,Paramètres!$A$1:$I$89,3,0)*VLOOKUP('Données projet'!$B$17,Paramètres!$A$1:$I$89,5,0)</f>
        <v>37.215360000000004</v>
      </c>
      <c r="GB21" s="13">
        <f t="shared" si="49"/>
        <v>11.257506915052097</v>
      </c>
      <c r="GC21" s="20">
        <f t="shared" si="25"/>
        <v>84.42357654371574</v>
      </c>
      <c r="GD21" s="59">
        <f t="shared" si="26"/>
        <v>261.40632672889387</v>
      </c>
      <c r="GE21" s="59">
        <f ca="1">AVERAGE(OFFSET($GD$3,0,0,'Données projet'!$E$17+1,1))-AVERAGE(OFFSET($H$3,0,0,'Données projet'!$E$17+1,1))</f>
        <v>298.45881427802874</v>
      </c>
      <c r="GF21" s="59">
        <f t="shared" si="50"/>
        <v>287.00279305562356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135.66666666666666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</v>
      </c>
      <c r="N22" s="13">
        <f>IF('Données projet'!$A$36&gt;35,N21+M22-V21,IF(A22&lt;'Données projet'!$A$36,$K$205^A22,IF(A22='Données projet'!$A$36,'Données projet'!$B$36,N21+M22-V21)))</f>
        <v>76</v>
      </c>
      <c r="O22" s="13">
        <f>N22*VLOOKUP('Données projet'!$B$9,Paramètres!$A$1:$I$89,3,0)*VLOOKUP('Données projet'!$B$9,Paramètres!$A$1:$I$89,5,0)</f>
        <v>68.764799999999994</v>
      </c>
      <c r="P22" s="13">
        <f t="shared" si="33"/>
        <v>19.366396769521369</v>
      </c>
      <c r="Q22" s="20">
        <f t="shared" si="2"/>
        <v>153.49516770691636</v>
      </c>
      <c r="R22" s="59">
        <f t="shared" si="0"/>
        <v>333.46412873408997</v>
      </c>
      <c r="S22" s="59">
        <f ca="1">AVERAGE(OFFSET($R$3,0,0,'Données projet'!$E$9+1,1))-AVERAGE(OFFSET($H$3,0,0,'Données projet'!$E$9+1,1))</f>
        <v>600.52384738314299</v>
      </c>
      <c r="T22" s="59">
        <f t="shared" si="34"/>
        <v>314.84650287986256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11.8</v>
      </c>
      <c r="AI22" s="13">
        <f>IF('Données projet'!$A$62&gt;35,AI21+AH22-AQ21,IF(A22&lt;'Données projet'!$A$62,$AF$205^A22,IF(A22='Données projet'!$A$62,'Données projet'!$B$62,AI21+AH22-AQ21)))</f>
        <v>105.19999999999997</v>
      </c>
      <c r="AJ22" s="13">
        <f>AI22*VLOOKUP('Données projet'!$B$10,Paramètres!$A$1:$I$89,3,0)*VLOOKUP('Données projet'!$B$10,Paramètres!$A$1:$I$89,5,0)</f>
        <v>91.902719999999988</v>
      </c>
      <c r="AK22" s="13">
        <f t="shared" si="35"/>
        <v>25.023555003327861</v>
      </c>
      <c r="AL22" s="20">
        <f t="shared" si="4"/>
        <v>203.64659563079599</v>
      </c>
      <c r="AM22" s="59">
        <f t="shared" si="5"/>
        <v>383.61555665796959</v>
      </c>
      <c r="AN22" s="59">
        <f ca="1">AVERAGE(OFFSET($AM$3,0,0,'Données projet'!$E$10+1,1))-AVERAGE(OFFSET($H$3,0,0,'Données projet'!$E$10+1,1))</f>
        <v>436.77894860279537</v>
      </c>
      <c r="AO22" s="59">
        <f t="shared" si="36"/>
        <v>398.63561969573072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54.419040000000003</v>
      </c>
      <c r="BF22" s="13">
        <f t="shared" si="37"/>
        <v>15.749310274925152</v>
      </c>
      <c r="BG22" s="20">
        <f t="shared" si="7"/>
        <v>122.20987672882796</v>
      </c>
      <c r="BH22" s="59">
        <f t="shared" si="8"/>
        <v>302.17883775600154</v>
      </c>
      <c r="BI22" s="59">
        <f ca="1">AVERAGE(OFFSET($BH$3,0,0,'Données projet'!$E$11+1,1))-AVERAGE(OFFSET($H$3,0,0,'Données projet'!$E$11+1,1))</f>
        <v>344.97546176735341</v>
      </c>
      <c r="BJ22" s="59">
        <f t="shared" si="38"/>
        <v>331.15461126257492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302.17883775600154</v>
      </c>
      <c r="CD22" s="59">
        <f ca="1">AVERAGE(OFFSET($CC$3,0,0,'Données projet'!$E$12+1,1))-AVERAGE(OFFSET($H$3,0,0,'Données projet'!$E$12+1,1))</f>
        <v>344.97546176735341</v>
      </c>
      <c r="CE22" s="59">
        <f t="shared" si="40"/>
        <v>331.15461126257492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22.2</v>
      </c>
      <c r="CT22" s="12">
        <f>IF('Données projet'!$A$140&gt;35,CT21+CS22-DB21,IF(A22&lt;'Données projet'!$A$140,$CQ$205^A22,IF(A22='Données projet'!$A$140,'Données projet'!$B$140,CT21+CS22-DB21)))</f>
        <v>320.8</v>
      </c>
      <c r="CU22" s="17">
        <f>CT22*VLOOKUP('Données projet'!$B$13,Paramètres!$A$1:$I$89,3,0)*VLOOKUP('Données projet'!$B$13,Paramètres!$A$1:$I$89,5,0)</f>
        <v>153.13708800000001</v>
      </c>
      <c r="CV22" s="13">
        <f t="shared" si="41"/>
        <v>39.290639053102389</v>
      </c>
      <c r="CW22" s="20">
        <f t="shared" si="13"/>
        <v>335.14495795082001</v>
      </c>
      <c r="CX22" s="59">
        <f t="shared" si="14"/>
        <v>515.11391897799354</v>
      </c>
      <c r="CY22" s="59">
        <f ca="1">AVERAGE(OFFSET($CX$3,0,0,'Données projet'!$E$13+1,1))-AVERAGE(OFFSET($H$3,0,0,'Données projet'!$E$13+1,1))</f>
        <v>227.19465047672969</v>
      </c>
      <c r="CZ22" s="59">
        <f t="shared" si="42"/>
        <v>529.77979244134417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22.2</v>
      </c>
      <c r="DO22" s="12">
        <f>IF('Données projet'!$A$166&gt;35,DO21+DN22-DW21,IF(A22&lt;'Données projet'!$A$166,$DL$205^A22,IF(A22='Données projet'!$A$166,'Données projet'!$B$166,DO21+DN22-DW21)))</f>
        <v>320.8</v>
      </c>
      <c r="DP22" s="17">
        <f>DO22*VLOOKUP('Données projet'!$B$14,Paramètres!$A$1:$I$89,3,0)*VLOOKUP('Données projet'!$B$14,Paramètres!$A$1:$I$89,5,0)</f>
        <v>163.14604800000004</v>
      </c>
      <c r="DQ22" s="13">
        <f t="shared" si="43"/>
        <v>41.551309147235642</v>
      </c>
      <c r="DR22" s="20">
        <f t="shared" si="16"/>
        <v>356.51456369810211</v>
      </c>
      <c r="DS22" s="59">
        <f t="shared" si="17"/>
        <v>536.48352472527563</v>
      </c>
      <c r="DT22" s="59">
        <f ca="1">AVERAGE(OFFSET($DS$3,0,0,'Données projet'!$E$14+1,1))-AVERAGE(OFFSET($H$3,0,0,'Données projet'!$E$14+1,1))</f>
        <v>240.09151195692266</v>
      </c>
      <c r="DU22" s="59">
        <f t="shared" si="44"/>
        <v>559.47775134103165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9.6</v>
      </c>
      <c r="EJ22" s="12">
        <f>IF('Données projet'!$A$192&gt;35,EJ21+EI22-ER21,IF(A22&lt;'Données projet'!$A$192,$EG$205^A22,IF(A22='Données projet'!$A$192,'Données projet'!$B$192,EJ21+EI22-ER21)))</f>
        <v>75.399999999999991</v>
      </c>
      <c r="EK22" s="17">
        <f>EJ22*VLOOKUP('Données projet'!$B$15,Paramètres!$A$1:$I$89,3,0)*VLOOKUP('Données projet'!$B$15,Paramètres!$A$1:$I$89,5,0)</f>
        <v>58.811999999999998</v>
      </c>
      <c r="EL22" s="13">
        <f t="shared" si="45"/>
        <v>16.86755663452599</v>
      </c>
      <c r="EM22" s="20">
        <f t="shared" si="19"/>
        <v>131.8085611384661</v>
      </c>
      <c r="EN22" s="59">
        <f t="shared" si="20"/>
        <v>311.77752216563965</v>
      </c>
      <c r="EO22" s="59">
        <f ca="1">AVERAGE(OFFSET($EN$3,0,0,'Données projet'!$E$15+1,1))-AVERAGE(OFFSET($H$3,0,0,'Données projet'!$E$15+1,1))</f>
        <v>328.79469965518484</v>
      </c>
      <c r="EP22" s="59">
        <f t="shared" si="46"/>
        <v>322.06400652269735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2.8</v>
      </c>
      <c r="FE22" s="12">
        <f>IF('Données projet'!$A$218&gt;35,FE21+FD22-FM21,IF(A22&lt;'Données projet'!$A$218,$FB$205^A22,IF(A22='Données projet'!$A$218,'Données projet'!$B$218,FE21+FD22-FM21)))</f>
        <v>45.79084160638493</v>
      </c>
      <c r="FF22" s="17">
        <f>FE22*VLOOKUP('Données projet'!$B$16,Paramètres!$A$1:$I$89,3,0)*VLOOKUP('Données projet'!$B$16,Paramètres!$A$1:$I$89,5,0)</f>
        <v>33.573845065801436</v>
      </c>
      <c r="FG22" s="13">
        <f t="shared" si="47"/>
        <v>10.27842617444402</v>
      </c>
      <c r="FH22" s="20">
        <f t="shared" si="22"/>
        <v>76.376039076760833</v>
      </c>
      <c r="FI22" s="59">
        <f t="shared" si="23"/>
        <v>256.34500010393441</v>
      </c>
      <c r="FJ22" s="59">
        <f ca="1">AVERAGE(OFFSET($FI$3,0,0,'Données projet'!$E$16+1,1))-AVERAGE(OFFSET($H$3,0,0,'Données projet'!$E$16+1,1))</f>
        <v>525.22234644068908</v>
      </c>
      <c r="FK22" s="59">
        <f t="shared" si="48"/>
        <v>311.5550296132094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11.6</v>
      </c>
      <c r="FZ22" s="12">
        <f>IF('Données projet'!$A$244&gt;35,FZ21+FY22-GH21,IF(A22&lt;'Données projet'!$A$244,$FW$205^A22,IF(A22='Données projet'!$A$244,'Données projet'!$B$244,FZ21+FY22-GH21)))</f>
        <v>68.400000000000006</v>
      </c>
      <c r="GA22" s="17">
        <f>FZ22*VLOOKUP('Données projet'!$B$17,Paramètres!$A$1:$I$89,3,0)*VLOOKUP('Données projet'!$B$17,Paramètres!$A$1:$I$89,5,0)</f>
        <v>44.81568</v>
      </c>
      <c r="GB22" s="13">
        <f t="shared" si="49"/>
        <v>13.266476878569183</v>
      </c>
      <c r="GC22" s="20">
        <f t="shared" si="25"/>
        <v>101.15975656350798</v>
      </c>
      <c r="GD22" s="59">
        <f t="shared" si="26"/>
        <v>281.12871759068156</v>
      </c>
      <c r="GE22" s="59">
        <f ca="1">AVERAGE(OFFSET($GD$3,0,0,'Données projet'!$E$17+1,1))-AVERAGE(OFFSET($H$3,0,0,'Données projet'!$E$17+1,1))</f>
        <v>298.45881427802874</v>
      </c>
      <c r="GF22" s="59">
        <f t="shared" si="50"/>
        <v>287.00279305562356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135.66666666666666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</v>
      </c>
      <c r="N23" s="13">
        <f>IF('Données projet'!$A$36&gt;35,N22+M23-V22,IF(A23&lt;'Données projet'!$A$36,$K$205^A23,IF(A23='Données projet'!$A$36,'Données projet'!$B$36,N22+M23-V22)))</f>
        <v>80</v>
      </c>
      <c r="O23" s="13">
        <f>N23*VLOOKUP('Données projet'!$B$9,Paramètres!$A$1:$I$89,3,0)*VLOOKUP('Données projet'!$B$9,Paramètres!$A$1:$I$89,5,0)</f>
        <v>72.384</v>
      </c>
      <c r="P23" s="13">
        <f t="shared" si="33"/>
        <v>20.264329923804397</v>
      </c>
      <c r="Q23" s="20">
        <f t="shared" si="2"/>
        <v>161.362507950626</v>
      </c>
      <c r="R23" s="59">
        <f t="shared" si="0"/>
        <v>344.28707856092967</v>
      </c>
      <c r="S23" s="59">
        <f ca="1">AVERAGE(OFFSET($R$3,0,0,'Données projet'!$E$9+1,1))-AVERAGE(OFFSET($H$3,0,0,'Données projet'!$E$9+1,1))</f>
        <v>600.52384738314299</v>
      </c>
      <c r="T23" s="59">
        <f t="shared" si="34"/>
        <v>314.84650287986256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117</v>
      </c>
      <c r="AG23" s="12">
        <f>VLOOKUP(A23,'Données projet'!$A$61:$I$81,9,0)</f>
        <v>11.8</v>
      </c>
      <c r="AH23" s="12">
        <f t="array" ref="AH23">INDEX(AG:AG,MIN(IF(ISNUMBER(AG23:AG219),ROW(AG23:AG219),"")))</f>
        <v>11.8</v>
      </c>
      <c r="AI23" s="13">
        <f>IF('Données projet'!$A$62&gt;35,AI22+AH23-AQ22,IF(A23&lt;'Données projet'!$A$62,$AF$205^A23,IF(A23='Données projet'!$A$62,'Données projet'!$B$62,AI22+AH23-AQ22)))</f>
        <v>116.99999999999997</v>
      </c>
      <c r="AJ23" s="13">
        <f>AI23*VLOOKUP('Données projet'!$B$10,Paramètres!$A$1:$I$89,3,0)*VLOOKUP('Données projet'!$B$10,Paramètres!$A$1:$I$89,5,0)</f>
        <v>102.21119999999999</v>
      </c>
      <c r="AK23" s="13">
        <f t="shared" si="35"/>
        <v>27.488113037666018</v>
      </c>
      <c r="AL23" s="20">
        <f t="shared" si="4"/>
        <v>225.89297020726829</v>
      </c>
      <c r="AM23" s="59">
        <f t="shared" si="5"/>
        <v>408.81754081757197</v>
      </c>
      <c r="AN23" s="59">
        <f ca="1">AVERAGE(OFFSET($AM$3,0,0,'Données projet'!$E$10+1,1))-AVERAGE(OFFSET($H$3,0,0,'Données projet'!$E$10+1,1))</f>
        <v>436.77894860279537</v>
      </c>
      <c r="AO23" s="59">
        <f t="shared" si="36"/>
        <v>398.63561969573072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29</v>
      </c>
      <c r="AR23" s="16">
        <f>IF(ISNA(VLOOKUP(A23,'Données projet'!$A$61:$I$81,5,0)),0%,VLOOKUP(A23,'Données projet'!$A$61:$I$81,5,0)*VLOOKUP('Données projet'!$B$10,Paramètres!$A$1:$I$89,7,0))</f>
        <v>8.6000000000000007E-2</v>
      </c>
      <c r="AS23" s="16">
        <f>IF(ISNA(VLOOKUP(A23,'Données projet'!$A$61:$I$81,6,0)),0%,VLOOKUP(A23,'Données projet'!$A$61:$I$81,6,0)*VLOOKUP('Données projet'!$B$10,Paramètres!$A$1:$I$89,7,0))</f>
        <v>0.129</v>
      </c>
      <c r="AT23" s="16">
        <f>IF(ISNA(VLOOKUP(A23,'Données projet'!$A$61:$I$81,7,0)),0%,VLOOKUP(A23,'Données projet'!$A$61:$I$81,7,0))</f>
        <v>0.3</v>
      </c>
      <c r="AU23" s="21">
        <f>EXP(-LN(2)/35)*AU22+(1-EXP(-LN(2)/35))/(LN(2)/35)*AQ23*AR23*VLOOKUP('Données projet'!$B$10,Paramètres!$A$1:$I$89,3,0)*0.475*44/12</f>
        <v>2.4085528753586036</v>
      </c>
      <c r="AV23" s="21">
        <f>EXP(-LN(2)/25)*AV22+(1-EXP(-LN(2)/25))/(LN(2)/25)*Calculateur!AQ23*Calculateur!AS23*VLOOKUP('Données projet'!$B$10,Paramètres!$A$1:$I$89,3,0)*0.475*44/12</f>
        <v>3.5986042274365833</v>
      </c>
      <c r="AW23" s="21">
        <f>EXP(-LN(2)/2)*AW22+(1-EXP(-LN(2)/2))/(LN(2)/2)*AQ23*AT23*VLOOKUP('Données projet'!$B$10,Paramètres!$A$1:$I$89,3,0)*0.475*44/12</f>
        <v>7.1711064796136244</v>
      </c>
      <c r="AX23" s="21">
        <f t="shared" si="6"/>
        <v>13.17826358240881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63.647999999999996</v>
      </c>
      <c r="BF23" s="13">
        <f t="shared" si="37"/>
        <v>18.087405707268363</v>
      </c>
      <c r="BG23" s="20">
        <f t="shared" si="7"/>
        <v>142.35583160682572</v>
      </c>
      <c r="BH23" s="59">
        <f t="shared" si="8"/>
        <v>325.28040221712945</v>
      </c>
      <c r="BI23" s="59">
        <f ca="1">AVERAGE(OFFSET($BH$3,0,0,'Données projet'!$E$11+1,1))-AVERAGE(OFFSET($H$3,0,0,'Données projet'!$E$11+1,1))</f>
        <v>344.97546176735341</v>
      </c>
      <c r="BJ23" s="59">
        <f t="shared" si="38"/>
        <v>331.15461126257492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325.28040221712945</v>
      </c>
      <c r="CD23" s="59">
        <f ca="1">AVERAGE(OFFSET($CC$3,0,0,'Données projet'!$E$12+1,1))-AVERAGE(OFFSET($H$3,0,0,'Données projet'!$E$12+1,1))</f>
        <v>344.97546176735341</v>
      </c>
      <c r="CE23" s="59">
        <f t="shared" si="40"/>
        <v>331.15461126257492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343</v>
      </c>
      <c r="CR23" s="12">
        <f>VLOOKUP(A23,'Données projet'!$A$139:$I$159,9,0)</f>
        <v>22.2</v>
      </c>
      <c r="CS23" s="12">
        <f t="array" ref="CS23">INDEX(CR:CR,MIN(IF(ISNUMBER(CR23:CR219),ROW(CR23:CR219),"")))</f>
        <v>22.2</v>
      </c>
      <c r="CT23" s="12">
        <f>IF('Données projet'!$A$140&gt;35,CT22+CS23-DB22,IF(A23&lt;'Données projet'!$A$140,$CQ$205^A23,IF(A23='Données projet'!$A$140,'Données projet'!$B$140,CT22+CS23-DB22)))</f>
        <v>343</v>
      </c>
      <c r="CU23" s="17">
        <f>CT23*VLOOKUP('Données projet'!$B$13,Paramètres!$A$1:$I$89,3,0)*VLOOKUP('Données projet'!$B$13,Paramètres!$A$1:$I$89,5,0)</f>
        <v>163.73447999999999</v>
      </c>
      <c r="CV23" s="13">
        <f t="shared" si="41"/>
        <v>41.683703387247135</v>
      </c>
      <c r="CW23" s="20">
        <f t="shared" si="13"/>
        <v>357.77000273278873</v>
      </c>
      <c r="CX23" s="59">
        <f t="shared" si="14"/>
        <v>540.69457334309243</v>
      </c>
      <c r="CY23" s="59">
        <f ca="1">AVERAGE(OFFSET($CX$3,0,0,'Données projet'!$E$13+1,1))-AVERAGE(OFFSET($H$3,0,0,'Données projet'!$E$13+1,1))</f>
        <v>227.19465047672969</v>
      </c>
      <c r="CZ23" s="59">
        <f t="shared" si="42"/>
        <v>529.77979244134417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343</v>
      </c>
      <c r="DM23" s="12">
        <f>VLOOKUP(A23,'Données projet'!$A$165:$I$185,9,0)</f>
        <v>22.2</v>
      </c>
      <c r="DN23" s="12">
        <f t="array" ref="DN23">INDEX(DM:DM,MIN(IF(ISNUMBER(DM23:DM219),ROW(DM23:DM219),"")))</f>
        <v>22.2</v>
      </c>
      <c r="DO23" s="12">
        <f>IF('Données projet'!$A$166&gt;35,DO22+DN23-DW22,IF(A23&lt;'Données projet'!$A$166,$DL$205^A23,IF(A23='Données projet'!$A$166,'Données projet'!$B$166,DO22+DN23-DW22)))</f>
        <v>343</v>
      </c>
      <c r="DP23" s="17">
        <f>DO23*VLOOKUP('Données projet'!$B$14,Paramètres!$A$1:$I$89,3,0)*VLOOKUP('Données projet'!$B$14,Paramètres!$A$1:$I$89,5,0)</f>
        <v>174.43608</v>
      </c>
      <c r="DQ23" s="13">
        <f t="shared" si="43"/>
        <v>44.082063503836537</v>
      </c>
      <c r="DR23" s="20">
        <f t="shared" si="16"/>
        <v>380.58576660251532</v>
      </c>
      <c r="DS23" s="59">
        <f t="shared" si="17"/>
        <v>563.51033721281897</v>
      </c>
      <c r="DT23" s="59">
        <f ca="1">AVERAGE(OFFSET($DS$3,0,0,'Données projet'!$E$14+1,1))-AVERAGE(OFFSET($H$3,0,0,'Données projet'!$E$14+1,1))</f>
        <v>240.09151195692266</v>
      </c>
      <c r="DU23" s="59">
        <f t="shared" si="44"/>
        <v>559.47775134103165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85</v>
      </c>
      <c r="EH23" s="12">
        <f>VLOOKUP(A23,'Données projet'!$A$191:$I$211,9,0)</f>
        <v>9.6</v>
      </c>
      <c r="EI23" s="12">
        <f t="array" ref="EI23">INDEX(EH:EH,MIN(IF(ISNUMBER(EH23:EH219),ROW(EH23:EH219),"")))</f>
        <v>9.6</v>
      </c>
      <c r="EJ23" s="12">
        <f>IF('Données projet'!$A$192&gt;35,EJ22+EI23-ER22,IF(A23&lt;'Données projet'!$A$192,$EG$205^A23,IF(A23='Données projet'!$A$192,'Données projet'!$B$192,EJ22+EI23-ER22)))</f>
        <v>84.999999999999986</v>
      </c>
      <c r="EK23" s="17">
        <f>EJ23*VLOOKUP('Données projet'!$B$15,Paramètres!$A$1:$I$89,3,0)*VLOOKUP('Données projet'!$B$15,Paramètres!$A$1:$I$89,5,0)</f>
        <v>66.3</v>
      </c>
      <c r="EL23" s="13">
        <f t="shared" si="45"/>
        <v>18.751733344032118</v>
      </c>
      <c r="EM23" s="20">
        <f t="shared" si="19"/>
        <v>148.13176890752257</v>
      </c>
      <c r="EN23" s="59">
        <f t="shared" si="20"/>
        <v>331.05633951782625</v>
      </c>
      <c r="EO23" s="59">
        <f ca="1">AVERAGE(OFFSET($EN$3,0,0,'Données projet'!$E$15+1,1))-AVERAGE(OFFSET($H$3,0,0,'Données projet'!$E$15+1,1))</f>
        <v>328.79469965518484</v>
      </c>
      <c r="EP23" s="59">
        <f t="shared" si="46"/>
        <v>322.06400652269735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56</v>
      </c>
      <c r="FC23" s="12">
        <f>VLOOKUP(A23,'Données projet'!$A$217:$I$237,9,0)</f>
        <v>2.8</v>
      </c>
      <c r="FD23" s="12">
        <f t="array" ref="FD23">INDEX(FC:FC,MIN(IF(ISNUMBER(FC23:FC219),ROW(FC23:FC219),"")))</f>
        <v>2.8</v>
      </c>
      <c r="FE23" s="12">
        <f>IF('Données projet'!$A$218&gt;35,FE22+FD23-FM22,IF(A23&lt;'Données projet'!$A$218,$FB$205^A23,IF(A23='Données projet'!$A$218,'Données projet'!$B$218,FE22+FD23-FM22)))</f>
        <v>56</v>
      </c>
      <c r="FF23" s="17">
        <f>FE23*VLOOKUP('Données projet'!$B$16,Paramètres!$A$1:$I$89,3,0)*VLOOKUP('Données projet'!$B$16,Paramètres!$A$1:$I$89,5,0)</f>
        <v>41.059200000000004</v>
      </c>
      <c r="FG23" s="13">
        <f t="shared" si="47"/>
        <v>12.278959527914743</v>
      </c>
      <c r="FH23" s="20">
        <f t="shared" si="22"/>
        <v>92.897294511118176</v>
      </c>
      <c r="FI23" s="59">
        <f t="shared" si="23"/>
        <v>275.82186512142187</v>
      </c>
      <c r="FJ23" s="59">
        <f ca="1">AVERAGE(OFFSET($FI$3,0,0,'Données projet'!$E$16+1,1))-AVERAGE(OFFSET($H$3,0,0,'Données projet'!$E$16+1,1))</f>
        <v>525.22234644068908</v>
      </c>
      <c r="FK23" s="59">
        <f t="shared" si="48"/>
        <v>311.5550296132094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80</v>
      </c>
      <c r="FX23" s="12">
        <f>VLOOKUP(A23,'Données projet'!$A$243:$I$263,9,0)</f>
        <v>11.6</v>
      </c>
      <c r="FY23" s="12">
        <f t="array" ref="FY23">INDEX(FX:FX,MIN(IF(ISNUMBER(FX23:FX219),ROW(FX23:FX219),"")))</f>
        <v>11.6</v>
      </c>
      <c r="FZ23" s="12">
        <f>IF('Données projet'!$A$244&gt;35,FZ22+FY23-GH22,IF(A23&lt;'Données projet'!$A$244,$FW$205^A23,IF(A23='Données projet'!$A$244,'Données projet'!$B$244,FZ22+FY23-GH22)))</f>
        <v>80</v>
      </c>
      <c r="GA23" s="17">
        <f>FZ23*VLOOKUP('Données projet'!$B$17,Paramètres!$A$1:$I$89,3,0)*VLOOKUP('Données projet'!$B$17,Paramètres!$A$1:$I$89,5,0)</f>
        <v>52.416000000000004</v>
      </c>
      <c r="GB23" s="13">
        <f t="shared" si="49"/>
        <v>15.235978301273029</v>
      </c>
      <c r="GC23" s="20">
        <f t="shared" si="25"/>
        <v>117.82719554138386</v>
      </c>
      <c r="GD23" s="59">
        <f t="shared" si="26"/>
        <v>300.75176615168755</v>
      </c>
      <c r="GE23" s="59">
        <f ca="1">AVERAGE(OFFSET($GD$3,0,0,'Données projet'!$E$17+1,1))-AVERAGE(OFFSET($H$3,0,0,'Données projet'!$E$17+1,1))</f>
        <v>298.45881427802874</v>
      </c>
      <c r="GF23" s="59">
        <f t="shared" si="50"/>
        <v>287.00279305562356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28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135.66666666666666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</v>
      </c>
      <c r="N24" s="13">
        <f>IF('Données projet'!$A$36&gt;35,N23+M24-V23,IF(A24&lt;'Données projet'!$A$36,$K$205^A24,IF(A24='Données projet'!$A$36,'Données projet'!$B$36,N23+M24-V23)))</f>
        <v>84</v>
      </c>
      <c r="O24" s="13">
        <f>N24*VLOOKUP('Données projet'!$B$9,Paramètres!$A$1:$I$89,3,0)*VLOOKUP('Données projet'!$B$9,Paramètres!$A$1:$I$89,5,0)</f>
        <v>76.003200000000007</v>
      </c>
      <c r="P24" s="13">
        <f t="shared" si="33"/>
        <v>21.157049992000456</v>
      </c>
      <c r="Q24" s="20">
        <f t="shared" si="2"/>
        <v>169.22076873606747</v>
      </c>
      <c r="R24" s="59">
        <f t="shared" si="0"/>
        <v>355.07087853406318</v>
      </c>
      <c r="S24" s="59">
        <f ca="1">AVERAGE(OFFSET($R$3,0,0,'Données projet'!$E$9+1,1))-AVERAGE(OFFSET($H$3,0,0,'Données projet'!$E$9+1,1))</f>
        <v>600.52384738314299</v>
      </c>
      <c r="T24" s="59">
        <f t="shared" si="34"/>
        <v>314.84650287986256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11.4</v>
      </c>
      <c r="AI24" s="13">
        <f>IF('Données projet'!$A$62&gt;35,AI23+AH24-AQ23,IF(A24&lt;'Données projet'!$A$62,$AF$205^A24,IF(A24='Données projet'!$A$62,'Données projet'!$B$62,AI23+AH24-AQ23)))</f>
        <v>99.399999999999977</v>
      </c>
      <c r="AJ24" s="13">
        <f>AI24*VLOOKUP('Données projet'!$B$10,Paramètres!$A$1:$I$89,3,0)*VLOOKUP('Données projet'!$B$10,Paramètres!$A$1:$I$89,5,0)</f>
        <v>86.83583999999999</v>
      </c>
      <c r="AK24" s="13">
        <f t="shared" si="35"/>
        <v>23.800523515695954</v>
      </c>
      <c r="AL24" s="20">
        <f t="shared" si="4"/>
        <v>192.69166645650375</v>
      </c>
      <c r="AM24" s="59">
        <f t="shared" si="5"/>
        <v>378.5417762544995</v>
      </c>
      <c r="AN24" s="59">
        <f ca="1">AVERAGE(OFFSET($AM$3,0,0,'Données projet'!$E$10+1,1))-AVERAGE(OFFSET($H$3,0,0,'Données projet'!$E$10+1,1))</f>
        <v>436.77894860279537</v>
      </c>
      <c r="AO24" s="59">
        <f t="shared" si="36"/>
        <v>398.63561969573072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2.3613226225450163</v>
      </c>
      <c r="AV24" s="21">
        <f>EXP(-LN(2)/25)*AV23+(1-EXP(-LN(2)/25))/(LN(2)/25)*Calculateur!AQ24*Calculateur!AS24*VLOOKUP('Données projet'!$B$10,Paramètres!$A$1:$I$89,3,0)*0.475*44/12</f>
        <v>3.5002002055949584</v>
      </c>
      <c r="AW24" s="21">
        <f>EXP(-LN(2)/2)*AW23+(1-EXP(-LN(2)/2))/(LN(2)/2)*AQ24*AT24*VLOOKUP('Données projet'!$B$10,Paramètres!$A$1:$I$89,3,0)*0.475*44/12</f>
        <v>5.0707380203455843</v>
      </c>
      <c r="AX24" s="21">
        <f t="shared" si="6"/>
        <v>10.932260848485559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51.395759999999996</v>
      </c>
      <c r="BF24" s="13">
        <f t="shared" si="37"/>
        <v>14.973641136922506</v>
      </c>
      <c r="BG24" s="20">
        <f t="shared" si="7"/>
        <v>115.59337364680668</v>
      </c>
      <c r="BH24" s="59">
        <f t="shared" si="8"/>
        <v>301.44348344480238</v>
      </c>
      <c r="BI24" s="59">
        <f ca="1">AVERAGE(OFFSET($BH$3,0,0,'Données projet'!$E$11+1,1))-AVERAGE(OFFSET($H$3,0,0,'Données projet'!$E$11+1,1))</f>
        <v>344.97546176735341</v>
      </c>
      <c r="BJ24" s="59">
        <f t="shared" si="38"/>
        <v>331.15461126257492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301.44348344480238</v>
      </c>
      <c r="CD24" s="59">
        <f ca="1">AVERAGE(OFFSET($CC$3,0,0,'Données projet'!$E$12+1,1))-AVERAGE(OFFSET($H$3,0,0,'Données projet'!$E$12+1,1))</f>
        <v>344.97546176735341</v>
      </c>
      <c r="CE24" s="59">
        <f t="shared" si="40"/>
        <v>331.15461126257492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19.5</v>
      </c>
      <c r="CT24" s="12">
        <f>IF('Données projet'!$A$140&gt;35,CT23+CS24-DB23,IF(A24&lt;'Données projet'!$A$140,$CQ$205^A24,IF(A24='Données projet'!$A$140,'Données projet'!$B$140,CT23+CS24-DB23)))</f>
        <v>362.5</v>
      </c>
      <c r="CU24" s="17">
        <f>CT24*VLOOKUP('Données projet'!$B$13,Paramètres!$A$1:$I$89,3,0)*VLOOKUP('Données projet'!$B$13,Paramètres!$A$1:$I$89,5,0)</f>
        <v>173.04300000000001</v>
      </c>
      <c r="CV24" s="13">
        <f t="shared" si="41"/>
        <v>43.770849037997493</v>
      </c>
      <c r="CW24" s="20">
        <f t="shared" si="13"/>
        <v>377.61745374117896</v>
      </c>
      <c r="CX24" s="59">
        <f t="shared" si="14"/>
        <v>563.46756353917465</v>
      </c>
      <c r="CY24" s="59">
        <f ca="1">AVERAGE(OFFSET($CX$3,0,0,'Données projet'!$E$13+1,1))-AVERAGE(OFFSET($H$3,0,0,'Données projet'!$E$13+1,1))</f>
        <v>227.19465047672969</v>
      </c>
      <c r="CZ24" s="59">
        <f t="shared" si="42"/>
        <v>529.77979244134417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19.5</v>
      </c>
      <c r="DO24" s="12">
        <f>IF('Données projet'!$A$166&gt;35,DO23+DN24-DW23,IF(A24&lt;'Données projet'!$A$166,$DL$205^A24,IF(A24='Données projet'!$A$166,'Données projet'!$B$166,DO23+DN24-DW23)))</f>
        <v>362.5</v>
      </c>
      <c r="DP24" s="17">
        <f>DO24*VLOOKUP('Données projet'!$B$14,Paramètres!$A$1:$I$89,3,0)*VLOOKUP('Données projet'!$B$14,Paramètres!$A$1:$I$89,5,0)</f>
        <v>184.35300000000004</v>
      </c>
      <c r="DQ24" s="13">
        <f t="shared" si="43"/>
        <v>46.289297497980201</v>
      </c>
      <c r="DR24" s="20">
        <f t="shared" si="16"/>
        <v>401.70200147564884</v>
      </c>
      <c r="DS24" s="59">
        <f t="shared" si="17"/>
        <v>587.55211127364453</v>
      </c>
      <c r="DT24" s="59">
        <f ca="1">AVERAGE(OFFSET($DS$3,0,0,'Données projet'!$E$14+1,1))-AVERAGE(OFFSET($H$3,0,0,'Données projet'!$E$14+1,1))</f>
        <v>240.09151195692266</v>
      </c>
      <c r="DU24" s="59">
        <f t="shared" si="44"/>
        <v>559.47775134103165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10.6</v>
      </c>
      <c r="EJ24" s="12">
        <f>IF('Données projet'!$A$192&gt;35,EJ23+EI24-ER23,IF(A24&lt;'Données projet'!$A$192,$EG$205^A24,IF(A24='Données projet'!$A$192,'Données projet'!$B$192,EJ23+EI24-ER23)))</f>
        <v>70.59999999999998</v>
      </c>
      <c r="EK24" s="17">
        <f>EJ24*VLOOKUP('Données projet'!$B$15,Paramètres!$A$1:$I$89,3,0)*VLOOKUP('Données projet'!$B$15,Paramètres!$A$1:$I$89,5,0)</f>
        <v>55.067999999999984</v>
      </c>
      <c r="EL24" s="13">
        <f t="shared" si="45"/>
        <v>15.915148294580479</v>
      </c>
      <c r="EM24" s="20">
        <f t="shared" si="19"/>
        <v>123.62898327972762</v>
      </c>
      <c r="EN24" s="59">
        <f t="shared" si="20"/>
        <v>309.47909307772335</v>
      </c>
      <c r="EO24" s="59">
        <f ca="1">AVERAGE(OFFSET($EN$3,0,0,'Données projet'!$E$15+1,1))-AVERAGE(OFFSET($H$3,0,0,'Données projet'!$E$15+1,1))</f>
        <v>328.79469965518484</v>
      </c>
      <c r="EP24" s="59">
        <f t="shared" si="46"/>
        <v>322.06400652269735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11</v>
      </c>
      <c r="FE24" s="12">
        <f>IF('Données projet'!$A$218&gt;35,FE23+FD24-FM23,IF(A24&lt;'Données projet'!$A$218,$FB$205^A24,IF(A24='Données projet'!$A$218,'Données projet'!$B$218,FE23+FD24-FM23)))</f>
        <v>67</v>
      </c>
      <c r="FF24" s="17">
        <f>FE24*VLOOKUP('Données projet'!$B$16,Paramètres!$A$1:$I$89,3,0)*VLOOKUP('Données projet'!$B$16,Paramètres!$A$1:$I$89,5,0)</f>
        <v>49.124400000000001</v>
      </c>
      <c r="FG24" s="13">
        <f t="shared" si="47"/>
        <v>14.38740016036772</v>
      </c>
      <c r="FH24" s="20">
        <f t="shared" si="22"/>
        <v>110.61638527930711</v>
      </c>
      <c r="FI24" s="59">
        <f t="shared" si="23"/>
        <v>296.46649507730285</v>
      </c>
      <c r="FJ24" s="59">
        <f ca="1">AVERAGE(OFFSET($FI$3,0,0,'Données projet'!$E$16+1,1))-AVERAGE(OFFSET($H$3,0,0,'Données projet'!$E$16+1,1))</f>
        <v>525.22234644068908</v>
      </c>
      <c r="FK24" s="59">
        <f t="shared" si="48"/>
        <v>311.5550296132094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12.6</v>
      </c>
      <c r="FZ24" s="12">
        <f>IF('Données projet'!$A$244&gt;35,FZ23+FY24-GH23,IF(A24&lt;'Données projet'!$A$244,$FW$205^A24,IF(A24='Données projet'!$A$244,'Données projet'!$B$244,FZ23+FY24-GH23)))</f>
        <v>64.599999999999994</v>
      </c>
      <c r="GA24" s="17">
        <f>FZ24*VLOOKUP('Données projet'!$B$17,Paramètres!$A$1:$I$89,3,0)*VLOOKUP('Données projet'!$B$17,Paramètres!$A$1:$I$89,5,0)</f>
        <v>42.325919999999996</v>
      </c>
      <c r="GB24" s="13">
        <f t="shared" si="49"/>
        <v>12.613089745729766</v>
      </c>
      <c r="GC24" s="20">
        <f t="shared" si="25"/>
        <v>95.685441973812658</v>
      </c>
      <c r="GD24" s="59">
        <f t="shared" si="26"/>
        <v>281.5355517718084</v>
      </c>
      <c r="GE24" s="59">
        <f ca="1">AVERAGE(OFFSET($GD$3,0,0,'Données projet'!$E$17+1,1))-AVERAGE(OFFSET($H$3,0,0,'Données projet'!$E$17+1,1))</f>
        <v>298.45881427802874</v>
      </c>
      <c r="GF24" s="59">
        <f t="shared" si="50"/>
        <v>287.00279305562356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135.66666666666666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</v>
      </c>
      <c r="N25" s="13">
        <f>IF('Données projet'!$A$36&gt;35,N24+M25-V24,IF(A25&lt;'Données projet'!$A$36,$K$205^A25,IF(A25='Données projet'!$A$36,'Données projet'!$B$36,N24+M25-V24)))</f>
        <v>88</v>
      </c>
      <c r="O25" s="13">
        <f>N25*VLOOKUP('Données projet'!$B$9,Paramètres!$A$1:$I$89,3,0)*VLOOKUP('Données projet'!$B$9,Paramètres!$A$1:$I$89,5,0)</f>
        <v>79.622399999999999</v>
      </c>
      <c r="P25" s="13">
        <f t="shared" si="33"/>
        <v>22.044833558880924</v>
      </c>
      <c r="Q25" s="20">
        <f t="shared" si="2"/>
        <v>177.07043178171759</v>
      </c>
      <c r="R25" s="59">
        <f t="shared" si="0"/>
        <v>365.81653202610062</v>
      </c>
      <c r="S25" s="59">
        <f ca="1">AVERAGE(OFFSET($R$3,0,0,'Données projet'!$E$9+1,1))-AVERAGE(OFFSET($H$3,0,0,'Données projet'!$E$9+1,1))</f>
        <v>600.52384738314299</v>
      </c>
      <c r="T25" s="59">
        <f t="shared" si="34"/>
        <v>314.84650287986256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11.4</v>
      </c>
      <c r="AI25" s="13">
        <f>IF('Données projet'!$A$62&gt;35,AI24+AH25-AQ24,IF(A25&lt;'Données projet'!$A$62,$AF$205^A25,IF(A25='Données projet'!$A$62,'Données projet'!$B$62,AI24+AH25-AQ24)))</f>
        <v>110.79999999999998</v>
      </c>
      <c r="AJ25" s="13">
        <f>AI25*VLOOKUP('Données projet'!$B$10,Paramètres!$A$1:$I$89,3,0)*VLOOKUP('Données projet'!$B$10,Paramètres!$A$1:$I$89,5,0)</f>
        <v>96.794879999999992</v>
      </c>
      <c r="AK25" s="13">
        <f t="shared" si="35"/>
        <v>26.196980264498734</v>
      </c>
      <c r="AL25" s="20">
        <f t="shared" si="4"/>
        <v>214.21082329400193</v>
      </c>
      <c r="AM25" s="59">
        <f t="shared" si="5"/>
        <v>402.9569235383849</v>
      </c>
      <c r="AN25" s="59">
        <f ca="1">AVERAGE(OFFSET($AM$3,0,0,'Données projet'!$E$10+1,1))-AVERAGE(OFFSET($H$3,0,0,'Données projet'!$E$10+1,1))</f>
        <v>436.77894860279537</v>
      </c>
      <c r="AO25" s="59">
        <f t="shared" si="36"/>
        <v>398.63561969573072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2.3150185261814942</v>
      </c>
      <c r="AV25" s="21">
        <f>EXP(-LN(2)/25)*AV24+(1-EXP(-LN(2)/25))/(LN(2)/25)*Calculateur!AQ25*Calculateur!AS25*VLOOKUP('Données projet'!$B$10,Paramètres!$A$1:$I$89,3,0)*0.475*44/12</f>
        <v>3.4044870469054351</v>
      </c>
      <c r="AW25" s="21">
        <f>EXP(-LN(2)/2)*AW24+(1-EXP(-LN(2)/2))/(LN(2)/2)*AQ25*AT25*VLOOKUP('Données projet'!$B$10,Paramètres!$A$1:$I$89,3,0)*0.475*44/12</f>
        <v>3.5855532398068126</v>
      </c>
      <c r="AX25" s="21">
        <f t="shared" si="6"/>
        <v>9.3050588128937406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61.42031999999999</v>
      </c>
      <c r="BF25" s="13">
        <f t="shared" si="37"/>
        <v>17.526880037631354</v>
      </c>
      <c r="BG25" s="20">
        <f t="shared" si="7"/>
        <v>137.4997067322079</v>
      </c>
      <c r="BH25" s="59">
        <f t="shared" si="8"/>
        <v>326.24580697659087</v>
      </c>
      <c r="BI25" s="59">
        <f ca="1">AVERAGE(OFFSET($BH$3,0,0,'Données projet'!$E$11+1,1))-AVERAGE(OFFSET($H$3,0,0,'Données projet'!$E$11+1,1))</f>
        <v>344.97546176735341</v>
      </c>
      <c r="BJ25" s="59">
        <f t="shared" si="38"/>
        <v>331.15461126257492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326.24580697659087</v>
      </c>
      <c r="CD25" s="59">
        <f ca="1">AVERAGE(OFFSET($CC$3,0,0,'Données projet'!$E$12+1,1))-AVERAGE(OFFSET($H$3,0,0,'Données projet'!$E$12+1,1))</f>
        <v>344.97546176735341</v>
      </c>
      <c r="CE25" s="59">
        <f t="shared" si="40"/>
        <v>331.15461126257492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>
        <f>VLOOKUP(A25,'Données projet'!$A$139:$I$159,2,0)</f>
        <v>382</v>
      </c>
      <c r="CR25" s="12">
        <f>VLOOKUP(A25,'Données projet'!$A$139:$I$159,9,0)</f>
        <v>19.5</v>
      </c>
      <c r="CS25" s="12">
        <f t="array" ref="CS25">INDEX(CR:CR,MIN(IF(ISNUMBER(CR25:CR221),ROW(CR25:CR221),"")))</f>
        <v>19.5</v>
      </c>
      <c r="CT25" s="12">
        <f>IF('Données projet'!$A$140&gt;35,CT24+CS25-DB24,IF(A25&lt;'Données projet'!$A$140,$CQ$205^A25,IF(A25='Données projet'!$A$140,'Données projet'!$B$140,CT24+CS25-DB24)))</f>
        <v>382</v>
      </c>
      <c r="CU25" s="17">
        <f>CT25*VLOOKUP('Données projet'!$B$13,Paramètres!$A$1:$I$89,3,0)*VLOOKUP('Données projet'!$B$13,Paramètres!$A$1:$I$89,5,0)</f>
        <v>182.35151999999999</v>
      </c>
      <c r="CV25" s="13">
        <f t="shared" si="41"/>
        <v>45.844960183911084</v>
      </c>
      <c r="CW25" s="20">
        <f t="shared" si="13"/>
        <v>397.44220298697843</v>
      </c>
      <c r="CX25" s="59">
        <f t="shared" si="14"/>
        <v>586.18830323136149</v>
      </c>
      <c r="CY25" s="59">
        <f ca="1">AVERAGE(OFFSET($CX$3,0,0,'Données projet'!$E$13+1,1))-AVERAGE(OFFSET($H$3,0,0,'Données projet'!$E$13+1,1))</f>
        <v>227.19465047672969</v>
      </c>
      <c r="CZ25" s="59">
        <f t="shared" si="42"/>
        <v>529.77979244134417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>
        <f>VLOOKUP(A25,'Données projet'!$A$165:$I$185,2,0)</f>
        <v>382</v>
      </c>
      <c r="DM25" s="12">
        <f>VLOOKUP(A25,'Données projet'!$A$165:$I$185,9,0)</f>
        <v>19.5</v>
      </c>
      <c r="DN25" s="12">
        <f t="array" ref="DN25">INDEX(DM:DM,MIN(IF(ISNUMBER(DM25:DM221),ROW(DM25:DM221),"")))</f>
        <v>19.5</v>
      </c>
      <c r="DO25" s="12">
        <f>IF('Données projet'!$A$166&gt;35,DO24+DN25-DW24,IF(A25&lt;'Données projet'!$A$166,$DL$205^A25,IF(A25='Données projet'!$A$166,'Données projet'!$B$166,DO24+DN25-DW24)))</f>
        <v>382</v>
      </c>
      <c r="DP25" s="17">
        <f>DO25*VLOOKUP('Données projet'!$B$14,Paramètres!$A$1:$I$89,3,0)*VLOOKUP('Données projet'!$B$14,Paramètres!$A$1:$I$89,5,0)</f>
        <v>194.26992000000001</v>
      </c>
      <c r="DQ25" s="13">
        <f t="shared" si="43"/>
        <v>48.482747019457967</v>
      </c>
      <c r="DR25" s="20">
        <f t="shared" si="16"/>
        <v>422.79422839222258</v>
      </c>
      <c r="DS25" s="59">
        <f t="shared" si="17"/>
        <v>611.54032863660564</v>
      </c>
      <c r="DT25" s="59">
        <f ca="1">AVERAGE(OFFSET($DS$3,0,0,'Données projet'!$E$14+1,1))-AVERAGE(OFFSET($H$3,0,0,'Données projet'!$E$14+1,1))</f>
        <v>240.09151195692266</v>
      </c>
      <c r="DU25" s="59">
        <f t="shared" si="44"/>
        <v>559.47775134103165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10.6</v>
      </c>
      <c r="EJ25" s="12">
        <f>IF('Données projet'!$A$192&gt;35,EJ24+EI25-ER24,IF(A25&lt;'Données projet'!$A$192,$EG$205^A25,IF(A25='Données projet'!$A$192,'Données projet'!$B$192,EJ24+EI25-ER24)))</f>
        <v>81.199999999999974</v>
      </c>
      <c r="EK25" s="17">
        <f>EJ25*VLOOKUP('Données projet'!$B$15,Paramètres!$A$1:$I$89,3,0)*VLOOKUP('Données projet'!$B$15,Paramètres!$A$1:$I$89,5,0)</f>
        <v>63.335999999999984</v>
      </c>
      <c r="EL25" s="13">
        <f t="shared" si="45"/>
        <v>18.009040022946227</v>
      </c>
      <c r="EM25" s="20">
        <f t="shared" si="19"/>
        <v>141.67594470663133</v>
      </c>
      <c r="EN25" s="59">
        <f t="shared" si="20"/>
        <v>330.4220449510143</v>
      </c>
      <c r="EO25" s="59">
        <f ca="1">AVERAGE(OFFSET($EN$3,0,0,'Données projet'!$E$15+1,1))-AVERAGE(OFFSET($H$3,0,0,'Données projet'!$E$15+1,1))</f>
        <v>328.79469965518484</v>
      </c>
      <c r="EP25" s="59">
        <f t="shared" si="46"/>
        <v>322.06400652269735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11</v>
      </c>
      <c r="FE25" s="12">
        <f>IF('Données projet'!$A$218&gt;35,FE24+FD25-FM24,IF(A25&lt;'Données projet'!$A$218,$FB$205^A25,IF(A25='Données projet'!$A$218,'Données projet'!$B$218,FE24+FD25-FM24)))</f>
        <v>78</v>
      </c>
      <c r="FF25" s="17">
        <f>FE25*VLOOKUP('Données projet'!$B$16,Paramètres!$A$1:$I$89,3,0)*VLOOKUP('Données projet'!$B$16,Paramètres!$A$1:$I$89,5,0)</f>
        <v>57.189599999999999</v>
      </c>
      <c r="FG25" s="13">
        <f t="shared" si="47"/>
        <v>16.455740048444721</v>
      </c>
      <c r="FH25" s="20">
        <f t="shared" si="22"/>
        <v>128.2656339177079</v>
      </c>
      <c r="FI25" s="59">
        <f t="shared" si="23"/>
        <v>317.01173416209087</v>
      </c>
      <c r="FJ25" s="59">
        <f ca="1">AVERAGE(OFFSET($FI$3,0,0,'Données projet'!$E$16+1,1))-AVERAGE(OFFSET($H$3,0,0,'Données projet'!$E$16+1,1))</f>
        <v>525.22234644068908</v>
      </c>
      <c r="FK25" s="59">
        <f t="shared" si="48"/>
        <v>311.5550296132094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12.6</v>
      </c>
      <c r="FZ25" s="12">
        <f>IF('Données projet'!$A$244&gt;35,FZ24+FY25-GH24,IF(A25&lt;'Données projet'!$A$244,$FW$205^A25,IF(A25='Données projet'!$A$244,'Données projet'!$B$244,FZ24+FY25-GH24)))</f>
        <v>77.199999999999989</v>
      </c>
      <c r="GA25" s="17">
        <f>FZ25*VLOOKUP('Données projet'!$B$17,Paramètres!$A$1:$I$89,3,0)*VLOOKUP('Données projet'!$B$17,Paramètres!$A$1:$I$89,5,0)</f>
        <v>50.581439999999986</v>
      </c>
      <c r="GB25" s="13">
        <f t="shared" si="49"/>
        <v>14.763817888767656</v>
      </c>
      <c r="GC25" s="20">
        <f t="shared" si="25"/>
        <v>113.80965748960364</v>
      </c>
      <c r="GD25" s="59">
        <f t="shared" si="26"/>
        <v>302.55575773398664</v>
      </c>
      <c r="GE25" s="59">
        <f ca="1">AVERAGE(OFFSET($GD$3,0,0,'Données projet'!$E$17+1,1))-AVERAGE(OFFSET($H$3,0,0,'Données projet'!$E$17+1,1))</f>
        <v>298.45881427802874</v>
      </c>
      <c r="GF25" s="59">
        <f t="shared" si="50"/>
        <v>287.00279305562356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135.66666666666666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</v>
      </c>
      <c r="N26" s="13">
        <f>IF('Données projet'!$A$36&gt;35,N25+M26-V25,IF(A26&lt;'Données projet'!$A$36,$K$205^A26,IF(A26='Données projet'!$A$36,'Données projet'!$B$36,N25+M26-V25)))</f>
        <v>92</v>
      </c>
      <c r="O26" s="13">
        <f>N26*VLOOKUP('Données projet'!$B$9,Paramètres!$A$1:$I$89,3,0)*VLOOKUP('Données projet'!$B$9,Paramètres!$A$1:$I$89,5,0)</f>
        <v>83.241600000000005</v>
      </c>
      <c r="P26" s="13">
        <f t="shared" si="33"/>
        <v>22.927930643846508</v>
      </c>
      <c r="Q26" s="20">
        <f t="shared" si="2"/>
        <v>184.91193253803269</v>
      </c>
      <c r="R26" s="59">
        <f t="shared" si="0"/>
        <v>376.52498709209891</v>
      </c>
      <c r="S26" s="59">
        <f ca="1">AVERAGE(OFFSET($R$3,0,0,'Données projet'!$E$9+1,1))-AVERAGE(OFFSET($H$3,0,0,'Données projet'!$E$9+1,1))</f>
        <v>600.52384738314299</v>
      </c>
      <c r="T26" s="59">
        <f t="shared" si="34"/>
        <v>314.84650287986256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11.4</v>
      </c>
      <c r="AI26" s="13">
        <f>IF('Données projet'!$A$62&gt;35,AI25+AH26-AQ25,IF(A26&lt;'Données projet'!$A$62,$AF$205^A26,IF(A26='Données projet'!$A$62,'Données projet'!$B$62,AI25+AH26-AQ25)))</f>
        <v>122.19999999999999</v>
      </c>
      <c r="AJ26" s="13">
        <f>AI26*VLOOKUP('Données projet'!$B$10,Paramètres!$A$1:$I$89,3,0)*VLOOKUP('Données projet'!$B$10,Paramètres!$A$1:$I$89,5,0)</f>
        <v>106.75392000000001</v>
      </c>
      <c r="AK26" s="13">
        <f t="shared" si="35"/>
        <v>28.564854626855976</v>
      </c>
      <c r="AL26" s="20">
        <f t="shared" si="4"/>
        <v>235.68019914177421</v>
      </c>
      <c r="AM26" s="59">
        <f t="shared" si="5"/>
        <v>427.29325369584046</v>
      </c>
      <c r="AN26" s="59">
        <f ca="1">AVERAGE(OFFSET($AM$3,0,0,'Données projet'!$E$10+1,1))-AVERAGE(OFFSET($H$3,0,0,'Données projet'!$E$10+1,1))</f>
        <v>436.77894860279537</v>
      </c>
      <c r="AO26" s="59">
        <f t="shared" si="36"/>
        <v>398.63561969573072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2.2696224249049504</v>
      </c>
      <c r="AV26" s="21">
        <f>EXP(-LN(2)/25)*AV25+(1-EXP(-LN(2)/25))/(LN(2)/25)*Calculateur!AQ26*Calculateur!AS26*VLOOKUP('Données projet'!$B$10,Paramètres!$A$1:$I$89,3,0)*0.475*44/12</f>
        <v>3.3113911695736133</v>
      </c>
      <c r="AW26" s="21">
        <f>EXP(-LN(2)/2)*AW25+(1-EXP(-LN(2)/2))/(LN(2)/2)*AQ26*AT26*VLOOKUP('Données projet'!$B$10,Paramètres!$A$1:$I$89,3,0)*0.475*44/12</f>
        <v>2.5353690101727926</v>
      </c>
      <c r="AX26" s="21">
        <f t="shared" si="6"/>
        <v>8.1163826046513563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71.444879999999998</v>
      </c>
      <c r="BF26" s="13">
        <f t="shared" si="37"/>
        <v>20.03184442542841</v>
      </c>
      <c r="BG26" s="20">
        <f t="shared" si="7"/>
        <v>159.32196170762117</v>
      </c>
      <c r="BH26" s="59">
        <f t="shared" si="8"/>
        <v>350.93501626168739</v>
      </c>
      <c r="BI26" s="59">
        <f ca="1">AVERAGE(OFFSET($BH$3,0,0,'Données projet'!$E$11+1,1))-AVERAGE(OFFSET($H$3,0,0,'Données projet'!$E$11+1,1))</f>
        <v>344.97546176735341</v>
      </c>
      <c r="BJ26" s="59">
        <f t="shared" si="38"/>
        <v>331.15461126257492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350.93501626168739</v>
      </c>
      <c r="CD26" s="59">
        <f ca="1">AVERAGE(OFFSET($CC$3,0,0,'Données projet'!$E$12+1,1))-AVERAGE(OFFSET($H$3,0,0,'Données projet'!$E$12+1,1))</f>
        <v>344.97546176735341</v>
      </c>
      <c r="CE26" s="59">
        <f t="shared" si="40"/>
        <v>331.15461126257492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19.5</v>
      </c>
      <c r="CT26" s="12">
        <f>IF('Données projet'!$A$140&gt;35,CT25+CS26-DB25,IF(A26&lt;'Données projet'!$A$140,$CQ$205^A26,IF(A26='Données projet'!$A$140,'Données projet'!$B$140,CT25+CS26-DB25)))</f>
        <v>401.5</v>
      </c>
      <c r="CU26" s="17">
        <f>CT26*VLOOKUP('Données projet'!$B$13,Paramètres!$A$1:$I$89,3,0)*VLOOKUP('Données projet'!$B$13,Paramètres!$A$1:$I$89,5,0)</f>
        <v>191.66004000000001</v>
      </c>
      <c r="CV26" s="13">
        <f t="shared" si="41"/>
        <v>47.906778105679578</v>
      </c>
      <c r="CW26" s="20">
        <f t="shared" si="13"/>
        <v>417.24554153405865</v>
      </c>
      <c r="CX26" s="59">
        <f t="shared" si="14"/>
        <v>608.85859608812484</v>
      </c>
      <c r="CY26" s="59">
        <f ca="1">AVERAGE(OFFSET($CX$3,0,0,'Données projet'!$E$13+1,1))-AVERAGE(OFFSET($H$3,0,0,'Données projet'!$E$13+1,1))</f>
        <v>227.19465047672969</v>
      </c>
      <c r="CZ26" s="59">
        <f t="shared" si="42"/>
        <v>529.77979244134417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19.5</v>
      </c>
      <c r="DO26" s="12">
        <f>IF('Données projet'!$A$166&gt;35,DO25+DN26-DW25,IF(A26&lt;'Données projet'!$A$166,$DL$205^A26,IF(A26='Données projet'!$A$166,'Données projet'!$B$166,DO25+DN26-DW25)))</f>
        <v>401.5</v>
      </c>
      <c r="DP26" s="17">
        <f>DO26*VLOOKUP('Données projet'!$B$14,Paramètres!$A$1:$I$89,3,0)*VLOOKUP('Données projet'!$B$14,Paramètres!$A$1:$I$89,5,0)</f>
        <v>204.18684000000002</v>
      </c>
      <c r="DQ26" s="13">
        <f t="shared" si="43"/>
        <v>50.663196000115327</v>
      </c>
      <c r="DR26" s="20">
        <f t="shared" si="16"/>
        <v>443.86381270020087</v>
      </c>
      <c r="DS26" s="59">
        <f t="shared" si="17"/>
        <v>635.47686725426706</v>
      </c>
      <c r="DT26" s="59">
        <f ca="1">AVERAGE(OFFSET($DS$3,0,0,'Données projet'!$E$14+1,1))-AVERAGE(OFFSET($H$3,0,0,'Données projet'!$E$14+1,1))</f>
        <v>240.09151195692266</v>
      </c>
      <c r="DU26" s="59">
        <f t="shared" si="44"/>
        <v>559.47775134103165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10.6</v>
      </c>
      <c r="EJ26" s="12">
        <f>IF('Données projet'!$A$192&gt;35,EJ25+EI26-ER25,IF(A26&lt;'Données projet'!$A$192,$EG$205^A26,IF(A26='Données projet'!$A$192,'Données projet'!$B$192,EJ25+EI26-ER25)))</f>
        <v>91.799999999999969</v>
      </c>
      <c r="EK26" s="17">
        <f>EJ26*VLOOKUP('Données projet'!$B$15,Paramètres!$A$1:$I$89,3,0)*VLOOKUP('Données projet'!$B$15,Paramètres!$A$1:$I$89,5,0)</f>
        <v>71.603999999999985</v>
      </c>
      <c r="EL26" s="13">
        <f t="shared" si="45"/>
        <v>20.071260561992585</v>
      </c>
      <c r="EM26" s="20">
        <f t="shared" si="19"/>
        <v>159.66774547880371</v>
      </c>
      <c r="EN26" s="59">
        <f t="shared" si="20"/>
        <v>351.28080003286993</v>
      </c>
      <c r="EO26" s="59">
        <f ca="1">AVERAGE(OFFSET($EN$3,0,0,'Données projet'!$E$15+1,1))-AVERAGE(OFFSET($H$3,0,0,'Données projet'!$E$15+1,1))</f>
        <v>328.79469965518484</v>
      </c>
      <c r="EP26" s="59">
        <f t="shared" si="46"/>
        <v>322.06400652269735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11</v>
      </c>
      <c r="FE26" s="12">
        <f>IF('Données projet'!$A$218&gt;35,FE25+FD26-FM25,IF(A26&lt;'Données projet'!$A$218,$FB$205^A26,IF(A26='Données projet'!$A$218,'Données projet'!$B$218,FE25+FD26-FM25)))</f>
        <v>89</v>
      </c>
      <c r="FF26" s="17">
        <f>FE26*VLOOKUP('Données projet'!$B$16,Paramètres!$A$1:$I$89,3,0)*VLOOKUP('Données projet'!$B$16,Paramètres!$A$1:$I$89,5,0)</f>
        <v>65.254800000000003</v>
      </c>
      <c r="FG26" s="13">
        <f t="shared" si="47"/>
        <v>18.490286358600809</v>
      </c>
      <c r="FH26" s="20">
        <f t="shared" si="22"/>
        <v>145.85602540789642</v>
      </c>
      <c r="FI26" s="59">
        <f t="shared" si="23"/>
        <v>337.46907996196262</v>
      </c>
      <c r="FJ26" s="59">
        <f ca="1">AVERAGE(OFFSET($FI$3,0,0,'Données projet'!$E$16+1,1))-AVERAGE(OFFSET($H$3,0,0,'Données projet'!$E$16+1,1))</f>
        <v>525.22234644068908</v>
      </c>
      <c r="FK26" s="59">
        <f t="shared" si="48"/>
        <v>311.5550296132094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12.6</v>
      </c>
      <c r="FZ26" s="12">
        <f>IF('Données projet'!$A$244&gt;35,FZ25+FY26-GH25,IF(A26&lt;'Données projet'!$A$244,$FW$205^A26,IF(A26='Données projet'!$A$244,'Données projet'!$B$244,FZ25+FY26-GH25)))</f>
        <v>89.799999999999983</v>
      </c>
      <c r="GA26" s="17">
        <f>FZ26*VLOOKUP('Données projet'!$B$17,Paramètres!$A$1:$I$89,3,0)*VLOOKUP('Données projet'!$B$17,Paramètres!$A$1:$I$89,5,0)</f>
        <v>58.836959999999991</v>
      </c>
      <c r="GB26" s="13">
        <f t="shared" si="49"/>
        <v>16.873881856791602</v>
      </c>
      <c r="GC26" s="20">
        <f t="shared" si="25"/>
        <v>131.86304956724535</v>
      </c>
      <c r="GD26" s="59">
        <f t="shared" si="26"/>
        <v>323.47610412131155</v>
      </c>
      <c r="GE26" s="59">
        <f ca="1">AVERAGE(OFFSET($GD$3,0,0,'Données projet'!$E$17+1,1))-AVERAGE(OFFSET($H$3,0,0,'Données projet'!$E$17+1,1))</f>
        <v>298.45881427802874</v>
      </c>
      <c r="GF26" s="59">
        <f t="shared" si="50"/>
        <v>287.00279305562356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135.66666666666666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</v>
      </c>
      <c r="N27" s="13">
        <f>IF('Données projet'!$A$36&gt;35,N26+M27-V26,IF(A27&lt;'Données projet'!$A$36,$K$205^A27,IF(A27='Données projet'!$A$36,'Données projet'!$B$36,N26+M27-V26)))</f>
        <v>96</v>
      </c>
      <c r="O27" s="13">
        <f>N27*VLOOKUP('Données projet'!$B$9,Paramètres!$A$1:$I$89,3,0)*VLOOKUP('Données projet'!$B$9,Paramètres!$A$1:$I$89,5,0)</f>
        <v>86.860799999999998</v>
      </c>
      <c r="P27" s="13">
        <f t="shared" si="33"/>
        <v>23.806568296036275</v>
      </c>
      <c r="Q27" s="20">
        <f t="shared" si="2"/>
        <v>192.74566644892982</v>
      </c>
      <c r="R27" s="59">
        <f t="shared" si="0"/>
        <v>387.19714288803192</v>
      </c>
      <c r="S27" s="59">
        <f ca="1">AVERAGE(OFFSET($R$3,0,0,'Données projet'!$E$9+1,1))-AVERAGE(OFFSET($H$3,0,0,'Données projet'!$E$9+1,1))</f>
        <v>600.52384738314299</v>
      </c>
      <c r="T27" s="59">
        <f t="shared" si="34"/>
        <v>314.84650287986256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11.4</v>
      </c>
      <c r="AI27" s="13">
        <f>IF('Données projet'!$A$62&gt;35,AI26+AH27-AQ26,IF(A27&lt;'Données projet'!$A$62,$AF$205^A27,IF(A27='Données projet'!$A$62,'Données projet'!$B$62,AI26+AH27-AQ26)))</f>
        <v>133.6</v>
      </c>
      <c r="AJ27" s="13">
        <f>AI27*VLOOKUP('Données projet'!$B$10,Paramètres!$A$1:$I$89,3,0)*VLOOKUP('Données projet'!$B$10,Paramètres!$A$1:$I$89,5,0)</f>
        <v>116.71296000000001</v>
      </c>
      <c r="AK27" s="13">
        <f t="shared" si="35"/>
        <v>30.90711634982064</v>
      </c>
      <c r="AL27" s="20">
        <f t="shared" si="4"/>
        <v>257.10496630927094</v>
      </c>
      <c r="AM27" s="59">
        <f t="shared" si="5"/>
        <v>451.556442748373</v>
      </c>
      <c r="AN27" s="59">
        <f ca="1">AVERAGE(OFFSET($AM$3,0,0,'Données projet'!$E$10+1,1))-AVERAGE(OFFSET($H$3,0,0,'Données projet'!$E$10+1,1))</f>
        <v>436.77894860279537</v>
      </c>
      <c r="AO27" s="59">
        <f t="shared" si="36"/>
        <v>398.63561969573072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2.2251165134855522</v>
      </c>
      <c r="AV27" s="21">
        <f>EXP(-LN(2)/25)*AV26+(1-EXP(-LN(2)/25))/(LN(2)/25)*Calculateur!AQ27*Calculateur!AS27*VLOOKUP('Données projet'!$B$10,Paramètres!$A$1:$I$89,3,0)*0.475*44/12</f>
        <v>3.2208410039031294</v>
      </c>
      <c r="AW27" s="21">
        <f>EXP(-LN(2)/2)*AW26+(1-EXP(-LN(2)/2))/(LN(2)/2)*AQ27*AT27*VLOOKUP('Données projet'!$B$10,Paramètres!$A$1:$I$89,3,0)*0.475*44/12</f>
        <v>1.7927766199034065</v>
      </c>
      <c r="AX27" s="21">
        <f t="shared" si="6"/>
        <v>7.2387341372920879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81.469439999999992</v>
      </c>
      <c r="BF27" s="13">
        <f t="shared" si="37"/>
        <v>22.496088365195678</v>
      </c>
      <c r="BG27" s="20">
        <f t="shared" si="7"/>
        <v>181.07329523604912</v>
      </c>
      <c r="BH27" s="59">
        <f t="shared" si="8"/>
        <v>375.52477167515121</v>
      </c>
      <c r="BI27" s="59">
        <f ca="1">AVERAGE(OFFSET($BH$3,0,0,'Données projet'!$E$11+1,1))-AVERAGE(OFFSET($H$3,0,0,'Données projet'!$E$11+1,1))</f>
        <v>344.97546176735341</v>
      </c>
      <c r="BJ27" s="59">
        <f t="shared" si="38"/>
        <v>331.15461126257492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375.52477167515121</v>
      </c>
      <c r="CD27" s="59">
        <f ca="1">AVERAGE(OFFSET($CC$3,0,0,'Données projet'!$E$12+1,1))-AVERAGE(OFFSET($H$3,0,0,'Données projet'!$E$12+1,1))</f>
        <v>344.97546176735341</v>
      </c>
      <c r="CE27" s="59">
        <f t="shared" si="40"/>
        <v>331.15461126257492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421</v>
      </c>
      <c r="CR27" s="12">
        <f>VLOOKUP(A27,'Données projet'!$A$139:$I$159,9,0)</f>
        <v>19.5</v>
      </c>
      <c r="CS27" s="12">
        <f t="array" ref="CS27">INDEX(CR:CR,MIN(IF(ISNUMBER(CR27:CR223),ROW(CR27:CR223),"")))</f>
        <v>19.5</v>
      </c>
      <c r="CT27" s="12">
        <f>IF('Données projet'!$A$140&gt;35,CT26+CS27-DB26,IF(A27&lt;'Données projet'!$A$140,$CQ$205^A27,IF(A27='Données projet'!$A$140,'Données projet'!$B$140,CT26+CS27-DB26)))</f>
        <v>421</v>
      </c>
      <c r="CU27" s="17">
        <f>CT27*VLOOKUP('Données projet'!$B$13,Paramètres!$A$1:$I$89,3,0)*VLOOKUP('Données projet'!$B$13,Paramètres!$A$1:$I$89,5,0)</f>
        <v>200.96856</v>
      </c>
      <c r="CV27" s="13">
        <f t="shared" si="41"/>
        <v>49.956968010988604</v>
      </c>
      <c r="CW27" s="20">
        <f t="shared" si="13"/>
        <v>437.02862795247182</v>
      </c>
      <c r="CX27" s="59">
        <f t="shared" si="14"/>
        <v>631.48010439157395</v>
      </c>
      <c r="CY27" s="59">
        <f ca="1">AVERAGE(OFFSET($CX$3,0,0,'Données projet'!$E$13+1,1))-AVERAGE(OFFSET($H$3,0,0,'Données projet'!$E$13+1,1))</f>
        <v>227.19465047672969</v>
      </c>
      <c r="CZ27" s="59">
        <f t="shared" si="42"/>
        <v>529.77979244134417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>
        <f>VLOOKUP(A27,'Données projet'!$A$165:$I$185,2,0)</f>
        <v>421</v>
      </c>
      <c r="DM27" s="12">
        <f>VLOOKUP(A27,'Données projet'!$A$165:$I$185,9,0)</f>
        <v>19.5</v>
      </c>
      <c r="DN27" s="12">
        <f t="array" ref="DN27">INDEX(DM:DM,MIN(IF(ISNUMBER(DM27:DM223),ROW(DM27:DM223),"")))</f>
        <v>19.5</v>
      </c>
      <c r="DO27" s="12">
        <f>IF('Données projet'!$A$166&gt;35,DO26+DN27-DW26,IF(A27&lt;'Données projet'!$A$166,$DL$205^A27,IF(A27='Données projet'!$A$166,'Données projet'!$B$166,DO26+DN27-DW26)))</f>
        <v>421</v>
      </c>
      <c r="DP27" s="17">
        <f>DO27*VLOOKUP('Données projet'!$B$14,Paramètres!$A$1:$I$89,3,0)*VLOOKUP('Données projet'!$B$14,Paramètres!$A$1:$I$89,5,0)</f>
        <v>214.10376000000002</v>
      </c>
      <c r="DQ27" s="13">
        <f t="shared" si="43"/>
        <v>52.831347921770387</v>
      </c>
      <c r="DR27" s="20">
        <f t="shared" si="16"/>
        <v>464.91197963041674</v>
      </c>
      <c r="DS27" s="59">
        <f t="shared" si="17"/>
        <v>659.36345606951886</v>
      </c>
      <c r="DT27" s="59">
        <f ca="1">AVERAGE(OFFSET($DS$3,0,0,'Données projet'!$E$14+1,1))-AVERAGE(OFFSET($H$3,0,0,'Données projet'!$E$14+1,1))</f>
        <v>240.09151195692266</v>
      </c>
      <c r="DU27" s="59">
        <f t="shared" si="44"/>
        <v>559.47775134103165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10.6</v>
      </c>
      <c r="EJ27" s="12">
        <f>IF('Données projet'!$A$192&gt;35,EJ26+EI27-ER26,IF(A27&lt;'Données projet'!$A$192,$EG$205^A27,IF(A27='Données projet'!$A$192,'Données projet'!$B$192,EJ26+EI27-ER26)))</f>
        <v>102.39999999999996</v>
      </c>
      <c r="EK27" s="17">
        <f>EJ27*VLOOKUP('Données projet'!$B$15,Paramètres!$A$1:$I$89,3,0)*VLOOKUP('Données projet'!$B$15,Paramètres!$A$1:$I$89,5,0)</f>
        <v>79.871999999999971</v>
      </c>
      <c r="EL27" s="13">
        <f t="shared" si="45"/>
        <v>22.105884547145401</v>
      </c>
      <c r="EM27" s="20">
        <f t="shared" si="19"/>
        <v>177.61148225294485</v>
      </c>
      <c r="EN27" s="59">
        <f t="shared" si="20"/>
        <v>372.06295869204695</v>
      </c>
      <c r="EO27" s="59">
        <f ca="1">AVERAGE(OFFSET($EN$3,0,0,'Données projet'!$E$15+1,1))-AVERAGE(OFFSET($H$3,0,0,'Données projet'!$E$15+1,1))</f>
        <v>328.79469965518484</v>
      </c>
      <c r="EP27" s="59">
        <f t="shared" si="46"/>
        <v>322.06400652269735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11</v>
      </c>
      <c r="FE27" s="12">
        <f>IF('Données projet'!$A$218&gt;35,FE26+FD27-FM26,IF(A27&lt;'Données projet'!$A$218,$FB$205^A27,IF(A27='Données projet'!$A$218,'Données projet'!$B$218,FE26+FD27-FM26)))</f>
        <v>100</v>
      </c>
      <c r="FF27" s="17">
        <f>FE27*VLOOKUP('Données projet'!$B$16,Paramètres!$A$1:$I$89,3,0)*VLOOKUP('Données projet'!$B$16,Paramètres!$A$1:$I$89,5,0)</f>
        <v>73.320000000000007</v>
      </c>
      <c r="FG27" s="13">
        <f t="shared" si="47"/>
        <v>20.495693943372068</v>
      </c>
      <c r="FH27" s="20">
        <f t="shared" si="22"/>
        <v>163.39566695137304</v>
      </c>
      <c r="FI27" s="59">
        <f t="shared" si="23"/>
        <v>357.84714339047514</v>
      </c>
      <c r="FJ27" s="59">
        <f ca="1">AVERAGE(OFFSET($FI$3,0,0,'Données projet'!$E$16+1,1))-AVERAGE(OFFSET($H$3,0,0,'Données projet'!$E$16+1,1))</f>
        <v>525.22234644068908</v>
      </c>
      <c r="FK27" s="59">
        <f t="shared" si="48"/>
        <v>311.5550296132094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12.6</v>
      </c>
      <c r="FZ27" s="12">
        <f>IF('Données projet'!$A$244&gt;35,FZ26+FY27-GH26,IF(A27&lt;'Données projet'!$A$244,$FW$205^A27,IF(A27='Données projet'!$A$244,'Données projet'!$B$244,FZ26+FY27-GH26)))</f>
        <v>102.39999999999998</v>
      </c>
      <c r="GA27" s="17">
        <f>FZ27*VLOOKUP('Données projet'!$B$17,Paramètres!$A$1:$I$89,3,0)*VLOOKUP('Données projet'!$B$17,Paramètres!$A$1:$I$89,5,0)</f>
        <v>67.092479999999981</v>
      </c>
      <c r="GB27" s="13">
        <f t="shared" si="49"/>
        <v>18.949644838115674</v>
      </c>
      <c r="GC27" s="20">
        <f t="shared" si="25"/>
        <v>149.85670075971808</v>
      </c>
      <c r="GD27" s="59">
        <f t="shared" si="26"/>
        <v>344.3081771988202</v>
      </c>
      <c r="GE27" s="59">
        <f ca="1">AVERAGE(OFFSET($GD$3,0,0,'Données projet'!$E$17+1,1))-AVERAGE(OFFSET($H$3,0,0,'Données projet'!$E$17+1,1))</f>
        <v>298.45881427802874</v>
      </c>
      <c r="GF27" s="59">
        <f t="shared" si="50"/>
        <v>287.00279305562356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135.66666666666666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</v>
      </c>
      <c r="N28" s="13">
        <f>IF('Données projet'!$A$36&gt;35,N27+M28-V27,IF(A28&lt;'Données projet'!$A$36,$K$205^A28,IF(A28='Données projet'!$A$36,'Données projet'!$B$36,N27+M28-V27)))</f>
        <v>100</v>
      </c>
      <c r="O28" s="13">
        <f>N28*VLOOKUP('Données projet'!$B$9,Paramètres!$A$1:$I$89,3,0)*VLOOKUP('Données projet'!$B$9,Paramètres!$A$1:$I$89,5,0)</f>
        <v>90.47999999999999</v>
      </c>
      <c r="P28" s="13">
        <f t="shared" si="33"/>
        <v>24.680953573367994</v>
      </c>
      <c r="Q28" s="20">
        <f t="shared" si="2"/>
        <v>200.57199414028256</v>
      </c>
      <c r="R28" s="59">
        <f t="shared" si="0"/>
        <v>397.83385501355184</v>
      </c>
      <c r="S28" s="59">
        <f ca="1">AVERAGE(OFFSET($R$3,0,0,'Données projet'!$E$9+1,1))-AVERAGE(OFFSET($H$3,0,0,'Données projet'!$E$9+1,1))</f>
        <v>600.52384738314299</v>
      </c>
      <c r="T28" s="59">
        <f t="shared" si="34"/>
        <v>314.84650287986256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145</v>
      </c>
      <c r="AG28" s="12">
        <f>VLOOKUP(A28,'Données projet'!$A$61:$I$81,9,0)</f>
        <v>11.4</v>
      </c>
      <c r="AH28" s="12">
        <f t="array" ref="AH28">INDEX(AG:AG,MIN(IF(ISNUMBER(AG28:AG224),ROW(AG28:AG224),"")))</f>
        <v>11.4</v>
      </c>
      <c r="AI28" s="13">
        <f>IF('Données projet'!$A$62&gt;35,AI27+AH28-AQ27,IF(A28&lt;'Données projet'!$A$62,$AF$205^A28,IF(A28='Données projet'!$A$62,'Données projet'!$B$62,AI27+AH28-AQ27)))</f>
        <v>145</v>
      </c>
      <c r="AJ28" s="13">
        <f>AI28*VLOOKUP('Données projet'!$B$10,Paramètres!$A$1:$I$89,3,0)*VLOOKUP('Données projet'!$B$10,Paramètres!$A$1:$I$89,5,0)</f>
        <v>126.67200000000001</v>
      </c>
      <c r="AK28" s="13">
        <f t="shared" si="35"/>
        <v>33.226199426361347</v>
      </c>
      <c r="AL28" s="20">
        <f t="shared" si="4"/>
        <v>278.48936400091276</v>
      </c>
      <c r="AM28" s="59">
        <f t="shared" si="5"/>
        <v>475.75122487418207</v>
      </c>
      <c r="AN28" s="59">
        <f ca="1">AVERAGE(OFFSET($AM$3,0,0,'Données projet'!$E$10+1,1))-AVERAGE(OFFSET($H$3,0,0,'Données projet'!$E$10+1,1))</f>
        <v>436.77894860279537</v>
      </c>
      <c r="AO28" s="59">
        <f t="shared" si="36"/>
        <v>398.63561969573072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31</v>
      </c>
      <c r="AR28" s="16">
        <f>IF(ISNA(VLOOKUP(A28,'Données projet'!$A$61:$I$81,5,0)),0%,VLOOKUP(A28,'Données projet'!$A$61:$I$81,5,0)*VLOOKUP('Données projet'!$B$10,Paramètres!$A$1:$I$89,7,0))</f>
        <v>0.129</v>
      </c>
      <c r="AS28" s="16">
        <f>IF(ISNA(VLOOKUP(A28,'Données projet'!$A$61:$I$81,6,0)),0%,VLOOKUP(A28,'Données projet'!$A$61:$I$81,6,0)*VLOOKUP('Données projet'!$B$10,Paramètres!$A$1:$I$89,7,0))</f>
        <v>8.6000000000000007E-2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6.043473291159545</v>
      </c>
      <c r="AV28" s="21">
        <f>EXP(-LN(2)/25)*AV27+(1-EXP(-LN(2)/25))/(LN(2)/25)*Calculateur!AQ28*Calculateur!AS28*VLOOKUP('Données projet'!$B$10,Paramètres!$A$1:$I$89,3,0)*0.475*44/12</f>
        <v>5.6972894901605731</v>
      </c>
      <c r="AW28" s="21">
        <f>EXP(-LN(2)/2)*AW27+(1-EXP(-LN(2)/2))/(LN(2)/2)*AQ28*AT28*VLOOKUP('Données projet'!$B$10,Paramètres!$A$1:$I$89,3,0)*0.475*44/12</f>
        <v>8.9333500522595806</v>
      </c>
      <c r="AX28" s="21">
        <f t="shared" si="6"/>
        <v>20.674112833579699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91.493999999999986</v>
      </c>
      <c r="BF28" s="13">
        <f t="shared" si="37"/>
        <v>24.925195840896517</v>
      </c>
      <c r="BG28" s="20">
        <f t="shared" si="7"/>
        <v>202.76343275622807</v>
      </c>
      <c r="BH28" s="59">
        <f t="shared" si="8"/>
        <v>400.02529362949736</v>
      </c>
      <c r="BI28" s="59">
        <f ca="1">AVERAGE(OFFSET($BH$3,0,0,'Données projet'!$E$11+1,1))-AVERAGE(OFFSET($H$3,0,0,'Données projet'!$E$11+1,1))</f>
        <v>344.97546176735341</v>
      </c>
      <c r="BJ28" s="59">
        <f t="shared" si="38"/>
        <v>331.15461126257492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400.02529362949736</v>
      </c>
      <c r="CD28" s="59">
        <f ca="1">AVERAGE(OFFSET($CC$3,0,0,'Données projet'!$E$12+1,1))-AVERAGE(OFFSET($H$3,0,0,'Données projet'!$E$12+1,1))</f>
        <v>344.97546176735341</v>
      </c>
      <c r="CE28" s="59">
        <f t="shared" si="40"/>
        <v>331.15461126257492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14</v>
      </c>
      <c r="CT28" s="12">
        <f>IF('Données projet'!$A$140&gt;35,CT27+CS28-DB27,IF(A28&lt;'Données projet'!$A$140,$CQ$205^A28,IF(A28='Données projet'!$A$140,'Données projet'!$B$140,CT27+CS28-DB27)))</f>
        <v>435</v>
      </c>
      <c r="CU28" s="17">
        <f>CT28*VLOOKUP('Données projet'!$B$13,Paramètres!$A$1:$I$89,3,0)*VLOOKUP('Données projet'!$B$13,Paramètres!$A$1:$I$89,5,0)</f>
        <v>207.65159999999997</v>
      </c>
      <c r="CV28" s="13">
        <f t="shared" si="41"/>
        <v>51.422065813018108</v>
      </c>
      <c r="CW28" s="20">
        <f t="shared" si="13"/>
        <v>451.21996795767308</v>
      </c>
      <c r="CX28" s="59">
        <f t="shared" si="14"/>
        <v>648.48182883094239</v>
      </c>
      <c r="CY28" s="59">
        <f ca="1">AVERAGE(OFFSET($CX$3,0,0,'Données projet'!$E$13+1,1))-AVERAGE(OFFSET($H$3,0,0,'Données projet'!$E$13+1,1))</f>
        <v>227.19465047672969</v>
      </c>
      <c r="CZ28" s="59">
        <f t="shared" si="42"/>
        <v>529.77979244134417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14</v>
      </c>
      <c r="DO28" s="12">
        <f>IF('Données projet'!$A$166&gt;35,DO27+DN28-DW27,IF(A28&lt;'Données projet'!$A$166,$DL$205^A28,IF(A28='Données projet'!$A$166,'Données projet'!$B$166,DO27+DN28-DW27)))</f>
        <v>435</v>
      </c>
      <c r="DP28" s="17">
        <f>DO28*VLOOKUP('Données projet'!$B$14,Paramètres!$A$1:$I$89,3,0)*VLOOKUP('Données projet'!$B$14,Paramètres!$A$1:$I$89,5,0)</f>
        <v>221.2236</v>
      </c>
      <c r="DQ28" s="13">
        <f t="shared" si="43"/>
        <v>54.380743227374474</v>
      </c>
      <c r="DR28" s="20">
        <f t="shared" si="16"/>
        <v>480.01089778767727</v>
      </c>
      <c r="DS28" s="59">
        <f t="shared" si="17"/>
        <v>677.27275866094658</v>
      </c>
      <c r="DT28" s="59">
        <f ca="1">AVERAGE(OFFSET($DS$3,0,0,'Données projet'!$E$14+1,1))-AVERAGE(OFFSET($H$3,0,0,'Données projet'!$E$14+1,1))</f>
        <v>240.09151195692266</v>
      </c>
      <c r="DU28" s="59">
        <f t="shared" si="44"/>
        <v>559.47775134103165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113</v>
      </c>
      <c r="EH28" s="12">
        <f>VLOOKUP(A28,'Données projet'!$A$191:$I$211,9,0)</f>
        <v>10.6</v>
      </c>
      <c r="EI28" s="12">
        <f t="array" ref="EI28">INDEX(EH:EH,MIN(IF(ISNUMBER(EH28:EH224),ROW(EH28:EH224),"")))</f>
        <v>10.6</v>
      </c>
      <c r="EJ28" s="12">
        <f>IF('Données projet'!$A$192&gt;35,EJ27+EI28-ER27,IF(A28&lt;'Données projet'!$A$192,$EG$205^A28,IF(A28='Données projet'!$A$192,'Données projet'!$B$192,EJ27+EI28-ER27)))</f>
        <v>112.99999999999996</v>
      </c>
      <c r="EK28" s="17">
        <f>EJ28*VLOOKUP('Données projet'!$B$15,Paramètres!$A$1:$I$89,3,0)*VLOOKUP('Données projet'!$B$15,Paramètres!$A$1:$I$89,5,0)</f>
        <v>88.139999999999972</v>
      </c>
      <c r="EL28" s="13">
        <f t="shared" si="45"/>
        <v>24.116094026318823</v>
      </c>
      <c r="EM28" s="20">
        <f t="shared" si="19"/>
        <v>195.51269709583855</v>
      </c>
      <c r="EN28" s="59">
        <f t="shared" si="20"/>
        <v>392.77455796910783</v>
      </c>
      <c r="EO28" s="59">
        <f ca="1">AVERAGE(OFFSET($EN$3,0,0,'Données projet'!$E$15+1,1))-AVERAGE(OFFSET($H$3,0,0,'Données projet'!$E$15+1,1))</f>
        <v>328.79469965518484</v>
      </c>
      <c r="EP28" s="59">
        <f t="shared" si="46"/>
        <v>322.06400652269735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111</v>
      </c>
      <c r="FC28" s="12">
        <f>VLOOKUP(A28,'Données projet'!$A$217:$I$237,9,0)</f>
        <v>11</v>
      </c>
      <c r="FD28" s="12">
        <f t="array" ref="FD28">INDEX(FC:FC,MIN(IF(ISNUMBER(FC28:FC224),ROW(FC28:FC224),"")))</f>
        <v>11</v>
      </c>
      <c r="FE28" s="12">
        <f>IF('Données projet'!$A$218&gt;35,FE27+FD28-FM27,IF(A28&lt;'Données projet'!$A$218,$FB$205^A28,IF(A28='Données projet'!$A$218,'Données projet'!$B$218,FE27+FD28-FM27)))</f>
        <v>111</v>
      </c>
      <c r="FF28" s="17">
        <f>FE28*VLOOKUP('Données projet'!$B$16,Paramètres!$A$1:$I$89,3,0)*VLOOKUP('Données projet'!$B$16,Paramètres!$A$1:$I$89,5,0)</f>
        <v>81.385199999999998</v>
      </c>
      <c r="FG28" s="13">
        <f t="shared" si="47"/>
        <v>22.475533601501123</v>
      </c>
      <c r="FH28" s="20">
        <f t="shared" si="22"/>
        <v>180.89077768928109</v>
      </c>
      <c r="FI28" s="59">
        <f t="shared" si="23"/>
        <v>378.15263856255035</v>
      </c>
      <c r="FJ28" s="59">
        <f ca="1">AVERAGE(OFFSET($FI$3,0,0,'Données projet'!$E$16+1,1))-AVERAGE(OFFSET($H$3,0,0,'Données projet'!$E$16+1,1))</f>
        <v>525.22234644068908</v>
      </c>
      <c r="FK28" s="59">
        <f t="shared" si="48"/>
        <v>311.5550296132094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26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115</v>
      </c>
      <c r="FX28" s="12">
        <f>VLOOKUP(A28,'Données projet'!$A$243:$I$263,9,0)</f>
        <v>12.6</v>
      </c>
      <c r="FY28" s="12">
        <f t="array" ref="FY28">INDEX(FX:FX,MIN(IF(ISNUMBER(FX28:FX224),ROW(FX28:FX224),"")))</f>
        <v>12.6</v>
      </c>
      <c r="FZ28" s="12">
        <f>IF('Données projet'!$A$244&gt;35,FZ27+FY28-GH27,IF(A28&lt;'Données projet'!$A$244,$FW$205^A28,IF(A28='Données projet'!$A$244,'Données projet'!$B$244,FZ27+FY28-GH27)))</f>
        <v>114.99999999999997</v>
      </c>
      <c r="GA28" s="17">
        <f>FZ28*VLOOKUP('Données projet'!$B$17,Paramètres!$A$1:$I$89,3,0)*VLOOKUP('Données projet'!$B$17,Paramètres!$A$1:$I$89,5,0)</f>
        <v>75.347999999999971</v>
      </c>
      <c r="GB28" s="13">
        <f t="shared" si="49"/>
        <v>20.99581051771704</v>
      </c>
      <c r="GC28" s="20">
        <f t="shared" si="25"/>
        <v>167.79880331835713</v>
      </c>
      <c r="GD28" s="59">
        <f t="shared" si="26"/>
        <v>365.06066419162642</v>
      </c>
      <c r="GE28" s="59">
        <f ca="1">AVERAGE(OFFSET($GD$3,0,0,'Données projet'!$E$17+1,1))-AVERAGE(OFFSET($H$3,0,0,'Données projet'!$E$17+1,1))</f>
        <v>298.45881427802874</v>
      </c>
      <c r="GF28" s="59">
        <f t="shared" si="50"/>
        <v>287.00279305562356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28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135.66666666666666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</v>
      </c>
      <c r="N29" s="13">
        <f>IF('Données projet'!$A$36&gt;35,N28+M29-V28,IF(A29&lt;'Données projet'!$A$36,$K$205^A29,IF(A29='Données projet'!$A$36,'Données projet'!$B$36,N28+M29-V28)))</f>
        <v>104</v>
      </c>
      <c r="O29" s="13">
        <f>N29*VLOOKUP('Données projet'!$B$9,Paramètres!$A$1:$I$89,3,0)*VLOOKUP('Données projet'!$B$9,Paramètres!$A$1:$I$89,5,0)</f>
        <v>94.099199999999996</v>
      </c>
      <c r="P29" s="13">
        <f t="shared" si="33"/>
        <v>25.551276031514817</v>
      </c>
      <c r="Q29" s="20">
        <f t="shared" si="2"/>
        <v>208.39124575488827</v>
      </c>
      <c r="R29" s="59">
        <f t="shared" si="0"/>
        <v>408.43593999854625</v>
      </c>
      <c r="S29" s="59">
        <f ca="1">AVERAGE(OFFSET($R$3,0,0,'Données projet'!$E$9+1,1))-AVERAGE(OFFSET($H$3,0,0,'Données projet'!$E$9+1,1))</f>
        <v>600.52384738314299</v>
      </c>
      <c r="T29" s="59">
        <f t="shared" si="34"/>
        <v>314.84650287986256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</v>
      </c>
      <c r="AI29" s="13">
        <f>IF('Données projet'!$A$62&gt;35,AI28+AH29-AQ28,IF(A29&lt;'Données projet'!$A$62,$AF$205^A29,IF(A29='Données projet'!$A$62,'Données projet'!$B$62,AI28+AH29-AQ28)))</f>
        <v>125</v>
      </c>
      <c r="AJ29" s="13">
        <f>AI29*VLOOKUP('Données projet'!$B$10,Paramètres!$A$1:$I$89,3,0)*VLOOKUP('Données projet'!$B$10,Paramètres!$A$1:$I$89,5,0)</f>
        <v>109.2</v>
      </c>
      <c r="AK29" s="13">
        <f t="shared" si="35"/>
        <v>29.142418334948612</v>
      </c>
      <c r="AL29" s="20">
        <f t="shared" si="4"/>
        <v>240.94637860003544</v>
      </c>
      <c r="AM29" s="59">
        <f t="shared" si="5"/>
        <v>440.99107284369347</v>
      </c>
      <c r="AN29" s="59">
        <f ca="1">AVERAGE(OFFSET($AM$3,0,0,'Données projet'!$E$10+1,1))-AVERAGE(OFFSET($H$3,0,0,'Données projet'!$E$10+1,1))</f>
        <v>436.77894860279537</v>
      </c>
      <c r="AO29" s="59">
        <f t="shared" si="36"/>
        <v>398.63561969573072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5.9249644660746368</v>
      </c>
      <c r="AV29" s="21">
        <f>EXP(-LN(2)/25)*AV28+(1-EXP(-LN(2)/25))/(LN(2)/25)*Calculateur!AQ29*Calculateur!AS29*VLOOKUP('Données projet'!$B$10,Paramètres!$A$1:$I$89,3,0)*0.475*44/12</f>
        <v>5.5414968094446992</v>
      </c>
      <c r="AW29" s="21">
        <f>EXP(-LN(2)/2)*AW28+(1-EXP(-LN(2)/2))/(LN(2)/2)*AQ29*AT29*VLOOKUP('Données projet'!$B$10,Paramètres!$A$1:$I$89,3,0)*0.475*44/12</f>
        <v>6.3168324006659482</v>
      </c>
      <c r="AX29" s="21">
        <f t="shared" si="6"/>
        <v>17.783293676185284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78.605279999999979</v>
      </c>
      <c r="BF29" s="13">
        <f t="shared" si="37"/>
        <v>21.795819556945734</v>
      </c>
      <c r="BG29" s="20">
        <f t="shared" si="7"/>
        <v>174.86524839501377</v>
      </c>
      <c r="BH29" s="59">
        <f t="shared" si="8"/>
        <v>374.90994263867174</v>
      </c>
      <c r="BI29" s="59">
        <f ca="1">AVERAGE(OFFSET($BH$3,0,0,'Données projet'!$E$11+1,1))-AVERAGE(OFFSET($H$3,0,0,'Données projet'!$E$11+1,1))</f>
        <v>344.97546176735341</v>
      </c>
      <c r="BJ29" s="59">
        <f t="shared" si="38"/>
        <v>331.15461126257492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374.90994263867174</v>
      </c>
      <c r="CD29" s="59">
        <f ca="1">AVERAGE(OFFSET($CC$3,0,0,'Données projet'!$E$12+1,1))-AVERAGE(OFFSET($H$3,0,0,'Données projet'!$E$12+1,1))</f>
        <v>344.97546176735341</v>
      </c>
      <c r="CE29" s="59">
        <f t="shared" si="40"/>
        <v>331.15461126257492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>
        <f>VLOOKUP(A29,'Données projet'!$A$139:$I$159,2,0)</f>
        <v>449</v>
      </c>
      <c r="CR29" s="12">
        <f>VLOOKUP(A29,'Données projet'!$A$139:$I$159,9,0)</f>
        <v>14</v>
      </c>
      <c r="CS29" s="12">
        <f t="array" ref="CS29">INDEX(CR:CR,MIN(IF(ISNUMBER(CR29:CR225),ROW(CR29:CR225),"")))</f>
        <v>14</v>
      </c>
      <c r="CT29" s="12">
        <f>IF('Données projet'!$A$140&gt;35,CT28+CS29-DB28,IF(A29&lt;'Données projet'!$A$140,$CQ$205^A29,IF(A29='Données projet'!$A$140,'Données projet'!$B$140,CT28+CS29-DB28)))</f>
        <v>449</v>
      </c>
      <c r="CU29" s="17">
        <f>CT29*VLOOKUP('Données projet'!$B$13,Paramètres!$A$1:$I$89,3,0)*VLOOKUP('Données projet'!$B$13,Paramètres!$A$1:$I$89,5,0)</f>
        <v>214.33464000000001</v>
      </c>
      <c r="CV29" s="13">
        <f t="shared" si="41"/>
        <v>52.881684324030324</v>
      </c>
      <c r="CW29" s="20">
        <f t="shared" si="13"/>
        <v>465.4017648643528</v>
      </c>
      <c r="CX29" s="59">
        <f t="shared" si="14"/>
        <v>665.4464591080108</v>
      </c>
      <c r="CY29" s="59">
        <f ca="1">AVERAGE(OFFSET($CX$3,0,0,'Données projet'!$E$13+1,1))-AVERAGE(OFFSET($H$3,0,0,'Données projet'!$E$13+1,1))</f>
        <v>227.19465047672969</v>
      </c>
      <c r="CZ29" s="59">
        <f t="shared" si="42"/>
        <v>529.77979244134417</v>
      </c>
      <c r="DA29" s="15" t="str">
        <f>IF(ISNA(VLOOKUP(A29,'Données projet'!$A$139:$I$159,3,0)),0,VLOOKUP(A29,'Données projet'!$A$139:$I$159,3,0))</f>
        <v>CR</v>
      </c>
      <c r="DB29" s="15">
        <f>IF(ISNA(VLOOKUP(A29,'Données projet'!$A$139:$I$159,4,0)),0,VLOOKUP(A29,'Données projet'!$A$139:$I$159,4,0))</f>
        <v>449</v>
      </c>
      <c r="DC29" s="16">
        <f>IF(ISNA(VLOOKUP(A29,'Données projet'!$A$139:$I$159,5,0)),0%,VLOOKUP(A29,'Données projet'!$A$139:$I$159,5,0)*VLOOKUP('Données projet'!$B$13,Paramètres!$A$1:$I$89,7,0))</f>
        <v>0.44999999999999996</v>
      </c>
      <c r="DD29" s="16">
        <f>IF(ISNA(VLOOKUP(A29,'Données projet'!$A$139:$I$159,6,0)),0%,VLOOKUP(A29,'Données projet'!$A$139:$I$159,6,0)*VLOOKUP('Données projet'!$B$13,Paramètres!$A$1:$I$89,7,0))</f>
        <v>0.15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106.6232681225362</v>
      </c>
      <c r="DG29" s="21">
        <f>EXP(-LN(2)/25)*DG28+(1-EXP(-LN(2)/25))/(LN(2)/25)*Calculateur!DB29*Calculateur!DD29*VLOOKUP('Données projet'!$B$13,Paramètres!$A$1:$I$89,3,0)*0.475*44/12</f>
        <v>35.401150563095847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142.02441868563204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>
        <f>VLOOKUP(A29,'Données projet'!$A$165:$I$185,2,0)</f>
        <v>449</v>
      </c>
      <c r="DM29" s="12">
        <f>VLOOKUP(A29,'Données projet'!$A$165:$I$185,9,0)</f>
        <v>14</v>
      </c>
      <c r="DN29" s="12">
        <f t="array" ref="DN29">INDEX(DM:DM,MIN(IF(ISNUMBER(DM29:DM225),ROW(DM29:DM225),"")))</f>
        <v>14</v>
      </c>
      <c r="DO29" s="12">
        <f>IF('Données projet'!$A$166&gt;35,DO28+DN29-DW28,IF(A29&lt;'Données projet'!$A$166,$DL$205^A29,IF(A29='Données projet'!$A$166,'Données projet'!$B$166,DO28+DN29-DW28)))</f>
        <v>449</v>
      </c>
      <c r="DP29" s="17">
        <f>DO29*VLOOKUP('Données projet'!$B$14,Paramètres!$A$1:$I$89,3,0)*VLOOKUP('Données projet'!$B$14,Paramètres!$A$1:$I$89,5,0)</f>
        <v>228.34343999999999</v>
      </c>
      <c r="DQ29" s="13">
        <f t="shared" si="43"/>
        <v>55.924343979353274</v>
      </c>
      <c r="DR29" s="20">
        <f t="shared" si="16"/>
        <v>495.09972376404033</v>
      </c>
      <c r="DS29" s="59">
        <f t="shared" si="17"/>
        <v>695.14441800769828</v>
      </c>
      <c r="DT29" s="59">
        <f ca="1">AVERAGE(OFFSET($DS$3,0,0,'Données projet'!$E$14+1,1))-AVERAGE(OFFSET($H$3,0,0,'Données projet'!$E$14+1,1))</f>
        <v>240.09151195692266</v>
      </c>
      <c r="DU29" s="59">
        <f t="shared" si="44"/>
        <v>559.47775134103165</v>
      </c>
      <c r="DV29" s="15" t="str">
        <f>IF(ISNA(VLOOKUP(A29,'Données projet'!$A$165:$I$185,3,0)),0,VLOOKUP(A29,'Données projet'!$A$165:$I$185,3,0))</f>
        <v>CR</v>
      </c>
      <c r="DW29" s="15">
        <f>IF(ISNA(VLOOKUP(A29,'Données projet'!$A$165:$I$185,4,0)),0,VLOOKUP(A29,'Données projet'!$A$165:$I$185,4,0))</f>
        <v>449</v>
      </c>
      <c r="DX29" s="16">
        <f>IF(ISNA(VLOOKUP(A29,'Données projet'!$A$165:$I$185,5,0)),0%,VLOOKUP(A29,'Données projet'!$A$165:$I$185,5,0)*VLOOKUP('Données projet'!$B$14,Paramètres!$A$1:$I$89,7,0))</f>
        <v>0.44999999999999996</v>
      </c>
      <c r="DY29" s="16">
        <f>IF(ISNA(VLOOKUP(A29,'Données projet'!$A$165:$I$185,6,0)),0%,VLOOKUP(A29,'Données projet'!$A$165:$I$185,6,0)*VLOOKUP('Données projet'!$B$14,Paramètres!$A$1:$I$89,7,0))</f>
        <v>0.15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113.59210917629673</v>
      </c>
      <c r="EB29" s="21">
        <f>EXP(-LN(2)/25)*EB28+(1-EXP(-LN(2)/25))/(LN(2)/25)*Calculateur!DW29*Calculateur!DY29*VLOOKUP('Données projet'!$B$14,Paramètres!$A$1:$I$89,3,0)*0.475*44/12</f>
        <v>37.71495125349427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151.30706042979099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11.5</v>
      </c>
      <c r="EJ29" s="12">
        <f>IF('Données projet'!$A$192&gt;35,EJ28+EI29-ER28,IF(A29&lt;'Données projet'!$A$192,$EG$205^A29,IF(A29='Données projet'!$A$192,'Données projet'!$B$192,EJ28+EI29-ER28)))</f>
        <v>97.499999999999957</v>
      </c>
      <c r="EK29" s="17">
        <f>EJ29*VLOOKUP('Données projet'!$B$15,Paramètres!$A$1:$I$89,3,0)*VLOOKUP('Données projet'!$B$15,Paramètres!$A$1:$I$89,5,0)</f>
        <v>76.049999999999969</v>
      </c>
      <c r="EL29" s="13">
        <f t="shared" si="45"/>
        <v>21.168560890749262</v>
      </c>
      <c r="EM29" s="20">
        <f t="shared" si="19"/>
        <v>169.32232688472158</v>
      </c>
      <c r="EN29" s="59">
        <f t="shared" si="20"/>
        <v>369.36702112837958</v>
      </c>
      <c r="EO29" s="59">
        <f ca="1">AVERAGE(OFFSET($EN$3,0,0,'Données projet'!$E$15+1,1))-AVERAGE(OFFSET($H$3,0,0,'Données projet'!$E$15+1,1))</f>
        <v>328.79469965518484</v>
      </c>
      <c r="EP29" s="59">
        <f t="shared" si="46"/>
        <v>322.06400652269735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12.2</v>
      </c>
      <c r="FE29" s="12">
        <f>IF('Données projet'!$A$218&gt;35,FE28+FD29-FM28,IF(A29&lt;'Données projet'!$A$218,$FB$205^A29,IF(A29='Données projet'!$A$218,'Données projet'!$B$218,FE28+FD29-FM28)))</f>
        <v>97.2</v>
      </c>
      <c r="FF29" s="17">
        <f>FE29*VLOOKUP('Données projet'!$B$16,Paramètres!$A$1:$I$89,3,0)*VLOOKUP('Données projet'!$B$16,Paramètres!$A$1:$I$89,5,0)</f>
        <v>71.267039999999994</v>
      </c>
      <c r="FG29" s="13">
        <f t="shared" si="47"/>
        <v>19.987779001267139</v>
      </c>
      <c r="FH29" s="20">
        <f t="shared" si="22"/>
        <v>158.93547642720694</v>
      </c>
      <c r="FI29" s="59">
        <f t="shared" si="23"/>
        <v>358.98017067086494</v>
      </c>
      <c r="FJ29" s="59">
        <f ca="1">AVERAGE(OFFSET($FI$3,0,0,'Données projet'!$E$16+1,1))-AVERAGE(OFFSET($H$3,0,0,'Données projet'!$E$16+1,1))</f>
        <v>525.22234644068908</v>
      </c>
      <c r="FK29" s="59">
        <f t="shared" si="48"/>
        <v>311.5550296132094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11.8</v>
      </c>
      <c r="FZ29" s="12">
        <f>IF('Données projet'!$A$244&gt;35,FZ28+FY29-GH28,IF(A29&lt;'Données projet'!$A$244,$FW$205^A29,IF(A29='Données projet'!$A$244,'Données projet'!$B$244,FZ28+FY29-GH28)))</f>
        <v>98.799999999999969</v>
      </c>
      <c r="GA29" s="17">
        <f>FZ29*VLOOKUP('Données projet'!$B$17,Paramètres!$A$1:$I$89,3,0)*VLOOKUP('Données projet'!$B$17,Paramètres!$A$1:$I$89,5,0)</f>
        <v>64.73375999999999</v>
      </c>
      <c r="GB29" s="13">
        <f t="shared" si="49"/>
        <v>18.359771390246543</v>
      </c>
      <c r="GC29" s="20">
        <f t="shared" si="25"/>
        <v>144.72123383801272</v>
      </c>
      <c r="GD29" s="59">
        <f t="shared" si="26"/>
        <v>344.76592808167072</v>
      </c>
      <c r="GE29" s="59">
        <f ca="1">AVERAGE(OFFSET($GD$3,0,0,'Données projet'!$E$17+1,1))-AVERAGE(OFFSET($H$3,0,0,'Données projet'!$E$17+1,1))</f>
        <v>298.45881427802874</v>
      </c>
      <c r="GF29" s="59">
        <f t="shared" si="50"/>
        <v>287.00279305562356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135.66666666666666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</v>
      </c>
      <c r="N30" s="13">
        <f>IF('Données projet'!$A$36&gt;35,N29+M30-V29,IF(A30&lt;'Données projet'!$A$36,$K$205^A30,IF(A30='Données projet'!$A$36,'Données projet'!$B$36,N29+M30-V29)))</f>
        <v>108</v>
      </c>
      <c r="O30" s="13">
        <f>N30*VLOOKUP('Données projet'!$B$9,Paramètres!$A$1:$I$89,3,0)*VLOOKUP('Données projet'!$B$9,Paramètres!$A$1:$I$89,5,0)</f>
        <v>97.718399999999988</v>
      </c>
      <c r="P30" s="13">
        <f t="shared" si="33"/>
        <v>26.417709819192194</v>
      </c>
      <c r="Q30" s="20">
        <f t="shared" si="2"/>
        <v>216.20372460175972</v>
      </c>
      <c r="R30" s="59">
        <f t="shared" si="0"/>
        <v>419.00417910138958</v>
      </c>
      <c r="S30" s="59">
        <f ca="1">AVERAGE(OFFSET($R$3,0,0,'Données projet'!$E$9+1,1))-AVERAGE(OFFSET($H$3,0,0,'Données projet'!$E$9+1,1))</f>
        <v>600.52384738314299</v>
      </c>
      <c r="T30" s="59">
        <f t="shared" si="34"/>
        <v>314.84650287986256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</v>
      </c>
      <c r="AI30" s="13">
        <f>IF('Données projet'!$A$62&gt;35,AI29+AH30-AQ29,IF(A30&lt;'Données projet'!$A$62,$AF$205^A30,IF(A30='Données projet'!$A$62,'Données projet'!$B$62,AI29+AH30-AQ29)))</f>
        <v>136</v>
      </c>
      <c r="AJ30" s="13">
        <f>AI30*VLOOKUP('Données projet'!$B$10,Paramètres!$A$1:$I$89,3,0)*VLOOKUP('Données projet'!$B$10,Paramètres!$A$1:$I$89,5,0)</f>
        <v>118.80960000000002</v>
      </c>
      <c r="AK30" s="13">
        <f t="shared" si="35"/>
        <v>31.39719715333722</v>
      </c>
      <c r="AL30" s="20">
        <f t="shared" si="4"/>
        <v>261.61017170872901</v>
      </c>
      <c r="AM30" s="59">
        <f t="shared" si="5"/>
        <v>464.41062620835885</v>
      </c>
      <c r="AN30" s="59">
        <f ca="1">AVERAGE(OFFSET($AM$3,0,0,'Données projet'!$E$10+1,1))-AVERAGE(OFFSET($H$3,0,0,'Données projet'!$E$10+1,1))</f>
        <v>436.77894860279537</v>
      </c>
      <c r="AO30" s="59">
        <f t="shared" si="36"/>
        <v>398.63561969573072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5.8087795267663971</v>
      </c>
      <c r="AV30" s="21">
        <f>EXP(-LN(2)/25)*AV29+(1-EXP(-LN(2)/25))/(LN(2)/25)*Calculateur!AQ30*Calculateur!AS30*VLOOKUP('Données projet'!$B$10,Paramètres!$A$1:$I$89,3,0)*0.475*44/12</f>
        <v>5.3899642877757818</v>
      </c>
      <c r="AW30" s="21">
        <f>EXP(-LN(2)/2)*AW29+(1-EXP(-LN(2)/2))/(LN(2)/2)*AQ30*AT30*VLOOKUP('Données projet'!$B$10,Paramètres!$A$1:$I$89,3,0)*0.475*44/12</f>
        <v>4.4666750261297903</v>
      </c>
      <c r="AX30" s="21">
        <f t="shared" si="6"/>
        <v>15.66541884067197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87.993359999999981</v>
      </c>
      <c r="BF30" s="13">
        <f t="shared" si="37"/>
        <v>24.080638481970816</v>
      </c>
      <c r="BG30" s="20">
        <f t="shared" si="7"/>
        <v>195.19554735609913</v>
      </c>
      <c r="BH30" s="59">
        <f t="shared" si="8"/>
        <v>397.99600185572899</v>
      </c>
      <c r="BI30" s="59">
        <f ca="1">AVERAGE(OFFSET($BH$3,0,0,'Données projet'!$E$11+1,1))-AVERAGE(OFFSET($H$3,0,0,'Données projet'!$E$11+1,1))</f>
        <v>344.97546176735341</v>
      </c>
      <c r="BJ30" s="59">
        <f t="shared" si="38"/>
        <v>331.15461126257492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397.99600185572899</v>
      </c>
      <c r="CD30" s="59">
        <f ca="1">AVERAGE(OFFSET($CC$3,0,0,'Données projet'!$E$12+1,1))-AVERAGE(OFFSET($H$3,0,0,'Données projet'!$E$12+1,1))</f>
        <v>344.97546176735341</v>
      </c>
      <c r="CE30" s="59">
        <f t="shared" si="40"/>
        <v>331.15461126257492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227.19465047672969</v>
      </c>
      <c r="CZ30" s="59">
        <f t="shared" si="42"/>
        <v>529.77979244134417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104.53245086842527</v>
      </c>
      <c r="DG30" s="21">
        <f>EXP(-LN(2)/25)*DG29+(1-EXP(-LN(2)/25))/(LN(2)/25)*Calculateur!DB30*Calculateur!DD30*VLOOKUP('Données projet'!$B$13,Paramètres!$A$1:$I$89,3,0)*0.475*44/12</f>
        <v>34.433104239282393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138.96555510770767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240.09151195692266</v>
      </c>
      <c r="DU30" s="59">
        <f t="shared" si="44"/>
        <v>559.47775134103165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111.36463719969488</v>
      </c>
      <c r="EB30" s="21">
        <f>EXP(-LN(2)/25)*EB29+(1-EXP(-LN(2)/25))/(LN(2)/25)*Calculateur!DW30*Calculateur!DY30*VLOOKUP('Données projet'!$B$14,Paramètres!$A$1:$I$89,3,0)*0.475*44/12</f>
        <v>36.68363392812438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148.04827112781925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11.5</v>
      </c>
      <c r="EJ30" s="12">
        <f>IF('Données projet'!$A$192&gt;35,EJ29+EI30-ER29,IF(A30&lt;'Données projet'!$A$192,$EG$205^A30,IF(A30='Données projet'!$A$192,'Données projet'!$B$192,EJ29+EI30-ER29)))</f>
        <v>108.99999999999996</v>
      </c>
      <c r="EK30" s="17">
        <f>EJ30*VLOOKUP('Données projet'!$B$15,Paramètres!$A$1:$I$89,3,0)*VLOOKUP('Données projet'!$B$15,Paramètres!$A$1:$I$89,5,0)</f>
        <v>85.019999999999968</v>
      </c>
      <c r="EL30" s="13">
        <f t="shared" si="45"/>
        <v>23.360218970693097</v>
      </c>
      <c r="EM30" s="20">
        <f t="shared" si="19"/>
        <v>188.76221470729038</v>
      </c>
      <c r="EN30" s="59">
        <f t="shared" si="20"/>
        <v>391.56266920692025</v>
      </c>
      <c r="EO30" s="59">
        <f ca="1">AVERAGE(OFFSET($EN$3,0,0,'Données projet'!$E$15+1,1))-AVERAGE(OFFSET($H$3,0,0,'Données projet'!$E$15+1,1))</f>
        <v>328.79469965518484</v>
      </c>
      <c r="EP30" s="59">
        <f t="shared" si="46"/>
        <v>322.06400652269735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12.2</v>
      </c>
      <c r="FE30" s="12">
        <f>IF('Données projet'!$A$218&gt;35,FE29+FD30-FM29,IF(A30&lt;'Données projet'!$A$218,$FB$205^A30,IF(A30='Données projet'!$A$218,'Données projet'!$B$218,FE29+FD30-FM29)))</f>
        <v>109.4</v>
      </c>
      <c r="FF30" s="17">
        <f>FE30*VLOOKUP('Données projet'!$B$16,Paramètres!$A$1:$I$89,3,0)*VLOOKUP('Données projet'!$B$16,Paramètres!$A$1:$I$89,5,0)</f>
        <v>80.21208</v>
      </c>
      <c r="FG30" s="13">
        <f t="shared" si="47"/>
        <v>22.189030798521017</v>
      </c>
      <c r="FH30" s="20">
        <f t="shared" si="22"/>
        <v>178.3486013074241</v>
      </c>
      <c r="FI30" s="59">
        <f t="shared" si="23"/>
        <v>381.14905580705397</v>
      </c>
      <c r="FJ30" s="59">
        <f ca="1">AVERAGE(OFFSET($FI$3,0,0,'Données projet'!$E$16+1,1))-AVERAGE(OFFSET($H$3,0,0,'Données projet'!$E$16+1,1))</f>
        <v>525.22234644068908</v>
      </c>
      <c r="FK30" s="59">
        <f t="shared" si="48"/>
        <v>311.5550296132094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11.8</v>
      </c>
      <c r="FZ30" s="12">
        <f>IF('Données projet'!$A$244&gt;35,FZ29+FY30-GH29,IF(A30&lt;'Données projet'!$A$244,$FW$205^A30,IF(A30='Données projet'!$A$244,'Données projet'!$B$244,FZ29+FY30-GH29)))</f>
        <v>110.59999999999997</v>
      </c>
      <c r="GA30" s="17">
        <f>FZ30*VLOOKUP('Données projet'!$B$17,Paramètres!$A$1:$I$89,3,0)*VLOOKUP('Données projet'!$B$17,Paramètres!$A$1:$I$89,5,0)</f>
        <v>72.46511999999997</v>
      </c>
      <c r="GB30" s="13">
        <f t="shared" si="49"/>
        <v>20.284395193539197</v>
      </c>
      <c r="GC30" s="20">
        <f t="shared" si="25"/>
        <v>161.53873896208071</v>
      </c>
      <c r="GD30" s="59">
        <f t="shared" si="26"/>
        <v>364.33919346171058</v>
      </c>
      <c r="GE30" s="59">
        <f ca="1">AVERAGE(OFFSET($GD$3,0,0,'Données projet'!$E$17+1,1))-AVERAGE(OFFSET($H$3,0,0,'Données projet'!$E$17+1,1))</f>
        <v>298.45881427802874</v>
      </c>
      <c r="GF30" s="59">
        <f t="shared" si="50"/>
        <v>287.00279305562356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135.66666666666666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</v>
      </c>
      <c r="N31" s="13">
        <f>IF('Données projet'!$A$36&gt;35,N30+M31-V30,IF(A31&lt;'Données projet'!$A$36,$K$205^A31,IF(A31='Données projet'!$A$36,'Données projet'!$B$36,N30+M31-V30)))</f>
        <v>112</v>
      </c>
      <c r="O31" s="13">
        <f>N31*VLOOKUP('Données projet'!$B$9,Paramètres!$A$1:$I$89,3,0)*VLOOKUP('Données projet'!$B$9,Paramètres!$A$1:$I$89,5,0)</f>
        <v>101.33759999999999</v>
      </c>
      <c r="P31" s="13">
        <f t="shared" si="33"/>
        <v>27.280415454305565</v>
      </c>
      <c r="Q31" s="20">
        <f t="shared" si="2"/>
        <v>224.00971024958213</v>
      </c>
      <c r="R31" s="59">
        <f t="shared" si="0"/>
        <v>429.53932154877572</v>
      </c>
      <c r="S31" s="59">
        <f ca="1">AVERAGE(OFFSET($R$3,0,0,'Données projet'!$E$9+1,1))-AVERAGE(OFFSET($H$3,0,0,'Données projet'!$E$9+1,1))</f>
        <v>600.52384738314299</v>
      </c>
      <c r="T31" s="59">
        <f t="shared" si="34"/>
        <v>314.84650287986256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</v>
      </c>
      <c r="AI31" s="13">
        <f>IF('Données projet'!$A$62&gt;35,AI30+AH31-AQ30,IF(A31&lt;'Données projet'!$A$62,$AF$205^A31,IF(A31='Données projet'!$A$62,'Données projet'!$B$62,AI30+AH31-AQ30)))</f>
        <v>147</v>
      </c>
      <c r="AJ31" s="13">
        <f>AI31*VLOOKUP('Données projet'!$B$10,Paramètres!$A$1:$I$89,3,0)*VLOOKUP('Données projet'!$B$10,Paramètres!$A$1:$I$89,5,0)</f>
        <v>128.41920000000002</v>
      </c>
      <c r="AK31" s="13">
        <f t="shared" si="35"/>
        <v>33.630823177860762</v>
      </c>
      <c r="AL31" s="20">
        <f t="shared" si="4"/>
        <v>282.23712370144091</v>
      </c>
      <c r="AM31" s="59">
        <f t="shared" si="5"/>
        <v>487.76673500063453</v>
      </c>
      <c r="AN31" s="59">
        <f ca="1">AVERAGE(OFFSET($AM$3,0,0,'Données projet'!$E$10+1,1))-AVERAGE(OFFSET($H$3,0,0,'Données projet'!$E$10+1,1))</f>
        <v>436.77894860279537</v>
      </c>
      <c r="AO31" s="59">
        <f t="shared" si="36"/>
        <v>398.63561969573072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5.6948729032521763</v>
      </c>
      <c r="AV31" s="21">
        <f>EXP(-LN(2)/25)*AV30+(1-EXP(-LN(2)/25))/(LN(2)/25)*Calculateur!AQ31*Calculateur!AS31*VLOOKUP('Données projet'!$B$10,Paramètres!$A$1:$I$89,3,0)*0.475*44/12</f>
        <v>5.2425754308806498</v>
      </c>
      <c r="AW31" s="21">
        <f>EXP(-LN(2)/2)*AW30+(1-EXP(-LN(2)/2))/(LN(2)/2)*AQ31*AT31*VLOOKUP('Données projet'!$B$10,Paramètres!$A$1:$I$89,3,0)*0.475*44/12</f>
        <v>3.1584162003329741</v>
      </c>
      <c r="AX31" s="21">
        <f t="shared" si="6"/>
        <v>14.0958645344658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97.381439999999984</v>
      </c>
      <c r="BF31" s="13">
        <f t="shared" si="37"/>
        <v>26.337201615555198</v>
      </c>
      <c r="BG31" s="20">
        <f t="shared" si="7"/>
        <v>215.47663414709197</v>
      </c>
      <c r="BH31" s="59">
        <f t="shared" si="8"/>
        <v>421.00624544628556</v>
      </c>
      <c r="BI31" s="59">
        <f ca="1">AVERAGE(OFFSET($BH$3,0,0,'Données projet'!$E$11+1,1))-AVERAGE(OFFSET($H$3,0,0,'Données projet'!$E$11+1,1))</f>
        <v>344.97546176735341</v>
      </c>
      <c r="BJ31" s="59">
        <f t="shared" si="38"/>
        <v>331.15461126257492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421.00624544628556</v>
      </c>
      <c r="CD31" s="59">
        <f ca="1">AVERAGE(OFFSET($CC$3,0,0,'Données projet'!$E$12+1,1))-AVERAGE(OFFSET($H$3,0,0,'Données projet'!$E$12+1,1))</f>
        <v>344.97546176735341</v>
      </c>
      <c r="CE31" s="59">
        <f t="shared" si="40"/>
        <v>331.15461126257492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227.19465047672969</v>
      </c>
      <c r="CZ31" s="59">
        <f t="shared" si="42"/>
        <v>529.77979244134417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102.48263326539485</v>
      </c>
      <c r="DG31" s="21">
        <f>EXP(-LN(2)/25)*DG30+(1-EXP(-LN(2)/25))/(LN(2)/25)*Calculateur!DB31*Calculateur!DD31*VLOOKUP('Données projet'!$B$13,Paramètres!$A$1:$I$89,3,0)*0.475*44/12</f>
        <v>33.491529193100959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135.97416245849581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240.09151195692266</v>
      </c>
      <c r="DU31" s="59">
        <f t="shared" si="44"/>
        <v>559.47775134103165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109.18084458993044</v>
      </c>
      <c r="EB31" s="21">
        <f>EXP(-LN(2)/25)*EB30+(1-EXP(-LN(2)/25))/(LN(2)/25)*Calculateur!DW31*Calculateur!DY31*VLOOKUP('Données projet'!$B$14,Paramètres!$A$1:$I$89,3,0)*0.475*44/12</f>
        <v>35.680518029251353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144.86136261918179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11.5</v>
      </c>
      <c r="EJ31" s="12">
        <f>IF('Données projet'!$A$192&gt;35,EJ30+EI31-ER30,IF(A31&lt;'Données projet'!$A$192,$EG$205^A31,IF(A31='Données projet'!$A$192,'Données projet'!$B$192,EJ30+EI31-ER30)))</f>
        <v>120.49999999999996</v>
      </c>
      <c r="EK31" s="17">
        <f>EJ31*VLOOKUP('Données projet'!$B$15,Paramètres!$A$1:$I$89,3,0)*VLOOKUP('Données projet'!$B$15,Paramètres!$A$1:$I$89,5,0)</f>
        <v>93.989999999999966</v>
      </c>
      <c r="EL31" s="13">
        <f t="shared" si="45"/>
        <v>25.525074036970054</v>
      </c>
      <c r="EM31" s="20">
        <f t="shared" si="19"/>
        <v>208.15542061438944</v>
      </c>
      <c r="EN31" s="59">
        <f t="shared" si="20"/>
        <v>413.68503191358303</v>
      </c>
      <c r="EO31" s="59">
        <f ca="1">AVERAGE(OFFSET($EN$3,0,0,'Données projet'!$E$15+1,1))-AVERAGE(OFFSET($H$3,0,0,'Données projet'!$E$15+1,1))</f>
        <v>328.79469965518484</v>
      </c>
      <c r="EP31" s="59">
        <f t="shared" si="46"/>
        <v>322.06400652269735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12.2</v>
      </c>
      <c r="FE31" s="12">
        <f>IF('Données projet'!$A$218&gt;35,FE30+FD31-FM30,IF(A31&lt;'Données projet'!$A$218,$FB$205^A31,IF(A31='Données projet'!$A$218,'Données projet'!$B$218,FE30+FD31-FM30)))</f>
        <v>121.60000000000001</v>
      </c>
      <c r="FF31" s="17">
        <f>FE31*VLOOKUP('Données projet'!$B$16,Paramètres!$A$1:$I$89,3,0)*VLOOKUP('Données projet'!$B$16,Paramètres!$A$1:$I$89,5,0)</f>
        <v>89.157120000000006</v>
      </c>
      <c r="FG31" s="13">
        <f t="shared" si="47"/>
        <v>24.361831444760703</v>
      </c>
      <c r="FH31" s="20">
        <f t="shared" si="22"/>
        <v>197.71217376629156</v>
      </c>
      <c r="FI31" s="59">
        <f t="shared" si="23"/>
        <v>403.24178506548515</v>
      </c>
      <c r="FJ31" s="59">
        <f ca="1">AVERAGE(OFFSET($FI$3,0,0,'Données projet'!$E$16+1,1))-AVERAGE(OFFSET($H$3,0,0,'Données projet'!$E$16+1,1))</f>
        <v>525.22234644068908</v>
      </c>
      <c r="FK31" s="59">
        <f t="shared" si="48"/>
        <v>311.5550296132094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11.8</v>
      </c>
      <c r="FZ31" s="12">
        <f>IF('Données projet'!$A$244&gt;35,FZ30+FY31-GH30,IF(A31&lt;'Données projet'!$A$244,$FW$205^A31,IF(A31='Données projet'!$A$244,'Données projet'!$B$244,FZ30+FY31-GH30)))</f>
        <v>122.39999999999996</v>
      </c>
      <c r="GA31" s="17">
        <f>FZ31*VLOOKUP('Données projet'!$B$17,Paramètres!$A$1:$I$89,3,0)*VLOOKUP('Données projet'!$B$17,Paramètres!$A$1:$I$89,5,0)</f>
        <v>80.196479999999966</v>
      </c>
      <c r="GB31" s="13">
        <f t="shared" si="49"/>
        <v>22.185217649516314</v>
      </c>
      <c r="GC31" s="20">
        <f t="shared" si="25"/>
        <v>178.31479007290753</v>
      </c>
      <c r="GD31" s="59">
        <f t="shared" si="26"/>
        <v>383.84440137210112</v>
      </c>
      <c r="GE31" s="59">
        <f ca="1">AVERAGE(OFFSET($GD$3,0,0,'Données projet'!$E$17+1,1))-AVERAGE(OFFSET($H$3,0,0,'Données projet'!$E$17+1,1))</f>
        <v>298.45881427802874</v>
      </c>
      <c r="GF31" s="59">
        <f t="shared" si="50"/>
        <v>287.00279305562356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135.66666666666666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</v>
      </c>
      <c r="N32" s="13">
        <f>IF('Données projet'!$A$36&gt;35,N31+M32-V31,IF(A32&lt;'Données projet'!$A$36,$K$205^A32,IF(A32='Données projet'!$A$36,'Données projet'!$B$36,N31+M32-V31)))</f>
        <v>116</v>
      </c>
      <c r="O32" s="13">
        <f>N32*VLOOKUP('Données projet'!$B$9,Paramètres!$A$1:$I$89,3,0)*VLOOKUP('Données projet'!$B$9,Paramètres!$A$1:$I$89,5,0)</f>
        <v>104.9568</v>
      </c>
      <c r="P32" s="13">
        <f t="shared" si="33"/>
        <v>28.139541339232373</v>
      </c>
      <c r="Q32" s="20">
        <f t="shared" si="2"/>
        <v>231.8094611658297</v>
      </c>
      <c r="R32" s="59">
        <f t="shared" si="0"/>
        <v>440.04208731867118</v>
      </c>
      <c r="S32" s="59">
        <f ca="1">AVERAGE(OFFSET($R$3,0,0,'Données projet'!$E$9+1,1))-AVERAGE(OFFSET($H$3,0,0,'Données projet'!$E$9+1,1))</f>
        <v>600.52384738314299</v>
      </c>
      <c r="T32" s="59">
        <f t="shared" si="34"/>
        <v>314.84650287986256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</v>
      </c>
      <c r="AI32" s="13">
        <f>IF('Données projet'!$A$62&gt;35,AI31+AH32-AQ31,IF(A32&lt;'Données projet'!$A$62,$AF$205^A32,IF(A32='Données projet'!$A$62,'Données projet'!$B$62,AI31+AH32-AQ31)))</f>
        <v>158</v>
      </c>
      <c r="AJ32" s="13">
        <f>AI32*VLOOKUP('Données projet'!$B$10,Paramètres!$A$1:$I$89,3,0)*VLOOKUP('Données projet'!$B$10,Paramètres!$A$1:$I$89,5,0)</f>
        <v>138.02880000000002</v>
      </c>
      <c r="AK32" s="13">
        <f t="shared" si="35"/>
        <v>35.845059256813073</v>
      </c>
      <c r="AL32" s="20">
        <f t="shared" si="4"/>
        <v>302.8303048722828</v>
      </c>
      <c r="AM32" s="59">
        <f t="shared" si="5"/>
        <v>511.06293102512427</v>
      </c>
      <c r="AN32" s="59">
        <f ca="1">AVERAGE(OFFSET($AM$3,0,0,'Données projet'!$E$10+1,1))-AVERAGE(OFFSET($H$3,0,0,'Données projet'!$E$10+1,1))</f>
        <v>436.77894860279537</v>
      </c>
      <c r="AO32" s="59">
        <f t="shared" si="36"/>
        <v>398.63561969573072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5.5831999191488899</v>
      </c>
      <c r="AV32" s="21">
        <f>EXP(-LN(2)/25)*AV31+(1-EXP(-LN(2)/25))/(LN(2)/25)*Calculateur!AQ32*Calculateur!AS32*VLOOKUP('Données projet'!$B$10,Paramètres!$A$1:$I$89,3,0)*0.475*44/12</f>
        <v>5.0992169300281587</v>
      </c>
      <c r="AW32" s="21">
        <f>EXP(-LN(2)/2)*AW31+(1-EXP(-LN(2)/2))/(LN(2)/2)*AQ32*AT32*VLOOKUP('Données projet'!$B$10,Paramètres!$A$1:$I$89,3,0)*0.475*44/12</f>
        <v>2.2333375130648951</v>
      </c>
      <c r="AX32" s="21">
        <f t="shared" si="6"/>
        <v>12.915754362241945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106.76951999999997</v>
      </c>
      <c r="BF32" s="13">
        <f t="shared" si="37"/>
        <v>28.568542914630683</v>
      </c>
      <c r="BG32" s="20">
        <f t="shared" si="7"/>
        <v>235.71379290964839</v>
      </c>
      <c r="BH32" s="59">
        <f t="shared" si="8"/>
        <v>443.94641906248984</v>
      </c>
      <c r="BI32" s="59">
        <f ca="1">AVERAGE(OFFSET($BH$3,0,0,'Données projet'!$E$11+1,1))-AVERAGE(OFFSET($H$3,0,0,'Données projet'!$E$11+1,1))</f>
        <v>344.97546176735341</v>
      </c>
      <c r="BJ32" s="59">
        <f t="shared" si="38"/>
        <v>331.15461126257492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443.94641906248984</v>
      </c>
      <c r="CD32" s="59">
        <f ca="1">AVERAGE(OFFSET($CC$3,0,0,'Données projet'!$E$12+1,1))-AVERAGE(OFFSET($H$3,0,0,'Données projet'!$E$12+1,1))</f>
        <v>344.97546176735341</v>
      </c>
      <c r="CE32" s="59">
        <f t="shared" si="40"/>
        <v>331.15461126257492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227.19465047672969</v>
      </c>
      <c r="CZ32" s="59">
        <f t="shared" si="42"/>
        <v>529.77979244134417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100.47301133529457</v>
      </c>
      <c r="DG32" s="21">
        <f>EXP(-LN(2)/25)*DG31+(1-EXP(-LN(2)/25))/(LN(2)/25)*Calculateur!DB32*Calculateur!DD32*VLOOKUP('Données projet'!$B$13,Paramètres!$A$1:$I$89,3,0)*0.475*44/12</f>
        <v>32.575701566072638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133.0487129013672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240.09151195692266</v>
      </c>
      <c r="DU32" s="59">
        <f t="shared" si="44"/>
        <v>559.47775134103165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107.03987482126152</v>
      </c>
      <c r="EB32" s="21">
        <f>EXP(-LN(2)/25)*EB31+(1-EXP(-LN(2)/25))/(LN(2)/25)*Calculateur!DW32*Calculateur!DY32*VLOOKUP('Données projet'!$B$14,Paramètres!$A$1:$I$89,3,0)*0.475*44/12</f>
        <v>34.704832387384577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141.7447072086461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11.5</v>
      </c>
      <c r="EJ32" s="12">
        <f>IF('Données projet'!$A$192&gt;35,EJ31+EI32-ER31,IF(A32&lt;'Données projet'!$A$192,$EG$205^A32,IF(A32='Données projet'!$A$192,'Données projet'!$B$192,EJ31+EI32-ER31)))</f>
        <v>131.99999999999994</v>
      </c>
      <c r="EK32" s="17">
        <f>EJ32*VLOOKUP('Données projet'!$B$15,Paramètres!$A$1:$I$89,3,0)*VLOOKUP('Données projet'!$B$15,Paramètres!$A$1:$I$89,5,0)</f>
        <v>102.95999999999997</v>
      </c>
      <c r="EL32" s="13">
        <f t="shared" si="45"/>
        <v>27.665975080374633</v>
      </c>
      <c r="EM32" s="20">
        <f t="shared" si="19"/>
        <v>227.50690659831903</v>
      </c>
      <c r="EN32" s="59">
        <f t="shared" si="20"/>
        <v>435.73953275116048</v>
      </c>
      <c r="EO32" s="59">
        <f ca="1">AVERAGE(OFFSET($EN$3,0,0,'Données projet'!$E$15+1,1))-AVERAGE(OFFSET($H$3,0,0,'Données projet'!$E$15+1,1))</f>
        <v>328.79469965518484</v>
      </c>
      <c r="EP32" s="59">
        <f t="shared" si="46"/>
        <v>322.06400652269735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12.2</v>
      </c>
      <c r="FE32" s="12">
        <f>IF('Données projet'!$A$218&gt;35,FE31+FD32-FM31,IF(A32&lt;'Données projet'!$A$218,$FB$205^A32,IF(A32='Données projet'!$A$218,'Données projet'!$B$218,FE31+FD32-FM31)))</f>
        <v>133.80000000000001</v>
      </c>
      <c r="FF32" s="17">
        <f>FE32*VLOOKUP('Données projet'!$B$16,Paramètres!$A$1:$I$89,3,0)*VLOOKUP('Données projet'!$B$16,Paramètres!$A$1:$I$89,5,0)</f>
        <v>98.102160000000012</v>
      </c>
      <c r="FG32" s="13">
        <f t="shared" si="47"/>
        <v>26.50936037444021</v>
      </c>
      <c r="FH32" s="20">
        <f t="shared" si="22"/>
        <v>217.0317313188167</v>
      </c>
      <c r="FI32" s="59">
        <f t="shared" si="23"/>
        <v>425.26435747165817</v>
      </c>
      <c r="FJ32" s="59">
        <f ca="1">AVERAGE(OFFSET($FI$3,0,0,'Données projet'!$E$16+1,1))-AVERAGE(OFFSET($H$3,0,0,'Données projet'!$E$16+1,1))</f>
        <v>525.22234644068908</v>
      </c>
      <c r="FK32" s="59">
        <f t="shared" si="48"/>
        <v>311.5550296132094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11.8</v>
      </c>
      <c r="FZ32" s="12">
        <f>IF('Données projet'!$A$244&gt;35,FZ31+FY32-GH31,IF(A32&lt;'Données projet'!$A$244,$FW$205^A32,IF(A32='Données projet'!$A$244,'Données projet'!$B$244,FZ31+FY32-GH31)))</f>
        <v>134.19999999999996</v>
      </c>
      <c r="GA32" s="17">
        <f>FZ32*VLOOKUP('Données projet'!$B$17,Paramètres!$A$1:$I$89,3,0)*VLOOKUP('Données projet'!$B$17,Paramètres!$A$1:$I$89,5,0)</f>
        <v>87.927839999999975</v>
      </c>
      <c r="GB32" s="13">
        <f t="shared" si="49"/>
        <v>24.064794420539194</v>
      </c>
      <c r="GC32" s="20">
        <f t="shared" si="25"/>
        <v>195.05383828243905</v>
      </c>
      <c r="GD32" s="59">
        <f t="shared" si="26"/>
        <v>403.28646443528049</v>
      </c>
      <c r="GE32" s="59">
        <f ca="1">AVERAGE(OFFSET($GD$3,0,0,'Données projet'!$E$17+1,1))-AVERAGE(OFFSET($H$3,0,0,'Données projet'!$E$17+1,1))</f>
        <v>298.45881427802874</v>
      </c>
      <c r="GF32" s="59">
        <f t="shared" si="50"/>
        <v>287.00279305562356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135.66666666666666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</v>
      </c>
      <c r="N33" s="13">
        <f>IF('Données projet'!$A$36&gt;35,N32+M33-V32,IF(A33&lt;'Données projet'!$A$36,$K$205^A33,IF(A33='Données projet'!$A$36,'Données projet'!$B$36,N32+M33-V32)))</f>
        <v>120</v>
      </c>
      <c r="O33" s="13">
        <f>N33*VLOOKUP('Données projet'!$B$9,Paramètres!$A$1:$I$89,3,0)*VLOOKUP('Données projet'!$B$9,Paramètres!$A$1:$I$89,5,0)</f>
        <v>108.57599999999999</v>
      </c>
      <c r="P33" s="13">
        <f t="shared" si="33"/>
        <v>28.995225061228002</v>
      </c>
      <c r="Q33" s="20">
        <f t="shared" si="2"/>
        <v>239.60321698163875</v>
      </c>
      <c r="R33" s="59">
        <f t="shared" si="0"/>
        <v>450.51316954652918</v>
      </c>
      <c r="S33" s="59">
        <f ca="1">AVERAGE(OFFSET($R$3,0,0,'Données projet'!$E$9+1,1))-AVERAGE(OFFSET($H$3,0,0,'Données projet'!$E$9+1,1))</f>
        <v>600.52384738314299</v>
      </c>
      <c r="T33" s="59">
        <f t="shared" si="34"/>
        <v>314.84650287986256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169</v>
      </c>
      <c r="AG33" s="12">
        <f>VLOOKUP(A33,'Données projet'!$A$61:$I$81,9,0)</f>
        <v>11</v>
      </c>
      <c r="AH33" s="12">
        <f t="array" ref="AH33">INDEX(AG:AG,MIN(IF(ISNUMBER(AG33:AG229),ROW(AG33:AG229),"")))</f>
        <v>11</v>
      </c>
      <c r="AI33" s="13">
        <f>IF('Données projet'!$A$62&gt;35,AI32+AH33-AQ32,IF(A33&lt;'Données projet'!$A$62,$AF$205^A33,IF(A33='Données projet'!$A$62,'Données projet'!$B$62,AI32+AH33-AQ32)))</f>
        <v>169</v>
      </c>
      <c r="AJ33" s="13">
        <f>AI33*VLOOKUP('Données projet'!$B$10,Paramètres!$A$1:$I$89,3,0)*VLOOKUP('Données projet'!$B$10,Paramètres!$A$1:$I$89,5,0)</f>
        <v>147.63840000000002</v>
      </c>
      <c r="AK33" s="13">
        <f t="shared" si="35"/>
        <v>38.04140887895133</v>
      </c>
      <c r="AL33" s="20">
        <f t="shared" si="4"/>
        <v>323.39233379750692</v>
      </c>
      <c r="AM33" s="59">
        <f t="shared" si="5"/>
        <v>534.30228636239735</v>
      </c>
      <c r="AN33" s="59">
        <f ca="1">AVERAGE(OFFSET($AM$3,0,0,'Données projet'!$E$10+1,1))-AVERAGE(OFFSET($H$3,0,0,'Données projet'!$E$10+1,1))</f>
        <v>436.77894860279537</v>
      </c>
      <c r="AO33" s="59">
        <f t="shared" si="36"/>
        <v>398.63561969573072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32</v>
      </c>
      <c r="AR33" s="16">
        <f>IF(ISNA(VLOOKUP(A33,'Données projet'!$A$61:$I$81,5,0)),0%,VLOOKUP(A33,'Données projet'!$A$61:$I$81,5,0)*VLOOKUP('Données projet'!$B$10,Paramètres!$A$1:$I$89,7,0))</f>
        <v>0.17200000000000001</v>
      </c>
      <c r="AS33" s="16">
        <f>IF(ISNA(VLOOKUP(A33,'Données projet'!$A$61:$I$81,6,0)),0%,VLOOKUP(A33,'Données projet'!$A$61:$I$81,6,0)*VLOOKUP('Données projet'!$B$10,Paramètres!$A$1:$I$89,7,0))</f>
        <v>0.129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10.789143809424234</v>
      </c>
      <c r="AV33" s="21">
        <f>EXP(-LN(2)/25)*AV32+(1-EXP(-LN(2)/25))/(LN(2)/25)*Calculateur!AQ33*Calculateur!AS33*VLOOKUP('Données projet'!$B$10,Paramètres!$A$1:$I$89,3,0)*0.475*44/12</f>
        <v>8.9306522051952264</v>
      </c>
      <c r="AW33" s="21">
        <f>EXP(-LN(2)/2)*AW32+(1-EXP(-LN(2)/2))/(LN(2)/2)*AQ33*AT33*VLOOKUP('Données projet'!$B$10,Paramètres!$A$1:$I$89,3,0)*0.475*44/12</f>
        <v>1.579208100166487</v>
      </c>
      <c r="AX33" s="21">
        <f t="shared" si="6"/>
        <v>21.299004114785948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116.15759999999999</v>
      </c>
      <c r="BF33" s="13">
        <f t="shared" si="37"/>
        <v>30.777132266613055</v>
      </c>
      <c r="BG33" s="20">
        <f t="shared" si="7"/>
        <v>255.91132536435109</v>
      </c>
      <c r="BH33" s="59">
        <f t="shared" si="8"/>
        <v>466.82127792924155</v>
      </c>
      <c r="BI33" s="59">
        <f ca="1">AVERAGE(OFFSET($BH$3,0,0,'Données projet'!$E$11+1,1))-AVERAGE(OFFSET($H$3,0,0,'Données projet'!$E$11+1,1))</f>
        <v>344.97546176735341</v>
      </c>
      <c r="BJ33" s="59">
        <f t="shared" si="38"/>
        <v>331.15461126257492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466.82127792924155</v>
      </c>
      <c r="CD33" s="59">
        <f ca="1">AVERAGE(OFFSET($CC$3,0,0,'Données projet'!$E$12+1,1))-AVERAGE(OFFSET($H$3,0,0,'Données projet'!$E$12+1,1))</f>
        <v>344.97546176735341</v>
      </c>
      <c r="CE33" s="59">
        <f t="shared" si="40"/>
        <v>331.15461126257492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227.19465047672969</v>
      </c>
      <c r="CZ33" s="59">
        <f t="shared" si="42"/>
        <v>529.77979244134417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98.502796865495213</v>
      </c>
      <c r="DG33" s="21">
        <f>EXP(-LN(2)/25)*DG32+(1-EXP(-LN(2)/25))/(LN(2)/25)*Calculateur!DB33*Calculateur!DD33*VLOOKUP('Données projet'!$B$13,Paramètres!$A$1:$I$89,3,0)*0.475*44/12</f>
        <v>31.68491729366669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130.18771415916191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240.09151195692266</v>
      </c>
      <c r="DU33" s="59">
        <f t="shared" si="44"/>
        <v>559.47775134103165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104.94088816389358</v>
      </c>
      <c r="EB33" s="21">
        <f>EXP(-LN(2)/25)*EB32+(1-EXP(-LN(2)/25))/(LN(2)/25)*Calculateur!DW33*Calculateur!DY33*VLOOKUP('Données projet'!$B$14,Paramètres!$A$1:$I$89,3,0)*0.475*44/12</f>
        <v>33.755826920703733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138.69671508459732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11.5</v>
      </c>
      <c r="EJ33" s="12">
        <f>IF('Données projet'!$A$192&gt;35,EJ32+EI33-ER32,IF(A33&lt;'Données projet'!$A$192,$EG$205^A33,IF(A33='Données projet'!$A$192,'Données projet'!$B$192,EJ32+EI33-ER32)))</f>
        <v>143.49999999999994</v>
      </c>
      <c r="EK33" s="17">
        <f>EJ33*VLOOKUP('Données projet'!$B$15,Paramètres!$A$1:$I$89,3,0)*VLOOKUP('Données projet'!$B$15,Paramètres!$A$1:$I$89,5,0)</f>
        <v>111.92999999999996</v>
      </c>
      <c r="EL33" s="13">
        <f t="shared" si="45"/>
        <v>29.785246291563833</v>
      </c>
      <c r="EM33" s="20">
        <f t="shared" si="19"/>
        <v>246.82072062447358</v>
      </c>
      <c r="EN33" s="59">
        <f t="shared" si="20"/>
        <v>457.73067318936398</v>
      </c>
      <c r="EO33" s="59">
        <f ca="1">AVERAGE(OFFSET($EN$3,0,0,'Données projet'!$E$15+1,1))-AVERAGE(OFFSET($H$3,0,0,'Données projet'!$E$15+1,1))</f>
        <v>328.79469965518484</v>
      </c>
      <c r="EP33" s="59">
        <f t="shared" si="46"/>
        <v>322.06400652269735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146</v>
      </c>
      <c r="FC33" s="12">
        <f>VLOOKUP(A33,'Données projet'!$A$217:$I$237,9,0)</f>
        <v>12.2</v>
      </c>
      <c r="FD33" s="12">
        <f t="array" ref="FD33">INDEX(FC:FC,MIN(IF(ISNUMBER(FC33:FC229),ROW(FC33:FC229),"")))</f>
        <v>12.2</v>
      </c>
      <c r="FE33" s="12">
        <f>IF('Données projet'!$A$218&gt;35,FE32+FD33-FM32,IF(A33&lt;'Données projet'!$A$218,$FB$205^A33,IF(A33='Données projet'!$A$218,'Données projet'!$B$218,FE32+FD33-FM32)))</f>
        <v>146</v>
      </c>
      <c r="FF33" s="17">
        <f>FE33*VLOOKUP('Données projet'!$B$16,Paramètres!$A$1:$I$89,3,0)*VLOOKUP('Données projet'!$B$16,Paramètres!$A$1:$I$89,5,0)</f>
        <v>107.04719999999999</v>
      </c>
      <c r="FG33" s="13">
        <f t="shared" si="47"/>
        <v>28.634183951187907</v>
      </c>
      <c r="FH33" s="20">
        <f t="shared" si="22"/>
        <v>236.3117437149856</v>
      </c>
      <c r="FI33" s="59">
        <f t="shared" si="23"/>
        <v>447.22169627987603</v>
      </c>
      <c r="FJ33" s="59">
        <f ca="1">AVERAGE(OFFSET($FI$3,0,0,'Données projet'!$E$16+1,1))-AVERAGE(OFFSET($H$3,0,0,'Données projet'!$E$16+1,1))</f>
        <v>525.22234644068908</v>
      </c>
      <c r="FK33" s="59">
        <f t="shared" si="48"/>
        <v>311.5550296132094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146</v>
      </c>
      <c r="FX33" s="12">
        <f>VLOOKUP(A33,'Données projet'!$A$243:$I$263,9,0)</f>
        <v>11.8</v>
      </c>
      <c r="FY33" s="12">
        <f t="array" ref="FY33">INDEX(FX:FX,MIN(IF(ISNUMBER(FX33:FX229),ROW(FX33:FX229),"")))</f>
        <v>11.8</v>
      </c>
      <c r="FZ33" s="12">
        <f>IF('Données projet'!$A$244&gt;35,FZ32+FY33-GH32,IF(A33&lt;'Données projet'!$A$244,$FW$205^A33,IF(A33='Données projet'!$A$244,'Données projet'!$B$244,FZ32+FY33-GH32)))</f>
        <v>145.99999999999997</v>
      </c>
      <c r="GA33" s="17">
        <f>FZ33*VLOOKUP('Données projet'!$B$17,Paramètres!$A$1:$I$89,3,0)*VLOOKUP('Données projet'!$B$17,Paramètres!$A$1:$I$89,5,0)</f>
        <v>95.659199999999984</v>
      </c>
      <c r="GB33" s="13">
        <f t="shared" si="49"/>
        <v>25.92520602338745</v>
      </c>
      <c r="GC33" s="20">
        <f t="shared" si="25"/>
        <v>211.75950715739978</v>
      </c>
      <c r="GD33" s="59">
        <f t="shared" si="26"/>
        <v>422.66945972229018</v>
      </c>
      <c r="GE33" s="59">
        <f ca="1">AVERAGE(OFFSET($GD$3,0,0,'Données projet'!$E$17+1,1))-AVERAGE(OFFSET($H$3,0,0,'Données projet'!$E$17+1,1))</f>
        <v>298.45881427802874</v>
      </c>
      <c r="GF33" s="59">
        <f t="shared" si="50"/>
        <v>287.00279305562356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28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135.66666666666666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</v>
      </c>
      <c r="N34" s="13">
        <f>IF('Données projet'!$A$36&gt;35,N33+M34-V33,IF(A34&lt;'Données projet'!$A$36,$K$205^A34,IF(A34='Données projet'!$A$36,'Données projet'!$B$36,N33+M34-V33)))</f>
        <v>124</v>
      </c>
      <c r="O34" s="13">
        <f>N34*VLOOKUP('Données projet'!$B$9,Paramètres!$A$1:$I$89,3,0)*VLOOKUP('Données projet'!$B$9,Paramètres!$A$1:$I$89,5,0)</f>
        <v>112.1952</v>
      </c>
      <c r="P34" s="13">
        <f t="shared" si="33"/>
        <v>29.847594514573263</v>
      </c>
      <c r="Q34" s="20">
        <f t="shared" si="2"/>
        <v>247.39120044621509</v>
      </c>
      <c r="R34" s="59">
        <f t="shared" si="0"/>
        <v>459.7310143963644</v>
      </c>
      <c r="S34" s="59">
        <f ca="1">AVERAGE(OFFSET($R$3,0,0,'Données projet'!$E$9+1,1))-AVERAGE(OFFSET($H$3,0,0,'Données projet'!$E$9+1,1))</f>
        <v>600.52384738314299</v>
      </c>
      <c r="T34" s="59">
        <f t="shared" si="34"/>
        <v>314.84650287986256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10.4</v>
      </c>
      <c r="AI34" s="13">
        <f>IF('Données projet'!$A$62&gt;35,AI33+AH34-AQ33,IF(A34&lt;'Données projet'!$A$62,$AF$205^A34,IF(A34='Données projet'!$A$62,'Données projet'!$B$62,AI33+AH34-AQ33)))</f>
        <v>147.4</v>
      </c>
      <c r="AJ34" s="13">
        <f>AI34*VLOOKUP('Données projet'!$B$10,Paramètres!$A$1:$I$89,3,0)*VLOOKUP('Données projet'!$B$10,Paramètres!$A$1:$I$89,5,0)</f>
        <v>128.76864000000003</v>
      </c>
      <c r="AK34" s="13">
        <f t="shared" si="35"/>
        <v>33.711670780700224</v>
      </c>
      <c r="AL34" s="20">
        <f t="shared" si="4"/>
        <v>282.98654127638628</v>
      </c>
      <c r="AM34" s="59">
        <f t="shared" si="5"/>
        <v>495.32635522653561</v>
      </c>
      <c r="AN34" s="59">
        <f ca="1">AVERAGE(OFFSET($AM$3,0,0,'Données projet'!$E$10+1,1))-AVERAGE(OFFSET($H$3,0,0,'Données projet'!$E$10+1,1))</f>
        <v>436.77894860279537</v>
      </c>
      <c r="AO34" s="59">
        <f t="shared" si="36"/>
        <v>398.63561969573072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10.577575280049356</v>
      </c>
      <c r="AV34" s="21">
        <f>EXP(-LN(2)/25)*AV33+(1-EXP(-LN(2)/25))/(LN(2)/25)*Calculateur!AQ34*Calculateur!AS34*VLOOKUP('Données projet'!$B$10,Paramètres!$A$1:$I$89,3,0)*0.475*44/12</f>
        <v>8.6864430510015751</v>
      </c>
      <c r="AW34" s="21">
        <f>EXP(-LN(2)/2)*AW33+(1-EXP(-LN(2)/2))/(LN(2)/2)*AQ34*AT34*VLOOKUP('Données projet'!$B$10,Paramètres!$A$1:$I$89,3,0)*0.475*44/12</f>
        <v>1.1166687565324476</v>
      </c>
      <c r="AX34" s="21">
        <f t="shared" si="6"/>
        <v>20.380687087583379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102.47327999999999</v>
      </c>
      <c r="BF34" s="13">
        <f t="shared" si="37"/>
        <v>27.550381949314474</v>
      </c>
      <c r="BG34" s="20">
        <f t="shared" si="7"/>
        <v>226.45787789505599</v>
      </c>
      <c r="BH34" s="59">
        <f t="shared" si="8"/>
        <v>438.79769184520529</v>
      </c>
      <c r="BI34" s="59">
        <f ca="1">AVERAGE(OFFSET($BH$3,0,0,'Données projet'!$E$11+1,1))-AVERAGE(OFFSET($H$3,0,0,'Données projet'!$E$11+1,1))</f>
        <v>344.97546176735341</v>
      </c>
      <c r="BJ34" s="59">
        <f t="shared" si="38"/>
        <v>331.15461126257492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438.79769184520529</v>
      </c>
      <c r="CD34" s="59">
        <f ca="1">AVERAGE(OFFSET($CC$3,0,0,'Données projet'!$E$12+1,1))-AVERAGE(OFFSET($H$3,0,0,'Données projet'!$E$12+1,1))</f>
        <v>344.97546176735341</v>
      </c>
      <c r="CE34" s="59">
        <f t="shared" si="40"/>
        <v>331.15461126257492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227.19465047672969</v>
      </c>
      <c r="CZ34" s="59">
        <f t="shared" si="42"/>
        <v>529.77979244134417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96.571217099736458</v>
      </c>
      <c r="DG34" s="21">
        <f>EXP(-LN(2)/25)*DG33+(1-EXP(-LN(2)/25))/(LN(2)/25)*Calculateur!DB34*Calculateur!DD34*VLOOKUP('Données projet'!$B$13,Paramètres!$A$1:$I$89,3,0)*0.475*44/12</f>
        <v>30.818491564033991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127.38970866377045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240.09151195692266</v>
      </c>
      <c r="DU34" s="59">
        <f t="shared" si="44"/>
        <v>559.47775134103165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102.88306135462118</v>
      </c>
      <c r="EB34" s="21">
        <f>EXP(-LN(2)/25)*EB33+(1-EXP(-LN(2)/25))/(LN(2)/25)*Calculateur!DW34*Calculateur!DY34*VLOOKUP('Données projet'!$B$14,Paramètres!$A$1:$I$89,3,0)*0.475*44/12</f>
        <v>32.832772058415301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135.71583341303648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155</v>
      </c>
      <c r="EH34" s="12">
        <f>VLOOKUP(A34,'Données projet'!$A$191:$I$211,9,0)</f>
        <v>11.5</v>
      </c>
      <c r="EI34" s="12">
        <f t="array" ref="EI34">INDEX(EH:EH,MIN(IF(ISNUMBER(EH34:EH230),ROW(EH34:EH230),"")))</f>
        <v>11.5</v>
      </c>
      <c r="EJ34" s="12">
        <f>IF('Données projet'!$A$192&gt;35,EJ33+EI34-ER33,IF(A34&lt;'Données projet'!$A$192,$EG$205^A34,IF(A34='Données projet'!$A$192,'Données projet'!$B$192,EJ33+EI34-ER33)))</f>
        <v>154.99999999999994</v>
      </c>
      <c r="EK34" s="17">
        <f>EJ34*VLOOKUP('Données projet'!$B$15,Paramètres!$A$1:$I$89,3,0)*VLOOKUP('Données projet'!$B$15,Paramètres!$A$1:$I$89,5,0)</f>
        <v>120.89999999999996</v>
      </c>
      <c r="EL34" s="13">
        <f t="shared" si="45"/>
        <v>31.884818143351602</v>
      </c>
      <c r="EM34" s="20">
        <f t="shared" si="19"/>
        <v>266.10022493300397</v>
      </c>
      <c r="EN34" s="59">
        <f t="shared" si="20"/>
        <v>478.44003888315331</v>
      </c>
      <c r="EO34" s="59">
        <f ca="1">AVERAGE(OFFSET($EN$3,0,0,'Données projet'!$E$15+1,1))-AVERAGE(OFFSET($H$3,0,0,'Données projet'!$E$15+1,1))</f>
        <v>328.79469965518484</v>
      </c>
      <c r="EP34" s="59">
        <f t="shared" si="46"/>
        <v>322.06400652269735</v>
      </c>
      <c r="EQ34" s="15">
        <f>IF(ISNA(VLOOKUP(A34,'Données projet'!$A$191:$I$211,3,0)),0,VLOOKUP(A34,'Données projet'!$A$191:$I$211,3,0))</f>
        <v>4</v>
      </c>
      <c r="ER34" s="15">
        <f>IF(ISNA(VLOOKUP(A34,'Données projet'!$A$191:$I$211,4,0)),0,VLOOKUP(A34,'Données projet'!$A$191:$I$211,4,0))</f>
        <v>36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123.80000000000001</v>
      </c>
      <c r="FF34" s="17">
        <f>FE34*VLOOKUP('Données projet'!$B$16,Paramètres!$A$1:$I$89,3,0)*VLOOKUP('Données projet'!$B$16,Paramètres!$A$1:$I$89,5,0)</f>
        <v>90.770160000000004</v>
      </c>
      <c r="FG34" s="13">
        <f t="shared" si="47"/>
        <v>24.75087682638571</v>
      </c>
      <c r="FH34" s="20">
        <f t="shared" si="22"/>
        <v>201.19913913928846</v>
      </c>
      <c r="FI34" s="59">
        <f t="shared" si="23"/>
        <v>413.53895308943777</v>
      </c>
      <c r="FJ34" s="59">
        <f ca="1">AVERAGE(OFFSET($FI$3,0,0,'Données projet'!$E$16+1,1))-AVERAGE(OFFSET($H$3,0,0,'Données projet'!$E$16+1,1))</f>
        <v>525.22234644068908</v>
      </c>
      <c r="FK34" s="59">
        <f t="shared" si="48"/>
        <v>311.5550296132094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10.8</v>
      </c>
      <c r="FZ34" s="12">
        <f>IF('Données projet'!$A$244&gt;35,FZ33+FY34-GH33,IF(A34&lt;'Données projet'!$A$244,$FW$205^A34,IF(A34='Données projet'!$A$244,'Données projet'!$B$244,FZ33+FY34-GH33)))</f>
        <v>128.79999999999998</v>
      </c>
      <c r="GA34" s="17">
        <f>FZ34*VLOOKUP('Données projet'!$B$17,Paramètres!$A$1:$I$89,3,0)*VLOOKUP('Données projet'!$B$17,Paramètres!$A$1:$I$89,5,0)</f>
        <v>84.389759999999981</v>
      </c>
      <c r="GB34" s="13">
        <f t="shared" si="49"/>
        <v>23.207143598424498</v>
      </c>
      <c r="GC34" s="20">
        <f t="shared" si="25"/>
        <v>187.3979404339226</v>
      </c>
      <c r="GD34" s="59">
        <f t="shared" si="26"/>
        <v>399.73775438407188</v>
      </c>
      <c r="GE34" s="59">
        <f ca="1">AVERAGE(OFFSET($GD$3,0,0,'Données projet'!$E$17+1,1))-AVERAGE(OFFSET($H$3,0,0,'Données projet'!$E$17+1,1))</f>
        <v>298.45881427802874</v>
      </c>
      <c r="GF34" s="59">
        <f t="shared" si="50"/>
        <v>287.00279305562356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135.66666666666666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</v>
      </c>
      <c r="N35" s="13">
        <f>IF('Données projet'!$A$36&gt;35,N34+M35-V34,IF(A35&lt;'Données projet'!$A$36,$K$205^A35,IF(A35='Données projet'!$A$36,'Données projet'!$B$36,N34+M35-V34)))</f>
        <v>128</v>
      </c>
      <c r="O35" s="13">
        <f>N35*VLOOKUP('Données projet'!$B$9,Paramètres!$A$1:$I$89,3,0)*VLOOKUP('Données projet'!$B$9,Paramètres!$A$1:$I$89,5,0)</f>
        <v>115.81439999999999</v>
      </c>
      <c r="P35" s="13">
        <f t="shared" si="33"/>
        <v>30.696768873861398</v>
      </c>
      <c r="Q35" s="20">
        <f t="shared" ref="Q35:Q66" si="53">(O35+P35)*0.475*44/12</f>
        <v>255.17361912197524</v>
      </c>
      <c r="R35" s="59">
        <f t="shared" si="0"/>
        <v>468.91848955904038</v>
      </c>
      <c r="S35" s="59">
        <f ca="1">AVERAGE(OFFSET($R$3,0,0,'Données projet'!$E$9+1,1))-AVERAGE(OFFSET($H$3,0,0,'Données projet'!$E$9+1,1))</f>
        <v>600.52384738314299</v>
      </c>
      <c r="T35" s="59">
        <f t="shared" si="34"/>
        <v>314.84650287986256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10.4</v>
      </c>
      <c r="AI35" s="13">
        <f>IF('Données projet'!$A$62&gt;35,AI34+AH35-AQ34,IF(A35&lt;'Données projet'!$A$62,$AF$205^A35,IF(A35='Données projet'!$A$62,'Données projet'!$B$62,AI34+AH35-AQ34)))</f>
        <v>157.80000000000001</v>
      </c>
      <c r="AJ35" s="13">
        <f>AI35*VLOOKUP('Données projet'!$B$10,Paramètres!$A$1:$I$89,3,0)*VLOOKUP('Données projet'!$B$10,Paramètres!$A$1:$I$89,5,0)</f>
        <v>137.85408000000001</v>
      </c>
      <c r="AK35" s="13">
        <f t="shared" si="35"/>
        <v>35.804964283629964</v>
      </c>
      <c r="AL35" s="20">
        <f t="shared" si="4"/>
        <v>302.45616879398887</v>
      </c>
      <c r="AM35" s="59">
        <f t="shared" si="5"/>
        <v>516.20103923105398</v>
      </c>
      <c r="AN35" s="59">
        <f ca="1">AVERAGE(OFFSET($AM$3,0,0,'Données projet'!$E$10+1,1))-AVERAGE(OFFSET($H$3,0,0,'Données projet'!$E$10+1,1))</f>
        <v>436.77894860279537</v>
      </c>
      <c r="AO35" s="59">
        <f t="shared" si="36"/>
        <v>398.63561969573072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10.370155480491459</v>
      </c>
      <c r="AV35" s="21">
        <f>EXP(-LN(2)/25)*AV34+(1-EXP(-LN(2)/25))/(LN(2)/25)*Calculateur!AQ35*Calculateur!AS35*VLOOKUP('Données projet'!$B$10,Paramètres!$A$1:$I$89,3,0)*0.475*44/12</f>
        <v>8.4489118089717508</v>
      </c>
      <c r="AW35" s="21">
        <f>EXP(-LN(2)/2)*AW34+(1-EXP(-LN(2)/2))/(LN(2)/2)*AQ35*AT35*VLOOKUP('Données projet'!$B$10,Paramètres!$A$1:$I$89,3,0)*0.475*44/12</f>
        <v>0.78960405008324352</v>
      </c>
      <c r="AX35" s="21">
        <f t="shared" si="6"/>
        <v>19.608671339546454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111.06576</v>
      </c>
      <c r="BF35" s="13">
        <f t="shared" si="37"/>
        <v>29.581944857062648</v>
      </c>
      <c r="BG35" s="20">
        <f t="shared" si="7"/>
        <v>244.96141929271744</v>
      </c>
      <c r="BH35" s="59">
        <f t="shared" si="8"/>
        <v>458.70628972978261</v>
      </c>
      <c r="BI35" s="59">
        <f ca="1">AVERAGE(OFFSET($BH$3,0,0,'Données projet'!$E$11+1,1))-AVERAGE(OFFSET($H$3,0,0,'Données projet'!$E$11+1,1))</f>
        <v>344.97546176735341</v>
      </c>
      <c r="BJ35" s="59">
        <f t="shared" si="38"/>
        <v>331.15461126257492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458.70628972978261</v>
      </c>
      <c r="CD35" s="59">
        <f ca="1">AVERAGE(OFFSET($CC$3,0,0,'Données projet'!$E$12+1,1))-AVERAGE(OFFSET($H$3,0,0,'Données projet'!$E$12+1,1))</f>
        <v>344.97546176735341</v>
      </c>
      <c r="CE35" s="59">
        <f t="shared" si="40"/>
        <v>331.15461126257492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227.19465047672969</v>
      </c>
      <c r="CZ35" s="59">
        <f t="shared" si="42"/>
        <v>529.77979244134417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94.677514435036912</v>
      </c>
      <c r="DG35" s="21">
        <f>EXP(-LN(2)/25)*DG34+(1-EXP(-LN(2)/25))/(LN(2)/25)*Calculateur!DB35*Calculateur!DD35*VLOOKUP('Données projet'!$B$13,Paramètres!$A$1:$I$89,3,0)*0.475*44/12</f>
        <v>29.975758291541446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124.65327272657836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240.09151195692266</v>
      </c>
      <c r="DU35" s="59">
        <f t="shared" si="44"/>
        <v>559.47775134103165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100.86558727392818</v>
      </c>
      <c r="EB35" s="21">
        <f>EXP(-LN(2)/25)*EB34+(1-EXP(-LN(2)/25))/(LN(2)/25)*Calculateur!DW35*Calculateur!DY35*VLOOKUP('Données projet'!$B$14,Paramètres!$A$1:$I$89,3,0)*0.475*44/12</f>
        <v>31.934958179877494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132.80054545380568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11.5</v>
      </c>
      <c r="EJ35" s="12">
        <f>IF('Données projet'!$A$192&gt;35,EJ34+EI35-ER34,IF(A35&lt;'Données projet'!$A$192,$EG$205^A35,IF(A35='Données projet'!$A$192,'Données projet'!$B$192,EJ34+EI35-ER34)))</f>
        <v>130.49999999999994</v>
      </c>
      <c r="EK35" s="17">
        <f>EJ35*VLOOKUP('Données projet'!$B$15,Paramètres!$A$1:$I$89,3,0)*VLOOKUP('Données projet'!$B$15,Paramètres!$A$1:$I$89,5,0)</f>
        <v>101.78999999999996</v>
      </c>
      <c r="EL35" s="13">
        <f t="shared" si="45"/>
        <v>27.38799903683508</v>
      </c>
      <c r="EM35" s="20">
        <f t="shared" si="19"/>
        <v>224.98501498915437</v>
      </c>
      <c r="EN35" s="59">
        <f t="shared" si="20"/>
        <v>438.72988542621954</v>
      </c>
      <c r="EO35" s="59">
        <f ca="1">AVERAGE(OFFSET($EN$3,0,0,'Données projet'!$E$15+1,1))-AVERAGE(OFFSET($H$3,0,0,'Données projet'!$E$15+1,1))</f>
        <v>328.79469965518484</v>
      </c>
      <c r="EP35" s="59">
        <f t="shared" si="46"/>
        <v>322.06400652269735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136.60000000000002</v>
      </c>
      <c r="FF35" s="17">
        <f>FE35*VLOOKUP('Données projet'!$B$16,Paramètres!$A$1:$I$89,3,0)*VLOOKUP('Données projet'!$B$16,Paramètres!$A$1:$I$89,5,0)</f>
        <v>100.15512000000003</v>
      </c>
      <c r="FG35" s="13">
        <f t="shared" si="47"/>
        <v>26.998949414913174</v>
      </c>
      <c r="FH35" s="20">
        <f t="shared" si="22"/>
        <v>221.46000423097382</v>
      </c>
      <c r="FI35" s="59">
        <f t="shared" si="23"/>
        <v>435.204874668039</v>
      </c>
      <c r="FJ35" s="59">
        <f ca="1">AVERAGE(OFFSET($FI$3,0,0,'Données projet'!$E$16+1,1))-AVERAGE(OFFSET($H$3,0,0,'Données projet'!$E$16+1,1))</f>
        <v>525.22234644068908</v>
      </c>
      <c r="FK35" s="59">
        <f t="shared" si="48"/>
        <v>311.5550296132094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10.8</v>
      </c>
      <c r="FZ35" s="12">
        <f>IF('Données projet'!$A$244&gt;35,FZ34+FY35-GH34,IF(A35&lt;'Données projet'!$A$244,$FW$205^A35,IF(A35='Données projet'!$A$244,'Données projet'!$B$244,FZ34+FY35-GH34)))</f>
        <v>139.6</v>
      </c>
      <c r="GA35" s="17">
        <f>FZ35*VLOOKUP('Données projet'!$B$17,Paramètres!$A$1:$I$89,3,0)*VLOOKUP('Données projet'!$B$17,Paramètres!$A$1:$I$89,5,0)</f>
        <v>91.465919999999997</v>
      </c>
      <c r="GB35" s="13">
        <f t="shared" si="49"/>
        <v>24.918436466018196</v>
      </c>
      <c r="GC35" s="20">
        <f t="shared" si="25"/>
        <v>202.70275417831499</v>
      </c>
      <c r="GD35" s="59">
        <f t="shared" si="26"/>
        <v>416.44762461538016</v>
      </c>
      <c r="GE35" s="59">
        <f ca="1">AVERAGE(OFFSET($GD$3,0,0,'Données projet'!$E$17+1,1))-AVERAGE(OFFSET($H$3,0,0,'Données projet'!$E$17+1,1))</f>
        <v>298.45881427802874</v>
      </c>
      <c r="GF35" s="59">
        <f t="shared" si="50"/>
        <v>287.00279305562356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135.66666666666666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</v>
      </c>
      <c r="N36" s="13">
        <f>IF('Données projet'!$A$36&gt;35,N35+M36-V35,IF(A36&lt;'Données projet'!$A$36,$K$205^A36,IF(A36='Données projet'!$A$36,'Données projet'!$B$36,N35+M36-V35)))</f>
        <v>132</v>
      </c>
      <c r="O36" s="13">
        <f>N36*VLOOKUP('Données projet'!$B$9,Paramètres!$A$1:$I$89,3,0)*VLOOKUP('Données projet'!$B$9,Paramètres!$A$1:$I$89,5,0)</f>
        <v>119.43359999999998</v>
      </c>
      <c r="P36" s="13">
        <f t="shared" si="33"/>
        <v>31.54285944220668</v>
      </c>
      <c r="Q36" s="20">
        <f t="shared" si="53"/>
        <v>262.95066686184327</v>
      </c>
      <c r="R36" s="59">
        <f t="shared" si="0"/>
        <v>478.07621919701194</v>
      </c>
      <c r="S36" s="59">
        <f ca="1">AVERAGE(OFFSET($R$3,0,0,'Données projet'!$E$9+1,1))-AVERAGE(OFFSET($H$3,0,0,'Données projet'!$E$9+1,1))</f>
        <v>600.52384738314299</v>
      </c>
      <c r="T36" s="59">
        <f t="shared" si="34"/>
        <v>314.84650287986256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10.4</v>
      </c>
      <c r="AI36" s="13">
        <f>IF('Données projet'!$A$62&gt;35,AI35+AH36-AQ35,IF(A36&lt;'Données projet'!$A$62,$AF$205^A36,IF(A36='Données projet'!$A$62,'Données projet'!$B$62,AI35+AH36-AQ35)))</f>
        <v>168.20000000000002</v>
      </c>
      <c r="AJ36" s="13">
        <f>AI36*VLOOKUP('Données projet'!$B$10,Paramètres!$A$1:$I$89,3,0)*VLOOKUP('Données projet'!$B$10,Paramètres!$A$1:$I$89,5,0)</f>
        <v>146.93952000000004</v>
      </c>
      <c r="AK36" s="13">
        <f t="shared" si="35"/>
        <v>37.882248330654257</v>
      </c>
      <c r="AL36" s="20">
        <f t="shared" si="4"/>
        <v>321.89791317588953</v>
      </c>
      <c r="AM36" s="59">
        <f t="shared" si="5"/>
        <v>537.02346551105825</v>
      </c>
      <c r="AN36" s="59">
        <f ca="1">AVERAGE(OFFSET($AM$3,0,0,'Données projet'!$E$10+1,1))-AVERAGE(OFFSET($H$3,0,0,'Données projet'!$E$10+1,1))</f>
        <v>436.77894860279537</v>
      </c>
      <c r="AO36" s="59">
        <f t="shared" si="36"/>
        <v>398.63561969573072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10.166803056689306</v>
      </c>
      <c r="AV36" s="21">
        <f>EXP(-LN(2)/25)*AV35+(1-EXP(-LN(2)/25))/(LN(2)/25)*Calculateur!AQ36*Calculateur!AS36*VLOOKUP('Données projet'!$B$10,Paramètres!$A$1:$I$89,3,0)*0.475*44/12</f>
        <v>8.2178758712464557</v>
      </c>
      <c r="AW36" s="21">
        <f>EXP(-LN(2)/2)*AW35+(1-EXP(-LN(2)/2))/(LN(2)/2)*AQ36*AT36*VLOOKUP('Données projet'!$B$10,Paramètres!$A$1:$I$89,3,0)*0.475*44/12</f>
        <v>0.55833437826622379</v>
      </c>
      <c r="AX36" s="21">
        <f t="shared" si="6"/>
        <v>18.943013306201983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119.65824000000002</v>
      </c>
      <c r="BF36" s="13">
        <f t="shared" si="37"/>
        <v>31.595276160231336</v>
      </c>
      <c r="BG36" s="20">
        <f t="shared" si="7"/>
        <v>263.43320731240294</v>
      </c>
      <c r="BH36" s="59">
        <f t="shared" si="8"/>
        <v>478.55875964757161</v>
      </c>
      <c r="BI36" s="59">
        <f ca="1">AVERAGE(OFFSET($BH$3,0,0,'Données projet'!$E$11+1,1))-AVERAGE(OFFSET($H$3,0,0,'Données projet'!$E$11+1,1))</f>
        <v>344.97546176735341</v>
      </c>
      <c r="BJ36" s="59">
        <f t="shared" si="38"/>
        <v>331.15461126257492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478.55875964757161</v>
      </c>
      <c r="CD36" s="59">
        <f ca="1">AVERAGE(OFFSET($CC$3,0,0,'Données projet'!$E$12+1,1))-AVERAGE(OFFSET($H$3,0,0,'Données projet'!$E$12+1,1))</f>
        <v>344.97546176735341</v>
      </c>
      <c r="CE36" s="59">
        <f t="shared" si="40"/>
        <v>331.15461126257492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227.19465047672969</v>
      </c>
      <c r="CZ36" s="59">
        <f t="shared" si="42"/>
        <v>529.77979244134417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92.820946124547547</v>
      </c>
      <c r="DG36" s="21">
        <f>EXP(-LN(2)/25)*DG35+(1-EXP(-LN(2)/25))/(LN(2)/25)*Calculateur!DB36*Calculateur!DD36*VLOOKUP('Données projet'!$B$13,Paramètres!$A$1:$I$89,3,0)*0.475*44/12</f>
        <v>29.156069604702626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121.97701572925017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240.09151195692266</v>
      </c>
      <c r="DU36" s="59">
        <f t="shared" si="44"/>
        <v>559.47775134103165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98.887674629419905</v>
      </c>
      <c r="EB36" s="21">
        <f>EXP(-LN(2)/25)*EB35+(1-EXP(-LN(2)/25))/(LN(2)/25)*Calculateur!DW36*Calculateur!DY36*VLOOKUP('Données projet'!$B$14,Paramètres!$A$1:$I$89,3,0)*0.475*44/12</f>
        <v>31.061695069062282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129.9493696984822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11.5</v>
      </c>
      <c r="EJ36" s="12">
        <f>IF('Données projet'!$A$192&gt;35,EJ35+EI36-ER35,IF(A36&lt;'Données projet'!$A$192,$EG$205^A36,IF(A36='Données projet'!$A$192,'Données projet'!$B$192,EJ35+EI36-ER35)))</f>
        <v>141.99999999999994</v>
      </c>
      <c r="EK36" s="17">
        <f>EJ36*VLOOKUP('Données projet'!$B$15,Paramètres!$A$1:$I$89,3,0)*VLOOKUP('Données projet'!$B$15,Paramètres!$A$1:$I$89,5,0)</f>
        <v>110.75999999999996</v>
      </c>
      <c r="EL36" s="13">
        <f t="shared" si="45"/>
        <v>29.509974682362923</v>
      </c>
      <c r="EM36" s="20">
        <f t="shared" si="19"/>
        <v>244.30353923844871</v>
      </c>
      <c r="EN36" s="59">
        <f t="shared" si="20"/>
        <v>459.42909157361737</v>
      </c>
      <c r="EO36" s="59">
        <f ca="1">AVERAGE(OFFSET($EN$3,0,0,'Données projet'!$E$15+1,1))-AVERAGE(OFFSET($H$3,0,0,'Données projet'!$E$15+1,1))</f>
        <v>328.79469965518484</v>
      </c>
      <c r="EP36" s="59">
        <f t="shared" si="46"/>
        <v>322.06400652269735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149.40000000000003</v>
      </c>
      <c r="FF36" s="17">
        <f>FE36*VLOOKUP('Données projet'!$B$16,Paramètres!$A$1:$I$89,3,0)*VLOOKUP('Données projet'!$B$16,Paramètres!$A$1:$I$89,5,0)</f>
        <v>109.54008000000003</v>
      </c>
      <c r="FG36" s="13">
        <f t="shared" si="47"/>
        <v>29.222597423750106</v>
      </c>
      <c r="FH36" s="20">
        <f t="shared" si="22"/>
        <v>241.67832984636482</v>
      </c>
      <c r="FI36" s="59">
        <f t="shared" si="23"/>
        <v>456.80388218153348</v>
      </c>
      <c r="FJ36" s="59">
        <f ca="1">AVERAGE(OFFSET($FI$3,0,0,'Données projet'!$E$16+1,1))-AVERAGE(OFFSET($H$3,0,0,'Données projet'!$E$16+1,1))</f>
        <v>525.22234644068908</v>
      </c>
      <c r="FK36" s="59">
        <f t="shared" si="48"/>
        <v>311.5550296132094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10.8</v>
      </c>
      <c r="FZ36" s="12">
        <f>IF('Données projet'!$A$244&gt;35,FZ35+FY36-GH35,IF(A36&lt;'Données projet'!$A$244,$FW$205^A36,IF(A36='Données projet'!$A$244,'Données projet'!$B$244,FZ35+FY36-GH35)))</f>
        <v>150.4</v>
      </c>
      <c r="GA36" s="17">
        <f>FZ36*VLOOKUP('Données projet'!$B$17,Paramètres!$A$1:$I$89,3,0)*VLOOKUP('Données projet'!$B$17,Paramètres!$A$1:$I$89,5,0)</f>
        <v>98.542079999999999</v>
      </c>
      <c r="GB36" s="13">
        <f t="shared" si="49"/>
        <v>26.614371888975242</v>
      </c>
      <c r="GC36" s="20">
        <f t="shared" si="25"/>
        <v>217.98082037329854</v>
      </c>
      <c r="GD36" s="59">
        <f t="shared" si="26"/>
        <v>433.10637270846723</v>
      </c>
      <c r="GE36" s="59">
        <f ca="1">AVERAGE(OFFSET($GD$3,0,0,'Données projet'!$E$17+1,1))-AVERAGE(OFFSET($H$3,0,0,'Données projet'!$E$17+1,1))</f>
        <v>298.45881427802874</v>
      </c>
      <c r="GF36" s="59">
        <f t="shared" si="50"/>
        <v>287.00279305562356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135.66666666666666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</v>
      </c>
      <c r="N37" s="13">
        <f>IF('Données projet'!$A$36&gt;35,N36+M37-V36,IF(A37&lt;'Données projet'!$A$36,$K$205^A37,IF(A37='Données projet'!$A$36,'Données projet'!$B$36,N36+M37-V36)))</f>
        <v>136</v>
      </c>
      <c r="O37" s="13">
        <f>N37*VLOOKUP('Données projet'!$B$9,Paramètres!$A$1:$I$89,3,0)*VLOOKUP('Données projet'!$B$9,Paramètres!$A$1:$I$89,5,0)</f>
        <v>123.05279999999999</v>
      </c>
      <c r="P37" s="13">
        <f t="shared" si="33"/>
        <v>32.385970393750824</v>
      </c>
      <c r="Q37" s="20">
        <f t="shared" si="53"/>
        <v>270.72252510244931</v>
      </c>
      <c r="R37" s="59">
        <f t="shared" si="0"/>
        <v>487.20480759153168</v>
      </c>
      <c r="S37" s="59">
        <f ca="1">AVERAGE(OFFSET($R$3,0,0,'Données projet'!$E$9+1,1))-AVERAGE(OFFSET($H$3,0,0,'Données projet'!$E$9+1,1))</f>
        <v>600.52384738314299</v>
      </c>
      <c r="T37" s="59">
        <f t="shared" si="34"/>
        <v>314.84650287986256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10.4</v>
      </c>
      <c r="AI37" s="13">
        <f>IF('Données projet'!$A$62&gt;35,AI36+AH37-AQ36,IF(A37&lt;'Données projet'!$A$62,$AF$205^A37,IF(A37='Données projet'!$A$62,'Données projet'!$B$62,AI36+AH37-AQ36)))</f>
        <v>178.60000000000002</v>
      </c>
      <c r="AJ37" s="13">
        <f>AI37*VLOOKUP('Données projet'!$B$10,Paramètres!$A$1:$I$89,3,0)*VLOOKUP('Données projet'!$B$10,Paramètres!$A$1:$I$89,5,0)</f>
        <v>156.02496000000005</v>
      </c>
      <c r="AK37" s="13">
        <f t="shared" si="35"/>
        <v>39.944625507905997</v>
      </c>
      <c r="AL37" s="20">
        <f t="shared" si="4"/>
        <v>341.31369475960304</v>
      </c>
      <c r="AM37" s="59">
        <f t="shared" si="5"/>
        <v>557.7959772486854</v>
      </c>
      <c r="AN37" s="59">
        <f ca="1">AVERAGE(OFFSET($AM$3,0,0,'Données projet'!$E$10+1,1))-AVERAGE(OFFSET($H$3,0,0,'Données projet'!$E$10+1,1))</f>
        <v>436.77894860279537</v>
      </c>
      <c r="AO37" s="59">
        <f t="shared" si="36"/>
        <v>398.63561969573072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9.9674382498851806</v>
      </c>
      <c r="AV37" s="21">
        <f>EXP(-LN(2)/25)*AV36+(1-EXP(-LN(2)/25))/(LN(2)/25)*Calculateur!AQ37*Calculateur!AS37*VLOOKUP('Données projet'!$B$10,Paramètres!$A$1:$I$89,3,0)*0.475*44/12</f>
        <v>7.9931576233879111</v>
      </c>
      <c r="AW37" s="21">
        <f>EXP(-LN(2)/2)*AW36+(1-EXP(-LN(2)/2))/(LN(2)/2)*AQ37*AT37*VLOOKUP('Données projet'!$B$10,Paramètres!$A$1:$I$89,3,0)*0.475*44/12</f>
        <v>0.39480202504162176</v>
      </c>
      <c r="AX37" s="21">
        <f t="shared" si="6"/>
        <v>18.355397898314713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128.25072</v>
      </c>
      <c r="BF37" s="13">
        <f t="shared" si="37"/>
        <v>33.591833937449593</v>
      </c>
      <c r="BG37" s="20">
        <f t="shared" si="7"/>
        <v>281.875781441058</v>
      </c>
      <c r="BH37" s="59">
        <f t="shared" si="8"/>
        <v>498.35806393014036</v>
      </c>
      <c r="BI37" s="59">
        <f ca="1">AVERAGE(OFFSET($BH$3,0,0,'Données projet'!$E$11+1,1))-AVERAGE(OFFSET($H$3,0,0,'Données projet'!$E$11+1,1))</f>
        <v>344.97546176735341</v>
      </c>
      <c r="BJ37" s="59">
        <f t="shared" si="38"/>
        <v>331.15461126257492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498.35806393014036</v>
      </c>
      <c r="CD37" s="59">
        <f ca="1">AVERAGE(OFFSET($CC$3,0,0,'Données projet'!$E$12+1,1))-AVERAGE(OFFSET($H$3,0,0,'Données projet'!$E$12+1,1))</f>
        <v>344.97546176735341</v>
      </c>
      <c r="CE37" s="59">
        <f t="shared" si="40"/>
        <v>331.15461126257492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227.19465047672969</v>
      </c>
      <c r="CZ37" s="59">
        <f t="shared" si="42"/>
        <v>529.77979244134417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91.000783986232022</v>
      </c>
      <c r="DG37" s="21">
        <f>EXP(-LN(2)/25)*DG36+(1-EXP(-LN(2)/25))/(LN(2)/25)*Calculateur!DB37*Calculateur!DD37*VLOOKUP('Données projet'!$B$13,Paramètres!$A$1:$I$89,3,0)*0.475*44/12</f>
        <v>28.35879534811097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119.359579334343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240.09151195692266</v>
      </c>
      <c r="DU37" s="59">
        <f t="shared" si="44"/>
        <v>559.47775134103165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96.948547645462838</v>
      </c>
      <c r="EB37" s="21">
        <f>EXP(-LN(2)/25)*EB36+(1-EXP(-LN(2)/25))/(LN(2)/25)*Calculateur!DW37*Calculateur!DY37*VLOOKUP('Données projet'!$B$14,Paramètres!$A$1:$I$89,3,0)*0.475*44/12</f>
        <v>30.212311383935223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127.16085902939807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11.5</v>
      </c>
      <c r="EJ37" s="12">
        <f>IF('Données projet'!$A$192&gt;35,EJ36+EI37-ER36,IF(A37&lt;'Données projet'!$A$192,$EG$205^A37,IF(A37='Données projet'!$A$192,'Données projet'!$B$192,EJ36+EI37-ER36)))</f>
        <v>153.49999999999994</v>
      </c>
      <c r="EK37" s="17">
        <f>EJ37*VLOOKUP('Données projet'!$B$15,Paramètres!$A$1:$I$89,3,0)*VLOOKUP('Données projet'!$B$15,Paramètres!$A$1:$I$89,5,0)</f>
        <v>119.72999999999996</v>
      </c>
      <c r="EL37" s="13">
        <f t="shared" si="45"/>
        <v>31.612017974790529</v>
      </c>
      <c r="EM37" s="20">
        <f t="shared" si="19"/>
        <v>263.58734797276003</v>
      </c>
      <c r="EN37" s="59">
        <f t="shared" si="20"/>
        <v>480.06963046184239</v>
      </c>
      <c r="EO37" s="59">
        <f ca="1">AVERAGE(OFFSET($EN$3,0,0,'Données projet'!$E$15+1,1))-AVERAGE(OFFSET($H$3,0,0,'Données projet'!$E$15+1,1))</f>
        <v>328.79469965518484</v>
      </c>
      <c r="EP37" s="59">
        <f t="shared" si="46"/>
        <v>322.06400652269735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162.20000000000005</v>
      </c>
      <c r="FF37" s="17">
        <f>FE37*VLOOKUP('Données projet'!$B$16,Paramètres!$A$1:$I$89,3,0)*VLOOKUP('Données projet'!$B$16,Paramètres!$A$1:$I$89,5,0)</f>
        <v>118.92504000000004</v>
      </c>
      <c r="FG37" s="13">
        <f t="shared" si="47"/>
        <v>31.424151376563206</v>
      </c>
      <c r="FH37" s="20">
        <f t="shared" si="22"/>
        <v>261.85817498084765</v>
      </c>
      <c r="FI37" s="59">
        <f t="shared" si="23"/>
        <v>478.34045746993002</v>
      </c>
      <c r="FJ37" s="59">
        <f ca="1">AVERAGE(OFFSET($FI$3,0,0,'Données projet'!$E$16+1,1))-AVERAGE(OFFSET($H$3,0,0,'Données projet'!$E$16+1,1))</f>
        <v>525.22234644068908</v>
      </c>
      <c r="FK37" s="59">
        <f t="shared" si="48"/>
        <v>311.5550296132094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10.8</v>
      </c>
      <c r="FZ37" s="12">
        <f>IF('Données projet'!$A$244&gt;35,FZ36+FY37-GH36,IF(A37&lt;'Données projet'!$A$244,$FW$205^A37,IF(A37='Données projet'!$A$244,'Données projet'!$B$244,FZ36+FY37-GH36)))</f>
        <v>161.20000000000002</v>
      </c>
      <c r="GA37" s="17">
        <f>FZ37*VLOOKUP('Données projet'!$B$17,Paramètres!$A$1:$I$89,3,0)*VLOOKUP('Données projet'!$B$17,Paramètres!$A$1:$I$89,5,0)</f>
        <v>105.61824000000001</v>
      </c>
      <c r="GB37" s="13">
        <f t="shared" si="49"/>
        <v>28.296178084029062</v>
      </c>
      <c r="GC37" s="20">
        <f t="shared" si="25"/>
        <v>233.23427816301728</v>
      </c>
      <c r="GD37" s="59">
        <f t="shared" si="26"/>
        <v>449.7165606520997</v>
      </c>
      <c r="GE37" s="59">
        <f ca="1">AVERAGE(OFFSET($GD$3,0,0,'Données projet'!$E$17+1,1))-AVERAGE(OFFSET($H$3,0,0,'Données projet'!$E$17+1,1))</f>
        <v>298.45881427802874</v>
      </c>
      <c r="GF37" s="59">
        <f t="shared" si="50"/>
        <v>287.00279305562356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135.66666666666666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</v>
      </c>
      <c r="N38" s="13">
        <f>IF('Données projet'!$A$36&gt;35,N37+M38-V37,IF(A38&lt;'Données projet'!$A$36,$K$205^A38,IF(A38='Données projet'!$A$36,'Données projet'!$B$36,N37+M38-V37)))</f>
        <v>140</v>
      </c>
      <c r="O38" s="13">
        <f>N38*VLOOKUP('Données projet'!$B$9,Paramètres!$A$1:$I$89,3,0)*VLOOKUP('Données projet'!$B$9,Paramètres!$A$1:$I$89,5,0)</f>
        <v>126.67199999999998</v>
      </c>
      <c r="P38" s="13">
        <f t="shared" si="33"/>
        <v>33.226199426361347</v>
      </c>
      <c r="Q38" s="20">
        <f t="shared" si="53"/>
        <v>278.48936400091264</v>
      </c>
      <c r="R38" s="59">
        <f t="shared" si="0"/>
        <v>496.30484040893259</v>
      </c>
      <c r="S38" s="59">
        <f ca="1">AVERAGE(OFFSET($R$3,0,0,'Données projet'!$E$9+1,1))-AVERAGE(OFFSET($H$3,0,0,'Données projet'!$E$9+1,1))</f>
        <v>600.52384738314299</v>
      </c>
      <c r="T38" s="59">
        <f t="shared" si="34"/>
        <v>314.84650287986256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189</v>
      </c>
      <c r="AG38" s="12">
        <f>VLOOKUP(A38,'Données projet'!$A$61:$I$81,9,0)</f>
        <v>10.4</v>
      </c>
      <c r="AH38" s="12">
        <f t="array" ref="AH38">INDEX(AG:AG,MIN(IF(ISNUMBER(AG38:AG234),ROW(AG38:AG234),"")))</f>
        <v>10.4</v>
      </c>
      <c r="AI38" s="13">
        <f>IF('Données projet'!$A$62&gt;35,AI37+AH38-AQ37,IF(A38&lt;'Données projet'!$A$62,$AF$205^A38,IF(A38='Données projet'!$A$62,'Données projet'!$B$62,AI37+AH38-AQ37)))</f>
        <v>189.00000000000003</v>
      </c>
      <c r="AJ38" s="13">
        <f>AI38*VLOOKUP('Données projet'!$B$10,Paramètres!$A$1:$I$89,3,0)*VLOOKUP('Données projet'!$B$10,Paramètres!$A$1:$I$89,5,0)</f>
        <v>165.11040000000006</v>
      </c>
      <c r="AK38" s="13">
        <f t="shared" si="35"/>
        <v>41.993062739333482</v>
      </c>
      <c r="AL38" s="20">
        <f t="shared" si="4"/>
        <v>360.70519760433922</v>
      </c>
      <c r="AM38" s="59">
        <f t="shared" si="5"/>
        <v>578.52067401235911</v>
      </c>
      <c r="AN38" s="59">
        <f ca="1">AVERAGE(OFFSET($AM$3,0,0,'Données projet'!$E$10+1,1))-AVERAGE(OFFSET($H$3,0,0,'Données projet'!$E$10+1,1))</f>
        <v>436.77894860279537</v>
      </c>
      <c r="AO38" s="59">
        <f t="shared" si="36"/>
        <v>398.63561969573072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32</v>
      </c>
      <c r="AR38" s="16">
        <f>IF(ISNA(VLOOKUP(A38,'Données projet'!$A$61:$I$81,5,0)),0%,VLOOKUP(A38,'Données projet'!$A$61:$I$81,5,0)*VLOOKUP('Données projet'!$B$10,Paramètres!$A$1:$I$89,7,0))</f>
        <v>0.17200000000000001</v>
      </c>
      <c r="AS38" s="16">
        <f>IF(ISNA(VLOOKUP(A38,'Données projet'!$A$61:$I$81,6,0)),0%,VLOOKUP(A38,'Données projet'!$A$61:$I$81,6,0)*VLOOKUP('Données projet'!$B$10,Paramètres!$A$1:$I$89,7,0))</f>
        <v>0.129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15.08740990061612</v>
      </c>
      <c r="AV38" s="21">
        <f>EXP(-LN(2)/25)*AV37+(1-EXP(-LN(2)/25))/(LN(2)/25)*Calculateur!AQ38*Calculateur!AS38*VLOOKUP('Données projet'!$B$10,Paramètres!$A$1:$I$89,3,0)*0.475*44/12</f>
        <v>11.745457938109329</v>
      </c>
      <c r="AW38" s="21">
        <f>EXP(-LN(2)/2)*AW37+(1-EXP(-LN(2)/2))/(LN(2)/2)*AQ38*AT38*VLOOKUP('Données projet'!$B$10,Paramètres!$A$1:$I$89,3,0)*0.475*44/12</f>
        <v>0.27916718913311189</v>
      </c>
      <c r="AX38" s="21">
        <f t="shared" si="6"/>
        <v>27.11203502785856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136.84320000000002</v>
      </c>
      <c r="BF38" s="13">
        <f t="shared" si="37"/>
        <v>35.572869837729648</v>
      </c>
      <c r="BG38" s="20">
        <f t="shared" si="7"/>
        <v>300.2913216340458</v>
      </c>
      <c r="BH38" s="59">
        <f t="shared" si="8"/>
        <v>518.10679804206575</v>
      </c>
      <c r="BI38" s="59">
        <f ca="1">AVERAGE(OFFSET($BH$3,0,0,'Données projet'!$E$11+1,1))-AVERAGE(OFFSET($H$3,0,0,'Données projet'!$E$11+1,1))</f>
        <v>344.97546176735341</v>
      </c>
      <c r="BJ38" s="59">
        <f t="shared" si="38"/>
        <v>331.15461126257492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0.159</v>
      </c>
      <c r="BO38" s="16">
        <f>IF(ISNA(VLOOKUP(A38,'Données projet'!$A$87:$I$107,7,0)),0%,VLOOKUP(A38,'Données projet'!$A$87:$I$107,7,0))</f>
        <v>0.4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3.9001713018288222</v>
      </c>
      <c r="BR38" s="21">
        <f>EXP(-LN(2)/2)*BR37+(1-EXP(-LN(2)/2))/(LN(2)/2)*BL38*BO38*VLOOKUP('Données projet'!$B$11,Paramètres!$A$1:$I$89,3,0)*0.475*44/12</f>
        <v>8.4075041485125244</v>
      </c>
      <c r="BS38" s="22">
        <f t="shared" si="9"/>
        <v>12.307675450341346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518.10679804206575</v>
      </c>
      <c r="CD38" s="59">
        <f ca="1">AVERAGE(OFFSET($CC$3,0,0,'Données projet'!$E$12+1,1))-AVERAGE(OFFSET($H$3,0,0,'Données projet'!$E$12+1,1))</f>
        <v>344.97546176735341</v>
      </c>
      <c r="CE38" s="59">
        <f t="shared" si="40"/>
        <v>331.15461126257492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0.159</v>
      </c>
      <c r="CJ38" s="16">
        <f>IF(ISNA(VLOOKUP(A38,'Données projet'!$A$113:$I$133,7,0)),0%,VLOOKUP(A38,'Données projet'!$A$113:$I$133,7,0))</f>
        <v>0.4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3.9001713018288222</v>
      </c>
      <c r="CM38" s="21">
        <f>EXP(-LN(2)/2)*CM37+(1-EXP(-LN(2)/2))/(LN(2)/2)*CG38*CJ38*VLOOKUP('Données projet'!$B$12,Paramètres!$A$1:$I$89,3,0)*0.475*44/12</f>
        <v>8.4075041485125244</v>
      </c>
      <c r="CN38" s="22">
        <f t="shared" si="12"/>
        <v>12.307675450341346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227.19465047672969</v>
      </c>
      <c r="CZ38" s="59">
        <f t="shared" si="42"/>
        <v>529.77979244134417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89.216314117259586</v>
      </c>
      <c r="DG38" s="21">
        <f>EXP(-LN(2)/25)*DG37+(1-EXP(-LN(2)/25))/(LN(2)/25)*Calculateur!DB38*Calculateur!DD38*VLOOKUP('Données projet'!$B$13,Paramètres!$A$1:$I$89,3,0)*0.475*44/12</f>
        <v>27.583322597992645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116.79963671525223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240.09151195692266</v>
      </c>
      <c r="DU38" s="59">
        <f t="shared" si="44"/>
        <v>559.47775134103165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95.047445758910499</v>
      </c>
      <c r="EB38" s="21">
        <f>EXP(-LN(2)/25)*EB37+(1-EXP(-LN(2)/25))/(LN(2)/25)*Calculateur!DW38*Calculateur!DY38*VLOOKUP('Données projet'!$B$14,Paramètres!$A$1:$I$89,3,0)*0.475*44/12</f>
        <v>29.386154140345109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124.43359989925561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11.5</v>
      </c>
      <c r="EJ38" s="12">
        <f>IF('Données projet'!$A$192&gt;35,EJ37+EI38-ER37,IF(A38&lt;'Données projet'!$A$192,$EG$205^A38,IF(A38='Données projet'!$A$192,'Données projet'!$B$192,EJ37+EI38-ER37)))</f>
        <v>164.99999999999994</v>
      </c>
      <c r="EK38" s="17">
        <f>EJ38*VLOOKUP('Données projet'!$B$15,Paramètres!$A$1:$I$89,3,0)*VLOOKUP('Données projet'!$B$15,Paramètres!$A$1:$I$89,5,0)</f>
        <v>128.69999999999996</v>
      </c>
      <c r="EL38" s="13">
        <f t="shared" si="45"/>
        <v>33.695792019186115</v>
      </c>
      <c r="EM38" s="20">
        <f t="shared" si="19"/>
        <v>282.83933776674911</v>
      </c>
      <c r="EN38" s="59">
        <f t="shared" si="20"/>
        <v>500.65481417476906</v>
      </c>
      <c r="EO38" s="59">
        <f ca="1">AVERAGE(OFFSET($EN$3,0,0,'Données projet'!$E$15+1,1))-AVERAGE(OFFSET($H$3,0,0,'Données projet'!$E$15+1,1))</f>
        <v>328.79469965518484</v>
      </c>
      <c r="EP38" s="59">
        <f t="shared" si="46"/>
        <v>322.06400652269735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175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175.00000000000006</v>
      </c>
      <c r="FF38" s="17">
        <f>FE38*VLOOKUP('Données projet'!$B$16,Paramètres!$A$1:$I$89,3,0)*VLOOKUP('Données projet'!$B$16,Paramètres!$A$1:$I$89,5,0)</f>
        <v>128.31000000000006</v>
      </c>
      <c r="FG38" s="13">
        <f t="shared" si="47"/>
        <v>33.605553053308078</v>
      </c>
      <c r="FH38" s="20">
        <f t="shared" si="22"/>
        <v>282.00292156784502</v>
      </c>
      <c r="FI38" s="59">
        <f t="shared" si="23"/>
        <v>499.81839797586497</v>
      </c>
      <c r="FJ38" s="59">
        <f ca="1">AVERAGE(OFFSET($FI$3,0,0,'Données projet'!$E$16+1,1))-AVERAGE(OFFSET($H$3,0,0,'Données projet'!$E$16+1,1))</f>
        <v>525.22234644068908</v>
      </c>
      <c r="FK38" s="59">
        <f t="shared" si="48"/>
        <v>311.5550296132094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172</v>
      </c>
      <c r="FX38" s="12">
        <f>VLOOKUP(A38,'Données projet'!$A$243:$I$263,9,0)</f>
        <v>10.8</v>
      </c>
      <c r="FY38" s="12">
        <f t="array" ref="FY38">INDEX(FX:FX,MIN(IF(ISNUMBER(FX38:FX234),ROW(FX38:FX234),"")))</f>
        <v>10.8</v>
      </c>
      <c r="FZ38" s="12">
        <f>IF('Données projet'!$A$244&gt;35,FZ37+FY38-GH37,IF(A38&lt;'Données projet'!$A$244,$FW$205^A38,IF(A38='Données projet'!$A$244,'Données projet'!$B$244,FZ37+FY38-GH37)))</f>
        <v>172.00000000000003</v>
      </c>
      <c r="GA38" s="17">
        <f>FZ38*VLOOKUP('Données projet'!$B$17,Paramètres!$A$1:$I$89,3,0)*VLOOKUP('Données projet'!$B$17,Paramètres!$A$1:$I$89,5,0)</f>
        <v>112.69440000000002</v>
      </c>
      <c r="GB38" s="13">
        <f t="shared" si="49"/>
        <v>29.964909381330632</v>
      </c>
      <c r="GC38" s="20">
        <f t="shared" si="25"/>
        <v>248.46496383915087</v>
      </c>
      <c r="GD38" s="59">
        <f t="shared" si="26"/>
        <v>466.28044024717076</v>
      </c>
      <c r="GE38" s="59">
        <f ca="1">AVERAGE(OFFSET($GD$3,0,0,'Données projet'!$E$17+1,1))-AVERAGE(OFFSET($H$3,0,0,'Données projet'!$E$17+1,1))</f>
        <v>298.45881427802874</v>
      </c>
      <c r="GF38" s="59">
        <f t="shared" si="50"/>
        <v>287.00279305562356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28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0.129</v>
      </c>
      <c r="GK38" s="16">
        <f>IF(ISNA(VLOOKUP(A38,'Données projet'!$A$243:$I$263,7,0)),0%,VLOOKUP(A38,'Données projet'!$A$243:$I$263,7,0))</f>
        <v>0.4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2.6058858198678703</v>
      </c>
      <c r="GN38" s="21">
        <f>EXP(-LN(2)/2)*GN37+(1-EXP(-LN(2)/2))/(LN(2)/2)*GH38*GK38*VLOOKUP('Données projet'!$B$17,Paramètres!$A$1:$I$89,3,0)*0.475*44/12</f>
        <v>6.9238269458338442</v>
      </c>
      <c r="GO38" s="21">
        <f t="shared" si="27"/>
        <v>9.5297127657017136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135.66666666666666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144</v>
      </c>
      <c r="L39" s="12">
        <f>VLOOKUP(A39,'Données projet'!$A$35:$I$55,9,0)</f>
        <v>4</v>
      </c>
      <c r="M39" s="12">
        <f t="array" ref="M39">INDEX(L:L,MIN(IF(ISNUMBER(L39:L235),ROW(L39:L235),"")))</f>
        <v>4</v>
      </c>
      <c r="N39" s="13">
        <f>IF('Données projet'!$A$36&gt;35,N38+M39-V38,IF(A39&lt;'Données projet'!$A$36,$K$205^A39,IF(A39='Données projet'!$A$36,'Données projet'!$B$36,N38+M39-V38)))</f>
        <v>144</v>
      </c>
      <c r="O39" s="13">
        <f>N39*VLOOKUP('Données projet'!$B$9,Paramètres!$A$1:$I$89,3,0)*VLOOKUP('Données projet'!$B$9,Paramètres!$A$1:$I$89,5,0)</f>
        <v>130.2912</v>
      </c>
      <c r="P39" s="13">
        <f t="shared" si="33"/>
        <v>34.063638337638949</v>
      </c>
      <c r="Q39" s="20">
        <f t="shared" si="53"/>
        <v>286.25134343805456</v>
      </c>
      <c r="R39" s="59">
        <f t="shared" si="0"/>
        <v>505.37688583109355</v>
      </c>
      <c r="S39" s="59">
        <f ca="1">AVERAGE(OFFSET($R$3,0,0,'Données projet'!$E$9+1,1))-AVERAGE(OFFSET($H$3,0,0,'Données projet'!$E$9+1,1))</f>
        <v>600.52384738314299</v>
      </c>
      <c r="T39" s="59">
        <f t="shared" si="34"/>
        <v>314.84650287986256</v>
      </c>
      <c r="U39" s="15">
        <f>IF(ISNA(VLOOKUP(A39,'Données projet'!$A$35:$I$55,3,0)),0,VLOOKUP(A39,'Données projet'!$A$35:$I$55,3,0))</f>
        <v>1</v>
      </c>
      <c r="V39" s="15">
        <f>IF(ISNA(VLOOKUP(A39,'Données projet'!$A$35:$I$55,4,0)),0,VLOOKUP(A39,'Données projet'!$A$35:$I$55,4,0))</f>
        <v>35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9.8000000000000007</v>
      </c>
      <c r="AI39" s="13">
        <f>IF('Données projet'!$A$62&gt;35,AI38+AH39-AQ38,IF(A39&lt;'Données projet'!$A$62,$AF$205^A39,IF(A39='Données projet'!$A$62,'Données projet'!$B$62,AI38+AH39-AQ38)))</f>
        <v>166.80000000000004</v>
      </c>
      <c r="AJ39" s="13">
        <f>AI39*VLOOKUP('Données projet'!$B$10,Paramètres!$A$1:$I$89,3,0)*VLOOKUP('Données projet'!$B$10,Paramètres!$A$1:$I$89,5,0)</f>
        <v>145.71648000000005</v>
      </c>
      <c r="AK39" s="13">
        <f t="shared" si="35"/>
        <v>37.60350500083149</v>
      </c>
      <c r="AL39" s="20">
        <f t="shared" si="4"/>
        <v>319.28230720978155</v>
      </c>
      <c r="AM39" s="59">
        <f t="shared" si="5"/>
        <v>538.40784960282053</v>
      </c>
      <c r="AN39" s="59">
        <f ca="1">AVERAGE(OFFSET($AM$3,0,0,'Données projet'!$E$10+1,1))-AVERAGE(OFFSET($H$3,0,0,'Données projet'!$E$10+1,1))</f>
        <v>436.77894860279537</v>
      </c>
      <c r="AO39" s="59">
        <f t="shared" si="36"/>
        <v>398.63561969573072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14.791554994876414</v>
      </c>
      <c r="AV39" s="21">
        <f>EXP(-LN(2)/25)*AV38+(1-EXP(-LN(2)/25))/(LN(2)/25)*Calculateur!AQ39*Calculateur!AS39*VLOOKUP('Données projet'!$B$10,Paramètres!$A$1:$I$89,3,0)*0.475*44/12</f>
        <v>11.42427777312494</v>
      </c>
      <c r="AW39" s="21">
        <f>EXP(-LN(2)/2)*AW38+(1-EXP(-LN(2)/2))/(LN(2)/2)*AQ39*AT39*VLOOKUP('Données projet'!$B$10,Paramètres!$A$1:$I$89,3,0)*0.475*44/12</f>
        <v>0.19740101252081088</v>
      </c>
      <c r="AX39" s="21">
        <f t="shared" si="6"/>
        <v>26.413233780522166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122.20416000000003</v>
      </c>
      <c r="BF39" s="13">
        <f t="shared" si="37"/>
        <v>32.188537573102472</v>
      </c>
      <c r="BG39" s="20">
        <f t="shared" si="7"/>
        <v>268.90061493982017</v>
      </c>
      <c r="BH39" s="59">
        <f t="shared" si="8"/>
        <v>488.02615733285916</v>
      </c>
      <c r="BI39" s="59">
        <f ca="1">AVERAGE(OFFSET($BH$3,0,0,'Données projet'!$E$11+1,1))-AVERAGE(OFFSET($H$3,0,0,'Données projet'!$E$11+1,1))</f>
        <v>344.97546176735341</v>
      </c>
      <c r="BJ39" s="59">
        <f t="shared" si="38"/>
        <v>331.15461126257492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3.7935209124792184</v>
      </c>
      <c r="BR39" s="21">
        <f>EXP(-LN(2)/2)*BR38+(1-EXP(-LN(2)/2))/(LN(2)/2)*BL39*BO39*VLOOKUP('Données projet'!$B$11,Paramètres!$A$1:$I$89,3,0)*0.475*44/12</f>
        <v>5.9450031962672369</v>
      </c>
      <c r="BS39" s="22">
        <f t="shared" si="9"/>
        <v>9.7385241087464554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488.02615733285916</v>
      </c>
      <c r="CD39" s="59">
        <f ca="1">AVERAGE(OFFSET($CC$3,0,0,'Données projet'!$E$12+1,1))-AVERAGE(OFFSET($H$3,0,0,'Données projet'!$E$12+1,1))</f>
        <v>344.97546176735341</v>
      </c>
      <c r="CE39" s="59">
        <f t="shared" si="40"/>
        <v>331.15461126257492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3.7935209124792184</v>
      </c>
      <c r="CM39" s="21">
        <f>EXP(-LN(2)/2)*CM38+(1-EXP(-LN(2)/2))/(LN(2)/2)*CG39*CJ39*VLOOKUP('Données projet'!$B$12,Paramètres!$A$1:$I$89,3,0)*0.475*44/12</f>
        <v>5.9450031962672369</v>
      </c>
      <c r="CN39" s="22">
        <f t="shared" si="12"/>
        <v>9.7385241087464554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227.19465047672969</v>
      </c>
      <c r="CZ39" s="59">
        <f t="shared" si="42"/>
        <v>529.77979244134417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87.466836613998552</v>
      </c>
      <c r="DG39" s="21">
        <f>EXP(-LN(2)/25)*DG38+(1-EXP(-LN(2)/25))/(LN(2)/25)*Calculateur!DB39*Calculateur!DD39*VLOOKUP('Données projet'!$B$13,Paramètres!$A$1:$I$89,3,0)*0.475*44/12</f>
        <v>26.829055191006642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114.2958918050052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240.09151195692266</v>
      </c>
      <c r="DU39" s="59">
        <f t="shared" si="44"/>
        <v>559.47775134103165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93.183623320795803</v>
      </c>
      <c r="EB39" s="21">
        <f>EXP(-LN(2)/25)*EB38+(1-EXP(-LN(2)/25))/(LN(2)/25)*Calculateur!DW39*Calculateur!DY39*VLOOKUP('Données projet'!$B$14,Paramètres!$A$1:$I$89,3,0)*0.475*44/12</f>
        <v>28.582588210026689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121.76621153082249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11.5</v>
      </c>
      <c r="EJ39" s="12">
        <f>IF('Données projet'!$A$192&gt;35,EJ38+EI39-ER38,IF(A39&lt;'Données projet'!$A$192,$EG$205^A39,IF(A39='Données projet'!$A$192,'Données projet'!$B$192,EJ38+EI39-ER38)))</f>
        <v>176.49999999999994</v>
      </c>
      <c r="EK39" s="17">
        <f>EJ39*VLOOKUP('Données projet'!$B$15,Paramètres!$A$1:$I$89,3,0)*VLOOKUP('Données projet'!$B$15,Paramètres!$A$1:$I$89,5,0)</f>
        <v>137.66999999999996</v>
      </c>
      <c r="EL39" s="13">
        <f t="shared" si="45"/>
        <v>35.762714965854656</v>
      </c>
      <c r="EM39" s="20">
        <f t="shared" si="19"/>
        <v>302.06197856553007</v>
      </c>
      <c r="EN39" s="59">
        <f t="shared" si="20"/>
        <v>521.18752095856905</v>
      </c>
      <c r="EO39" s="59">
        <f ca="1">AVERAGE(OFFSET($EN$3,0,0,'Données projet'!$E$15+1,1))-AVERAGE(OFFSET($H$3,0,0,'Données projet'!$E$15+1,1))</f>
        <v>328.79469965518484</v>
      </c>
      <c r="EP39" s="59">
        <f t="shared" si="46"/>
        <v>322.06400652269735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13.4</v>
      </c>
      <c r="FE39" s="12">
        <f>IF('Données projet'!$A$218&gt;35,FE38+FD39-FM38,IF(A39&lt;'Données projet'!$A$218,$FB$205^A39,IF(A39='Données projet'!$A$218,'Données projet'!$B$218,FE38+FD39-FM38)))</f>
        <v>153.40000000000006</v>
      </c>
      <c r="FF39" s="17">
        <f>FE39*VLOOKUP('Données projet'!$B$16,Paramètres!$A$1:$I$89,3,0)*VLOOKUP('Données projet'!$B$16,Paramètres!$A$1:$I$89,5,0)</f>
        <v>112.47288000000005</v>
      </c>
      <c r="FG39" s="13">
        <f t="shared" si="47"/>
        <v>29.912858390551417</v>
      </c>
      <c r="FH39" s="20">
        <f t="shared" si="22"/>
        <v>247.98849436354377</v>
      </c>
      <c r="FI39" s="59">
        <f t="shared" si="23"/>
        <v>467.11403675658272</v>
      </c>
      <c r="FJ39" s="59">
        <f ca="1">AVERAGE(OFFSET($FI$3,0,0,'Données projet'!$E$16+1,1))-AVERAGE(OFFSET($H$3,0,0,'Données projet'!$E$16+1,1))</f>
        <v>525.22234644068908</v>
      </c>
      <c r="FK39" s="59">
        <f t="shared" si="48"/>
        <v>311.5550296132094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9.6</v>
      </c>
      <c r="FZ39" s="12">
        <f>IF('Données projet'!$A$244&gt;35,FZ38+FY39-GH38,IF(A39&lt;'Données projet'!$A$244,$FW$205^A39,IF(A39='Données projet'!$A$244,'Données projet'!$B$244,FZ38+FY39-GH38)))</f>
        <v>153.60000000000002</v>
      </c>
      <c r="GA39" s="17">
        <f>FZ39*VLOOKUP('Données projet'!$B$17,Paramètres!$A$1:$I$89,3,0)*VLOOKUP('Données projet'!$B$17,Paramètres!$A$1:$I$89,5,0)</f>
        <v>100.63872000000001</v>
      </c>
      <c r="GB39" s="13">
        <f t="shared" si="49"/>
        <v>27.114107349094599</v>
      </c>
      <c r="GC39" s="20">
        <f t="shared" si="25"/>
        <v>222.50284096633973</v>
      </c>
      <c r="GD39" s="59">
        <f t="shared" si="26"/>
        <v>441.62838335937869</v>
      </c>
      <c r="GE39" s="59">
        <f ca="1">AVERAGE(OFFSET($GD$3,0,0,'Données projet'!$E$17+1,1))-AVERAGE(OFFSET($H$3,0,0,'Données projet'!$E$17+1,1))</f>
        <v>298.45881427802874</v>
      </c>
      <c r="GF39" s="59">
        <f t="shared" si="50"/>
        <v>287.00279305562356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2.534627735086004</v>
      </c>
      <c r="GN39" s="21">
        <f>EXP(-LN(2)/2)*GN38+(1-EXP(-LN(2)/2))/(LN(2)/2)*GH39*GK39*VLOOKUP('Données projet'!$B$17,Paramètres!$A$1:$I$89,3,0)*0.475*44/12</f>
        <v>4.8958849851612536</v>
      </c>
      <c r="GO39" s="21">
        <f t="shared" si="27"/>
        <v>7.4305127202472576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135.66666666666666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9.875</v>
      </c>
      <c r="N40" s="13">
        <f>IF('Données projet'!$A$36&gt;35,N39+M40-V39,IF(A40&lt;'Données projet'!$A$36,$K$205^A40,IF(A40='Données projet'!$A$36,'Données projet'!$B$36,N39+M40-V39)))</f>
        <v>118.875</v>
      </c>
      <c r="O40" s="13">
        <f>N40*VLOOKUP('Données projet'!$B$9,Paramètres!$A$1:$I$89,3,0)*VLOOKUP('Données projet'!$B$9,Paramètres!$A$1:$I$89,5,0)</f>
        <v>107.5581</v>
      </c>
      <c r="P40" s="13">
        <f t="shared" si="33"/>
        <v>28.754904352903992</v>
      </c>
      <c r="Q40" s="20">
        <f t="shared" si="53"/>
        <v>237.4118159146411</v>
      </c>
      <c r="R40" s="59">
        <f t="shared" si="0"/>
        <v>457.82469757672789</v>
      </c>
      <c r="S40" s="59">
        <f ca="1">AVERAGE(OFFSET($R$3,0,0,'Données projet'!$E$9+1,1))-AVERAGE(OFFSET($H$3,0,0,'Données projet'!$E$9+1,1))</f>
        <v>600.52384738314299</v>
      </c>
      <c r="T40" s="59">
        <f t="shared" si="34"/>
        <v>314.84650287986256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9.8000000000000007</v>
      </c>
      <c r="AI40" s="13">
        <f>IF('Données projet'!$A$62&gt;35,AI39+AH40-AQ39,IF(A40&lt;'Données projet'!$A$62,$AF$205^A40,IF(A40='Données projet'!$A$62,'Données projet'!$B$62,AI39+AH40-AQ39)))</f>
        <v>176.60000000000005</v>
      </c>
      <c r="AJ40" s="13">
        <f>AI40*VLOOKUP('Données projet'!$B$10,Paramètres!$A$1:$I$89,3,0)*VLOOKUP('Données projet'!$B$10,Paramètres!$A$1:$I$89,5,0)</f>
        <v>154.27776000000009</v>
      </c>
      <c r="AK40" s="13">
        <f t="shared" si="35"/>
        <v>39.549125277353333</v>
      </c>
      <c r="AL40" s="20">
        <f t="shared" si="4"/>
        <v>337.58182519139058</v>
      </c>
      <c r="AM40" s="59">
        <f t="shared" si="5"/>
        <v>557.99470685347728</v>
      </c>
      <c r="AN40" s="59">
        <f ca="1">AVERAGE(OFFSET($AM$3,0,0,'Données projet'!$E$10+1,1))-AVERAGE(OFFSET($H$3,0,0,'Données projet'!$E$10+1,1))</f>
        <v>436.77894860279537</v>
      </c>
      <c r="AO40" s="59">
        <f t="shared" si="36"/>
        <v>398.63561969573072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14.501501623384589</v>
      </c>
      <c r="AV40" s="21">
        <f>EXP(-LN(2)/25)*AV39+(1-EXP(-LN(2)/25))/(LN(2)/25)*Calculateur!AQ40*Calculateur!AS40*VLOOKUP('Données projet'!$B$10,Paramètres!$A$1:$I$89,3,0)*0.475*44/12</f>
        <v>11.11188029664218</v>
      </c>
      <c r="AW40" s="21">
        <f>EXP(-LN(2)/2)*AW39+(1-EXP(-LN(2)/2))/(LN(2)/2)*AQ40*AT40*VLOOKUP('Données projet'!$B$10,Paramètres!$A$1:$I$89,3,0)*0.475*44/12</f>
        <v>0.13958359456655595</v>
      </c>
      <c r="AX40" s="21">
        <f t="shared" si="6"/>
        <v>25.752965514593324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129.84192000000002</v>
      </c>
      <c r="BF40" s="13">
        <f t="shared" si="37"/>
        <v>33.959829099416851</v>
      </c>
      <c r="BG40" s="20">
        <f t="shared" si="7"/>
        <v>285.288046348151</v>
      </c>
      <c r="BH40" s="59">
        <f t="shared" si="8"/>
        <v>505.70092801023776</v>
      </c>
      <c r="BI40" s="59">
        <f ca="1">AVERAGE(OFFSET($BH$3,0,0,'Données projet'!$E$11+1,1))-AVERAGE(OFFSET($H$3,0,0,'Données projet'!$E$11+1,1))</f>
        <v>344.97546176735341</v>
      </c>
      <c r="BJ40" s="59">
        <f t="shared" si="38"/>
        <v>331.15461126257492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3.6897868836348797</v>
      </c>
      <c r="BR40" s="21">
        <f>EXP(-LN(2)/2)*BR39+(1-EXP(-LN(2)/2))/(LN(2)/2)*BL40*BO40*VLOOKUP('Données projet'!$B$11,Paramètres!$A$1:$I$89,3,0)*0.475*44/12</f>
        <v>4.2037520742562631</v>
      </c>
      <c r="BS40" s="22">
        <f t="shared" si="9"/>
        <v>7.8935389578911428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505.70092801023776</v>
      </c>
      <c r="CD40" s="59">
        <f ca="1">AVERAGE(OFFSET($CC$3,0,0,'Données projet'!$E$12+1,1))-AVERAGE(OFFSET($H$3,0,0,'Données projet'!$E$12+1,1))</f>
        <v>344.97546176735341</v>
      </c>
      <c r="CE40" s="59">
        <f t="shared" si="40"/>
        <v>331.15461126257492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3.6897868836348797</v>
      </c>
      <c r="CM40" s="21">
        <f>EXP(-LN(2)/2)*CM39+(1-EXP(-LN(2)/2))/(LN(2)/2)*CG40*CJ40*VLOOKUP('Données projet'!$B$12,Paramètres!$A$1:$I$89,3,0)*0.475*44/12</f>
        <v>4.2037520742562631</v>
      </c>
      <c r="CN40" s="22">
        <f t="shared" si="12"/>
        <v>7.8935389578911428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227.19465047672969</v>
      </c>
      <c r="CZ40" s="59">
        <f t="shared" si="42"/>
        <v>529.77979244134417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85.751665297500551</v>
      </c>
      <c r="DG40" s="21">
        <f>EXP(-LN(2)/25)*DG39+(1-EXP(-LN(2)/25))/(LN(2)/25)*Calculateur!DB40*Calculateur!DD40*VLOOKUP('Données projet'!$B$13,Paramètres!$A$1:$I$89,3,0)*0.475*44/12</f>
        <v>26.095413265929871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111.84707856343041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240.09151195692266</v>
      </c>
      <c r="DU40" s="59">
        <f t="shared" si="44"/>
        <v>559.47775134103165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91.356349303873088</v>
      </c>
      <c r="EB40" s="21">
        <f>EXP(-LN(2)/25)*EB39+(1-EXP(-LN(2)/25))/(LN(2)/25)*Calculateur!DW40*Calculateur!DY40*VLOOKUP('Données projet'!$B$14,Paramètres!$A$1:$I$89,3,0)*0.475*44/12</f>
        <v>27.800995832330521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119.15734513620362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188</v>
      </c>
      <c r="EH40" s="12">
        <f>VLOOKUP(A40,'Données projet'!$A$191:$I$211,9,0)</f>
        <v>11.5</v>
      </c>
      <c r="EI40" s="12">
        <f t="array" ref="EI40">INDEX(EH:EH,MIN(IF(ISNUMBER(EH40:EH236),ROW(EH40:EH236),"")))</f>
        <v>11.5</v>
      </c>
      <c r="EJ40" s="12">
        <f>IF('Données projet'!$A$192&gt;35,EJ39+EI40-ER39,IF(A40&lt;'Données projet'!$A$192,$EG$205^A40,IF(A40='Données projet'!$A$192,'Données projet'!$B$192,EJ39+EI40-ER39)))</f>
        <v>187.99999999999994</v>
      </c>
      <c r="EK40" s="17">
        <f>EJ40*VLOOKUP('Données projet'!$B$15,Paramètres!$A$1:$I$89,3,0)*VLOOKUP('Données projet'!$B$15,Paramètres!$A$1:$I$89,5,0)</f>
        <v>146.63999999999996</v>
      </c>
      <c r="EL40" s="13">
        <f t="shared" si="45"/>
        <v>37.814009712703026</v>
      </c>
      <c r="EM40" s="20">
        <f t="shared" si="19"/>
        <v>321.25740024962437</v>
      </c>
      <c r="EN40" s="59">
        <f t="shared" si="20"/>
        <v>541.67028191171107</v>
      </c>
      <c r="EO40" s="59">
        <f ca="1">AVERAGE(OFFSET($EN$3,0,0,'Données projet'!$E$15+1,1))-AVERAGE(OFFSET($H$3,0,0,'Données projet'!$E$15+1,1))</f>
        <v>328.79469965518484</v>
      </c>
      <c r="EP40" s="59">
        <f t="shared" si="46"/>
        <v>322.06400652269735</v>
      </c>
      <c r="EQ40" s="15">
        <f>IF(ISNA(VLOOKUP(A40,'Données projet'!$A$191:$I$211,3,0)),0,VLOOKUP(A40,'Données projet'!$A$191:$I$211,3,0))</f>
        <v>5</v>
      </c>
      <c r="ER40" s="15">
        <f>IF(ISNA(VLOOKUP(A40,'Données projet'!$A$191:$I$211,4,0)),0,VLOOKUP(A40,'Données projet'!$A$191:$I$211,4,0))</f>
        <v>36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13.4</v>
      </c>
      <c r="FE40" s="12">
        <f>IF('Données projet'!$A$218&gt;35,FE39+FD40-FM39,IF(A40&lt;'Données projet'!$A$218,$FB$205^A40,IF(A40='Données projet'!$A$218,'Données projet'!$B$218,FE39+FD40-FM39)))</f>
        <v>166.80000000000007</v>
      </c>
      <c r="FF40" s="17">
        <f>FE40*VLOOKUP('Données projet'!$B$16,Paramètres!$A$1:$I$89,3,0)*VLOOKUP('Données projet'!$B$16,Paramètres!$A$1:$I$89,5,0)</f>
        <v>122.29776000000005</v>
      </c>
      <c r="FG40" s="13">
        <f t="shared" si="47"/>
        <v>32.210321062919569</v>
      </c>
      <c r="FH40" s="20">
        <f t="shared" si="22"/>
        <v>269.10157451791832</v>
      </c>
      <c r="FI40" s="59">
        <f t="shared" si="23"/>
        <v>489.51445618000508</v>
      </c>
      <c r="FJ40" s="59">
        <f ca="1">AVERAGE(OFFSET($FI$3,0,0,'Données projet'!$E$16+1,1))-AVERAGE(OFFSET($H$3,0,0,'Données projet'!$E$16+1,1))</f>
        <v>525.22234644068908</v>
      </c>
      <c r="FK40" s="59">
        <f t="shared" si="48"/>
        <v>311.5550296132094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9.6</v>
      </c>
      <c r="FZ40" s="12">
        <f>IF('Données projet'!$A$244&gt;35,FZ39+FY40-GH39,IF(A40&lt;'Données projet'!$A$244,$FW$205^A40,IF(A40='Données projet'!$A$244,'Données projet'!$B$244,FZ39+FY40-GH39)))</f>
        <v>163.20000000000002</v>
      </c>
      <c r="GA40" s="17">
        <f>FZ40*VLOOKUP('Données projet'!$B$17,Paramètres!$A$1:$I$89,3,0)*VLOOKUP('Données projet'!$B$17,Paramètres!$A$1:$I$89,5,0)</f>
        <v>106.92864000000002</v>
      </c>
      <c r="GB40" s="13">
        <f t="shared" si="49"/>
        <v>28.606159868782942</v>
      </c>
      <c r="GC40" s="20">
        <f t="shared" si="25"/>
        <v>236.05644310479695</v>
      </c>
      <c r="GD40" s="59">
        <f t="shared" si="26"/>
        <v>456.46932476688369</v>
      </c>
      <c r="GE40" s="59">
        <f ca="1">AVERAGE(OFFSET($GD$3,0,0,'Données projet'!$E$17+1,1))-AVERAGE(OFFSET($H$3,0,0,'Données projet'!$E$17+1,1))</f>
        <v>298.45881427802874</v>
      </c>
      <c r="GF40" s="59">
        <f t="shared" si="50"/>
        <v>287.00279305562356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2.4653182063797976</v>
      </c>
      <c r="GN40" s="21">
        <f>EXP(-LN(2)/2)*GN39+(1-EXP(-LN(2)/2))/(LN(2)/2)*GH40*GK40*VLOOKUP('Données projet'!$B$17,Paramètres!$A$1:$I$89,3,0)*0.475*44/12</f>
        <v>3.4619134729169221</v>
      </c>
      <c r="GO40" s="21">
        <f t="shared" si="27"/>
        <v>5.9272316792967192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135.66666666666666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9.875</v>
      </c>
      <c r="N41" s="13">
        <f>IF('Données projet'!$A$36&gt;35,N40+M41-V40,IF(A41&lt;'Données projet'!$A$36,$K$205^A41,IF(A41='Données projet'!$A$36,'Données projet'!$B$36,N40+M41-V40)))</f>
        <v>128.75</v>
      </c>
      <c r="O41" s="13">
        <f>N41*VLOOKUP('Données projet'!$B$9,Paramètres!$A$1:$I$89,3,0)*VLOOKUP('Données projet'!$B$9,Paramètres!$A$1:$I$89,5,0)</f>
        <v>116.49299999999999</v>
      </c>
      <c r="P41" s="13">
        <f t="shared" si="33"/>
        <v>30.855642519307857</v>
      </c>
      <c r="Q41" s="20">
        <f t="shared" si="53"/>
        <v>256.63221905446113</v>
      </c>
      <c r="R41" s="59">
        <f t="shared" si="0"/>
        <v>478.3101075273371</v>
      </c>
      <c r="S41" s="59">
        <f ca="1">AVERAGE(OFFSET($R$3,0,0,'Données projet'!$E$9+1,1))-AVERAGE(OFFSET($H$3,0,0,'Données projet'!$E$9+1,1))</f>
        <v>600.52384738314299</v>
      </c>
      <c r="T41" s="59">
        <f t="shared" si="34"/>
        <v>314.84650287986256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9.8000000000000007</v>
      </c>
      <c r="AI41" s="13">
        <f>IF('Données projet'!$A$62&gt;35,AI40+AH41-AQ40,IF(A41&lt;'Données projet'!$A$62,$AF$205^A41,IF(A41='Données projet'!$A$62,'Données projet'!$B$62,AI40+AH41-AQ40)))</f>
        <v>186.40000000000006</v>
      </c>
      <c r="AJ41" s="13">
        <f>AI41*VLOOKUP('Données projet'!$B$10,Paramètres!$A$1:$I$89,3,0)*VLOOKUP('Données projet'!$B$10,Paramètres!$A$1:$I$89,5,0)</f>
        <v>162.83904000000007</v>
      </c>
      <c r="AK41" s="13">
        <f t="shared" si="35"/>
        <v>41.482211836000111</v>
      </c>
      <c r="AL41" s="20">
        <f t="shared" si="4"/>
        <v>355.85951361436696</v>
      </c>
      <c r="AM41" s="59">
        <f t="shared" si="5"/>
        <v>577.53740208724287</v>
      </c>
      <c r="AN41" s="59">
        <f ca="1">AVERAGE(OFFSET($AM$3,0,0,'Données projet'!$E$10+1,1))-AVERAGE(OFFSET($H$3,0,0,'Données projet'!$E$10+1,1))</f>
        <v>436.77894860279537</v>
      </c>
      <c r="AO41" s="59">
        <f t="shared" si="36"/>
        <v>398.63561969573072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14.217136021592632</v>
      </c>
      <c r="AV41" s="21">
        <f>EXP(-LN(2)/25)*AV40+(1-EXP(-LN(2)/25))/(LN(2)/25)*Calculateur!AQ41*Calculateur!AS41*VLOOKUP('Données projet'!$B$10,Paramètres!$A$1:$I$89,3,0)*0.475*44/12</f>
        <v>10.808025345582111</v>
      </c>
      <c r="AW41" s="21">
        <f>EXP(-LN(2)/2)*AW40+(1-EXP(-LN(2)/2))/(LN(2)/2)*AQ41*AT41*VLOOKUP('Données projet'!$B$10,Paramètres!$A$1:$I$89,3,0)*0.475*44/12</f>
        <v>9.8700506260405441E-2</v>
      </c>
      <c r="AX41" s="21">
        <f t="shared" si="6"/>
        <v>25.12386187343515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137.47968000000003</v>
      </c>
      <c r="BF41" s="13">
        <f t="shared" si="37"/>
        <v>35.719026553355249</v>
      </c>
      <c r="BG41" s="20">
        <f t="shared" si="7"/>
        <v>301.65441391376049</v>
      </c>
      <c r="BH41" s="59">
        <f t="shared" si="8"/>
        <v>523.33230238663646</v>
      </c>
      <c r="BI41" s="59">
        <f ca="1">AVERAGE(OFFSET($BH$3,0,0,'Données projet'!$E$11+1,1))-AVERAGE(OFFSET($H$3,0,0,'Données projet'!$E$11+1,1))</f>
        <v>344.97546176735341</v>
      </c>
      <c r="BJ41" s="59">
        <f t="shared" si="38"/>
        <v>331.15461126257492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3.5888894672644249</v>
      </c>
      <c r="BR41" s="21">
        <f>EXP(-LN(2)/2)*BR40+(1-EXP(-LN(2)/2))/(LN(2)/2)*BL41*BO41*VLOOKUP('Données projet'!$B$11,Paramètres!$A$1:$I$89,3,0)*0.475*44/12</f>
        <v>2.9725015981336189</v>
      </c>
      <c r="BS41" s="22">
        <f t="shared" si="9"/>
        <v>6.5613910653980438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523.33230238663646</v>
      </c>
      <c r="CD41" s="59">
        <f ca="1">AVERAGE(OFFSET($CC$3,0,0,'Données projet'!$E$12+1,1))-AVERAGE(OFFSET($H$3,0,0,'Données projet'!$E$12+1,1))</f>
        <v>344.97546176735341</v>
      </c>
      <c r="CE41" s="59">
        <f t="shared" si="40"/>
        <v>331.15461126257492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3.5888894672644249</v>
      </c>
      <c r="CM41" s="21">
        <f>EXP(-LN(2)/2)*CM40+(1-EXP(-LN(2)/2))/(LN(2)/2)*CG41*CJ41*VLOOKUP('Données projet'!$B$12,Paramètres!$A$1:$I$89,3,0)*0.475*44/12</f>
        <v>2.9725015981336189</v>
      </c>
      <c r="CN41" s="22">
        <f t="shared" si="12"/>
        <v>6.5613910653980438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227.19465047672969</v>
      </c>
      <c r="CZ41" s="59">
        <f t="shared" si="42"/>
        <v>529.77979244134417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84.07012744436787</v>
      </c>
      <c r="DG41" s="21">
        <f>EXP(-LN(2)/25)*DG40+(1-EXP(-LN(2)/25))/(LN(2)/25)*Calculateur!DB41*Calculateur!DD41*VLOOKUP('Données projet'!$B$13,Paramètres!$A$1:$I$89,3,0)*0.475*44/12</f>
        <v>25.381832817874876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109.45196026224275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240.09151195692266</v>
      </c>
      <c r="DU41" s="59">
        <f t="shared" si="44"/>
        <v>559.47775134103165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89.56490701589513</v>
      </c>
      <c r="EB41" s="21">
        <f>EXP(-LN(2)/25)*EB40+(1-EXP(-LN(2)/25))/(LN(2)/25)*Calculateur!DW41*Calculateur!DY41*VLOOKUP('Données projet'!$B$14,Paramètres!$A$1:$I$89,3,0)*0.475*44/12</f>
        <v>27.040776139304612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116.60568315519974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11.142857142857142</v>
      </c>
      <c r="EJ41" s="12">
        <f>IF('Données projet'!$A$192&gt;35,EJ40+EI41-ER40,IF(A41&lt;'Données projet'!$A$192,$EG$205^A41,IF(A41='Données projet'!$A$192,'Données projet'!$B$192,EJ40+EI41-ER40)))</f>
        <v>163.14285714285708</v>
      </c>
      <c r="EK41" s="17">
        <f>EJ41*VLOOKUP('Données projet'!$B$15,Paramètres!$A$1:$I$89,3,0)*VLOOKUP('Données projet'!$B$15,Paramètres!$A$1:$I$89,5,0)</f>
        <v>127.25142857142853</v>
      </c>
      <c r="EL41" s="13">
        <f t="shared" si="45"/>
        <v>33.360457439554281</v>
      </c>
      <c r="EM41" s="20">
        <f t="shared" si="19"/>
        <v>279.73236813579501</v>
      </c>
      <c r="EN41" s="59">
        <f t="shared" si="20"/>
        <v>501.41025660867092</v>
      </c>
      <c r="EO41" s="59">
        <f ca="1">AVERAGE(OFFSET($EN$3,0,0,'Données projet'!$E$15+1,1))-AVERAGE(OFFSET($H$3,0,0,'Données projet'!$E$15+1,1))</f>
        <v>328.79469965518484</v>
      </c>
      <c r="EP41" s="59">
        <f t="shared" si="46"/>
        <v>322.06400652269735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13.4</v>
      </c>
      <c r="FE41" s="12">
        <f>IF('Données projet'!$A$218&gt;35,FE40+FD41-FM40,IF(A41&lt;'Données projet'!$A$218,$FB$205^A41,IF(A41='Données projet'!$A$218,'Données projet'!$B$218,FE40+FD41-FM40)))</f>
        <v>180.20000000000007</v>
      </c>
      <c r="FF41" s="17">
        <f>FE41*VLOOKUP('Données projet'!$B$16,Paramètres!$A$1:$I$89,3,0)*VLOOKUP('Données projet'!$B$16,Paramètres!$A$1:$I$89,5,0)</f>
        <v>132.12264000000005</v>
      </c>
      <c r="FG41" s="13">
        <f t="shared" si="47"/>
        <v>34.486375824149725</v>
      </c>
      <c r="FH41" s="20">
        <f t="shared" si="22"/>
        <v>290.17736922706086</v>
      </c>
      <c r="FI41" s="59">
        <f t="shared" si="23"/>
        <v>511.85525769993683</v>
      </c>
      <c r="FJ41" s="59">
        <f ca="1">AVERAGE(OFFSET($FI$3,0,0,'Données projet'!$E$16+1,1))-AVERAGE(OFFSET($H$3,0,0,'Données projet'!$E$16+1,1))</f>
        <v>525.22234644068908</v>
      </c>
      <c r="FK41" s="59">
        <f t="shared" si="48"/>
        <v>311.5550296132094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9.6</v>
      </c>
      <c r="FZ41" s="12">
        <f>IF('Données projet'!$A$244&gt;35,FZ40+FY41-GH40,IF(A41&lt;'Données projet'!$A$244,$FW$205^A41,IF(A41='Données projet'!$A$244,'Données projet'!$B$244,FZ40+FY41-GH40)))</f>
        <v>172.8</v>
      </c>
      <c r="GA41" s="17">
        <f>FZ41*VLOOKUP('Données projet'!$B$17,Paramètres!$A$1:$I$89,3,0)*VLOOKUP('Données projet'!$B$17,Paramètres!$A$1:$I$89,5,0)</f>
        <v>113.21856000000001</v>
      </c>
      <c r="GB41" s="13">
        <f t="shared" si="49"/>
        <v>30.088024911766389</v>
      </c>
      <c r="GC41" s="20">
        <f t="shared" si="25"/>
        <v>249.59230205465977</v>
      </c>
      <c r="GD41" s="59">
        <f t="shared" si="26"/>
        <v>471.2701905275357</v>
      </c>
      <c r="GE41" s="59">
        <f ca="1">AVERAGE(OFFSET($GD$3,0,0,'Données projet'!$E$17+1,1))-AVERAGE(OFFSET($H$3,0,0,'Données projet'!$E$17+1,1))</f>
        <v>298.45881427802874</v>
      </c>
      <c r="GF41" s="59">
        <f t="shared" si="50"/>
        <v>287.00279305562356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2.3979039503808921</v>
      </c>
      <c r="GN41" s="21">
        <f>EXP(-LN(2)/2)*GN40+(1-EXP(-LN(2)/2))/(LN(2)/2)*GH41*GK41*VLOOKUP('Données projet'!$B$17,Paramètres!$A$1:$I$89,3,0)*0.475*44/12</f>
        <v>2.4479424925806268</v>
      </c>
      <c r="GO41" s="21">
        <f t="shared" si="27"/>
        <v>4.8458464429615189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135.66666666666666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9.875</v>
      </c>
      <c r="N42" s="13">
        <f>IF('Données projet'!$A$36&gt;35,N41+M42-V41,IF(A42&lt;'Données projet'!$A$36,$K$205^A42,IF(A42='Données projet'!$A$36,'Données projet'!$B$36,N41+M42-V41)))</f>
        <v>138.625</v>
      </c>
      <c r="O42" s="13">
        <f>N42*VLOOKUP('Données projet'!$B$9,Paramètres!$A$1:$I$89,3,0)*VLOOKUP('Données projet'!$B$9,Paramètres!$A$1:$I$89,5,0)</f>
        <v>125.42789999999999</v>
      </c>
      <c r="P42" s="13">
        <f t="shared" si="33"/>
        <v>32.937689922759176</v>
      </c>
      <c r="Q42" s="20">
        <f t="shared" si="53"/>
        <v>275.82006911547222</v>
      </c>
      <c r="R42" s="59">
        <f t="shared" si="0"/>
        <v>498.74101935910176</v>
      </c>
      <c r="S42" s="59">
        <f ca="1">AVERAGE(OFFSET($R$3,0,0,'Données projet'!$E$9+1,1))-AVERAGE(OFFSET($H$3,0,0,'Données projet'!$E$9+1,1))</f>
        <v>600.52384738314299</v>
      </c>
      <c r="T42" s="59">
        <f t="shared" si="34"/>
        <v>314.84650287986256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9.8000000000000007</v>
      </c>
      <c r="AI42" s="13">
        <f>IF('Données projet'!$A$62&gt;35,AI41+AH42-AQ41,IF(A42&lt;'Données projet'!$A$62,$AF$205^A42,IF(A42='Données projet'!$A$62,'Données projet'!$B$62,AI41+AH42-AQ41)))</f>
        <v>196.20000000000007</v>
      </c>
      <c r="AJ42" s="13">
        <f>AI42*VLOOKUP('Données projet'!$B$10,Paramètres!$A$1:$I$89,3,0)*VLOOKUP('Données projet'!$B$10,Paramètres!$A$1:$I$89,5,0)</f>
        <v>171.40032000000011</v>
      </c>
      <c r="AK42" s="13">
        <f t="shared" si="35"/>
        <v>43.40349878862115</v>
      </c>
      <c r="AL42" s="20">
        <f t="shared" si="4"/>
        <v>374.11665105684864</v>
      </c>
      <c r="AM42" s="59">
        <f t="shared" si="5"/>
        <v>597.03760130047817</v>
      </c>
      <c r="AN42" s="59">
        <f ca="1">AVERAGE(OFFSET($AM$3,0,0,'Données projet'!$E$10+1,1))-AVERAGE(OFFSET($H$3,0,0,'Données projet'!$E$10+1,1))</f>
        <v>436.77894860279537</v>
      </c>
      <c r="AO42" s="59">
        <f t="shared" si="36"/>
        <v>398.63561969573072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13.938346655805924</v>
      </c>
      <c r="AV42" s="21">
        <f>EXP(-LN(2)/25)*AV41+(1-EXP(-LN(2)/25))/(LN(2)/25)*Calculateur!AQ42*Calculateur!AS42*VLOOKUP('Données projet'!$B$10,Paramètres!$A$1:$I$89,3,0)*0.475*44/12</f>
        <v>10.512479324137818</v>
      </c>
      <c r="AW42" s="21">
        <f>EXP(-LN(2)/2)*AW41+(1-EXP(-LN(2)/2))/(LN(2)/2)*AQ42*AT42*VLOOKUP('Données projet'!$B$10,Paramètres!$A$1:$I$89,3,0)*0.475*44/12</f>
        <v>6.9791797283277973E-2</v>
      </c>
      <c r="AX42" s="21">
        <f t="shared" si="6"/>
        <v>24.52061777722702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145.11744000000002</v>
      </c>
      <c r="BF42" s="13">
        <f t="shared" si="37"/>
        <v>37.466878406916173</v>
      </c>
      <c r="BG42" s="20">
        <f t="shared" si="7"/>
        <v>318.00102122537902</v>
      </c>
      <c r="BH42" s="59">
        <f t="shared" si="8"/>
        <v>540.92197146900855</v>
      </c>
      <c r="BI42" s="59">
        <f ca="1">AVERAGE(OFFSET($BH$3,0,0,'Données projet'!$E$11+1,1))-AVERAGE(OFFSET($H$3,0,0,'Données projet'!$E$11+1,1))</f>
        <v>344.97546176735341</v>
      </c>
      <c r="BJ42" s="59">
        <f t="shared" si="38"/>
        <v>331.15461126257492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3.4907510960505848</v>
      </c>
      <c r="BR42" s="21">
        <f>EXP(-LN(2)/2)*BR41+(1-EXP(-LN(2)/2))/(LN(2)/2)*BL42*BO42*VLOOKUP('Données projet'!$B$11,Paramètres!$A$1:$I$89,3,0)*0.475*44/12</f>
        <v>2.101876037128132</v>
      </c>
      <c r="BS42" s="22">
        <f t="shared" si="9"/>
        <v>5.5926271331787163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540.92197146900855</v>
      </c>
      <c r="CD42" s="59">
        <f ca="1">AVERAGE(OFFSET($CC$3,0,0,'Données projet'!$E$12+1,1))-AVERAGE(OFFSET($H$3,0,0,'Données projet'!$E$12+1,1))</f>
        <v>344.97546176735341</v>
      </c>
      <c r="CE42" s="59">
        <f t="shared" si="40"/>
        <v>331.15461126257492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3.4907510960505848</v>
      </c>
      <c r="CM42" s="21">
        <f>EXP(-LN(2)/2)*CM41+(1-EXP(-LN(2)/2))/(LN(2)/2)*CG42*CJ42*VLOOKUP('Données projet'!$B$12,Paramètres!$A$1:$I$89,3,0)*0.475*44/12</f>
        <v>2.101876037128132</v>
      </c>
      <c r="CN42" s="22">
        <f t="shared" si="12"/>
        <v>5.5926271331787163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227.19465047672969</v>
      </c>
      <c r="CZ42" s="59">
        <f t="shared" si="42"/>
        <v>529.77979244134417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82.42156352289831</v>
      </c>
      <c r="DG42" s="21">
        <f>EXP(-LN(2)/25)*DG41+(1-EXP(-LN(2)/25))/(LN(2)/25)*Calculateur!DB42*Calculateur!DD42*VLOOKUP('Données projet'!$B$13,Paramètres!$A$1:$I$89,3,0)*0.475*44/12</f>
        <v>24.687765264697511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107.10932878759581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240.09151195692266</v>
      </c>
      <c r="DU42" s="59">
        <f t="shared" si="44"/>
        <v>559.47775134103165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87.80859381851252</v>
      </c>
      <c r="EB42" s="21">
        <f>EXP(-LN(2)/25)*EB41+(1-EXP(-LN(2)/25))/(LN(2)/25)*Calculateur!DW42*Calculateur!DY42*VLOOKUP('Données projet'!$B$14,Paramètres!$A$1:$I$89,3,0)*0.475*44/12</f>
        <v>26.301344693762712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114.10993851227524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11.142857142857142</v>
      </c>
      <c r="EJ42" s="12">
        <f>IF('Données projet'!$A$192&gt;35,EJ41+EI42-ER41,IF(A42&lt;'Données projet'!$A$192,$EG$205^A42,IF(A42='Données projet'!$A$192,'Données projet'!$B$192,EJ41+EI42-ER41)))</f>
        <v>174.28571428571422</v>
      </c>
      <c r="EK42" s="17">
        <f>EJ42*VLOOKUP('Données projet'!$B$15,Paramètres!$A$1:$I$89,3,0)*VLOOKUP('Données projet'!$B$15,Paramètres!$A$1:$I$89,5,0)</f>
        <v>135.94285714285709</v>
      </c>
      <c r="EL42" s="13">
        <f t="shared" si="45"/>
        <v>35.365986273808367</v>
      </c>
      <c r="EM42" s="20">
        <f t="shared" si="19"/>
        <v>298.36290228402567</v>
      </c>
      <c r="EN42" s="59">
        <f t="shared" si="20"/>
        <v>521.2838525276552</v>
      </c>
      <c r="EO42" s="59">
        <f ca="1">AVERAGE(OFFSET($EN$3,0,0,'Données projet'!$E$15+1,1))-AVERAGE(OFFSET($H$3,0,0,'Données projet'!$E$15+1,1))</f>
        <v>328.79469965518484</v>
      </c>
      <c r="EP42" s="59">
        <f t="shared" si="46"/>
        <v>322.06400652269735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13.4</v>
      </c>
      <c r="FE42" s="12">
        <f>IF('Données projet'!$A$218&gt;35,FE41+FD42-FM41,IF(A42&lt;'Données projet'!$A$218,$FB$205^A42,IF(A42='Données projet'!$A$218,'Données projet'!$B$218,FE41+FD42-FM41)))</f>
        <v>193.60000000000008</v>
      </c>
      <c r="FF42" s="17">
        <f>FE42*VLOOKUP('Données projet'!$B$16,Paramètres!$A$1:$I$89,3,0)*VLOOKUP('Données projet'!$B$16,Paramètres!$A$1:$I$89,5,0)</f>
        <v>141.94752000000005</v>
      </c>
      <c r="FG42" s="13">
        <f t="shared" si="47"/>
        <v>36.74279562732665</v>
      </c>
      <c r="FH42" s="20">
        <f t="shared" si="22"/>
        <v>311.21896638426068</v>
      </c>
      <c r="FI42" s="59">
        <f t="shared" si="23"/>
        <v>534.13991662789022</v>
      </c>
      <c r="FJ42" s="59">
        <f ca="1">AVERAGE(OFFSET($FI$3,0,0,'Données projet'!$E$16+1,1))-AVERAGE(OFFSET($H$3,0,0,'Données projet'!$E$16+1,1))</f>
        <v>525.22234644068908</v>
      </c>
      <c r="FK42" s="59">
        <f t="shared" si="48"/>
        <v>311.5550296132094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9.6</v>
      </c>
      <c r="FZ42" s="12">
        <f>IF('Données projet'!$A$244&gt;35,FZ41+FY42-GH41,IF(A42&lt;'Données projet'!$A$244,$FW$205^A42,IF(A42='Données projet'!$A$244,'Données projet'!$B$244,FZ41+FY42-GH41)))</f>
        <v>182.4</v>
      </c>
      <c r="GA42" s="17">
        <f>FZ42*VLOOKUP('Données projet'!$B$17,Paramètres!$A$1:$I$89,3,0)*VLOOKUP('Données projet'!$B$17,Paramètres!$A$1:$I$89,5,0)</f>
        <v>119.50848000000001</v>
      </c>
      <c r="GB42" s="13">
        <f t="shared" si="49"/>
        <v>31.560332955588962</v>
      </c>
      <c r="GC42" s="20">
        <f t="shared" si="25"/>
        <v>263.11151589765069</v>
      </c>
      <c r="GD42" s="59">
        <f t="shared" si="26"/>
        <v>486.03246614128022</v>
      </c>
      <c r="GE42" s="59">
        <f ca="1">AVERAGE(OFFSET($GD$3,0,0,'Données projet'!$E$17+1,1))-AVERAGE(OFFSET($H$3,0,0,'Données projet'!$E$17+1,1))</f>
        <v>298.45881427802874</v>
      </c>
      <c r="GF42" s="59">
        <f t="shared" si="50"/>
        <v>287.00279305562356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2.3323331407574384</v>
      </c>
      <c r="GN42" s="21">
        <f>EXP(-LN(2)/2)*GN41+(1-EXP(-LN(2)/2))/(LN(2)/2)*GH42*GK42*VLOOKUP('Données projet'!$B$17,Paramètres!$A$1:$I$89,3,0)*0.475*44/12</f>
        <v>1.730956736458461</v>
      </c>
      <c r="GO42" s="21">
        <f t="shared" si="27"/>
        <v>4.0632898772158992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135.66666666666666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9.875</v>
      </c>
      <c r="N43" s="13">
        <f>IF('Données projet'!$A$36&gt;35,N42+M43-V42,IF(A43&lt;'Données projet'!$A$36,$K$205^A43,IF(A43='Données projet'!$A$36,'Données projet'!$B$36,N42+M43-V42)))</f>
        <v>148.5</v>
      </c>
      <c r="O43" s="13">
        <f>N43*VLOOKUP('Données projet'!$B$9,Paramètres!$A$1:$I$89,3,0)*VLOOKUP('Données projet'!$B$9,Paramètres!$A$1:$I$89,5,0)</f>
        <v>134.36279999999999</v>
      </c>
      <c r="P43" s="13">
        <f t="shared" si="33"/>
        <v>35.002529438504695</v>
      </c>
      <c r="Q43" s="20">
        <f t="shared" si="53"/>
        <v>294.97794877206235</v>
      </c>
      <c r="R43" s="59">
        <f t="shared" si="0"/>
        <v>519.12039644379263</v>
      </c>
      <c r="S43" s="59">
        <f ca="1">AVERAGE(OFFSET($R$3,0,0,'Données projet'!$E$9+1,1))-AVERAGE(OFFSET($H$3,0,0,'Données projet'!$E$9+1,1))</f>
        <v>600.52384738314299</v>
      </c>
      <c r="T43" s="59">
        <f t="shared" si="34"/>
        <v>314.84650287986256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206</v>
      </c>
      <c r="AG43" s="12">
        <f>VLOOKUP(A43,'Données projet'!$A$61:$I$81,9,0)</f>
        <v>9.8000000000000007</v>
      </c>
      <c r="AH43" s="12">
        <f t="array" ref="AH43">INDEX(AG:AG,MIN(IF(ISNUMBER(AG43:AG239),ROW(AG43:AG239),"")))</f>
        <v>9.8000000000000007</v>
      </c>
      <c r="AI43" s="13">
        <f>IF('Données projet'!$A$62&gt;35,AI42+AH43-AQ42,IF(A43&lt;'Données projet'!$A$62,$AF$205^A43,IF(A43='Données projet'!$A$62,'Données projet'!$B$62,AI42+AH43-AQ42)))</f>
        <v>206.00000000000009</v>
      </c>
      <c r="AJ43" s="13">
        <f>AI43*VLOOKUP('Données projet'!$B$10,Paramètres!$A$1:$I$89,3,0)*VLOOKUP('Données projet'!$B$10,Paramètres!$A$1:$I$89,5,0)</f>
        <v>179.96160000000009</v>
      </c>
      <c r="AK43" s="13">
        <f t="shared" si="35"/>
        <v>45.313642767960104</v>
      </c>
      <c r="AL43" s="20">
        <f t="shared" si="4"/>
        <v>392.35438115419737</v>
      </c>
      <c r="AM43" s="59">
        <f t="shared" si="5"/>
        <v>616.49682882592765</v>
      </c>
      <c r="AN43" s="59">
        <f ca="1">AVERAGE(OFFSET($AM$3,0,0,'Données projet'!$E$10+1,1))-AVERAGE(OFFSET($H$3,0,0,'Données projet'!$E$10+1,1))</f>
        <v>436.77894860279537</v>
      </c>
      <c r="AO43" s="59">
        <f t="shared" si="36"/>
        <v>398.63561969573072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31</v>
      </c>
      <c r="AR43" s="16">
        <f>IF(ISNA(VLOOKUP(A43,'Données projet'!$A$61:$I$81,5,0)),0%,VLOOKUP(A43,'Données projet'!$A$61:$I$81,5,0)*VLOOKUP('Données projet'!$B$10,Paramètres!$A$1:$I$89,7,0))</f>
        <v>0.215</v>
      </c>
      <c r="AS43" s="16">
        <f>IF(ISNA(VLOOKUP(A43,'Données projet'!$A$61:$I$81,6,0)),0%,VLOOKUP(A43,'Données projet'!$A$61:$I$81,6,0)*VLOOKUP('Données projet'!$B$10,Paramètres!$A$1:$I$89,7,0))</f>
        <v>0.129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20.101674104964872</v>
      </c>
      <c r="AV43" s="21">
        <f>EXP(-LN(2)/25)*AV42+(1-EXP(-LN(2)/25))/(LN(2)/25)*Calculateur!AQ43*Calculateur!AS43*VLOOKUP('Données projet'!$B$10,Paramètres!$A$1:$I$89,3,0)*0.475*44/12</f>
        <v>14.07179885352077</v>
      </c>
      <c r="AW43" s="21">
        <f>EXP(-LN(2)/2)*AW42+(1-EXP(-LN(2)/2))/(LN(2)/2)*AQ43*AT43*VLOOKUP('Données projet'!$B$10,Paramètres!$A$1:$I$89,3,0)*0.475*44/12</f>
        <v>4.935025313020272E-2</v>
      </c>
      <c r="AX43" s="21">
        <f t="shared" si="6"/>
        <v>34.22282321161584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152.7552</v>
      </c>
      <c r="BF43" s="13">
        <f t="shared" si="37"/>
        <v>39.204049895729561</v>
      </c>
      <c r="BG43" s="20">
        <f t="shared" si="7"/>
        <v>334.32902690172892</v>
      </c>
      <c r="BH43" s="59">
        <f t="shared" si="8"/>
        <v>558.4714745734592</v>
      </c>
      <c r="BI43" s="59">
        <f ca="1">AVERAGE(OFFSET($BH$3,0,0,'Données projet'!$E$11+1,1))-AVERAGE(OFFSET($H$3,0,0,'Données projet'!$E$11+1,1))</f>
        <v>344.97546176735341</v>
      </c>
      <c r="BJ43" s="59">
        <f t="shared" si="38"/>
        <v>331.15461126257492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5.3000000000000005E-2</v>
      </c>
      <c r="BN43" s="16">
        <f>IF(ISNA(VLOOKUP(A43,'Données projet'!$A$87:$I$107,6,0)),0%,VLOOKUP(A43,'Données projet'!$A$87:$I$107,6,0)*VLOOKUP('Données projet'!$B$11,Paramètres!$A$1:$I$89,7,0))</f>
        <v>0.21200000000000002</v>
      </c>
      <c r="BO43" s="16">
        <f>IF(ISNA(VLOOKUP(A43,'Données projet'!$A$87:$I$107,7,0)),0%,VLOOKUP(A43,'Données projet'!$A$87:$I$107,7,0))</f>
        <v>0.3</v>
      </c>
      <c r="BP43" s="21">
        <f>EXP(-LN(2)/35)*BP42+(1-EXP(-LN(2)/35))/(LN(2)/35)*BL43*BM43*VLOOKUP('Données projet'!$B$11,Paramètres!$A$1:$I$89,3,0)*0.475*44/12</f>
        <v>1.30519615519132</v>
      </c>
      <c r="BQ43" s="21">
        <f>EXP(-LN(2)/25)*BQ42+(1-EXP(-LN(2)/25))/(LN(2)/25)*Calculateur!BL43*Calculateur!BN43*VLOOKUP('Données projet'!$B$11,Paramètres!$A$1:$I$89,3,0)*0.475*44/12</f>
        <v>8.5955247261968903</v>
      </c>
      <c r="BR43" s="21">
        <f>EXP(-LN(2)/2)*BR42+(1-EXP(-LN(2)/2))/(LN(2)/2)*BL43*BO43*VLOOKUP('Données projet'!$B$11,Paramètres!$A$1:$I$89,3,0)*0.475*44/12</f>
        <v>7.7918789104512047</v>
      </c>
      <c r="BS43" s="22">
        <f t="shared" si="9"/>
        <v>17.692599791839413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558.4714745734592</v>
      </c>
      <c r="CD43" s="59">
        <f ca="1">AVERAGE(OFFSET($CC$3,0,0,'Données projet'!$E$12+1,1))-AVERAGE(OFFSET($H$3,0,0,'Données projet'!$E$12+1,1))</f>
        <v>344.97546176735341</v>
      </c>
      <c r="CE43" s="59">
        <f t="shared" si="40"/>
        <v>331.15461126257492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5.3000000000000005E-2</v>
      </c>
      <c r="CI43" s="16">
        <f>IF(ISNA(VLOOKUP(A43,'Données projet'!$A$113:$I$133,6,0)),0%,VLOOKUP(A43,'Données projet'!$A$113:$I$133,6,0)*VLOOKUP('Données projet'!$B$12,Paramètres!$A$1:$I$89,7,0))</f>
        <v>0.21200000000000002</v>
      </c>
      <c r="CJ43" s="16">
        <f>IF(ISNA(VLOOKUP(A43,'Données projet'!$A$113:$I$133,7,0)),0%,VLOOKUP(A43,'Données projet'!$A$113:$I$133,7,0))</f>
        <v>0.3</v>
      </c>
      <c r="CK43" s="21">
        <f>EXP(-LN(2)/35)*CK42+(1-EXP(-LN(2)/35))/(LN(2)/35)*CG43*CH43*VLOOKUP('Données projet'!$B$12,Paramètres!$A$1:$I$89,3,0)*0.475*44/12</f>
        <v>1.30519615519132</v>
      </c>
      <c r="CL43" s="21">
        <f>EXP(-LN(2)/25)*CL42+(1-EXP(-LN(2)/25))/(LN(2)/25)*Calculateur!CG43*Calculateur!CI43*VLOOKUP('Données projet'!$B$12,Paramètres!$A$1:$I$89,3,0)*0.475*44/12</f>
        <v>8.5955247261968903</v>
      </c>
      <c r="CM43" s="21">
        <f>EXP(-LN(2)/2)*CM42+(1-EXP(-LN(2)/2))/(LN(2)/2)*CG43*CJ43*VLOOKUP('Données projet'!$B$12,Paramètres!$A$1:$I$89,3,0)*0.475*44/12</f>
        <v>7.7918789104512047</v>
      </c>
      <c r="CN43" s="22">
        <f t="shared" si="12"/>
        <v>17.692599791839413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227.19465047672969</v>
      </c>
      <c r="CZ43" s="59">
        <f t="shared" si="42"/>
        <v>529.77979244134417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80.80532693440405</v>
      </c>
      <c r="DG43" s="21">
        <f>EXP(-LN(2)/25)*DG42+(1-EXP(-LN(2)/25))/(LN(2)/25)*Calculateur!DB43*Calculateur!DD43*VLOOKUP('Données projet'!$B$13,Paramètres!$A$1:$I$89,3,0)*0.475*44/12</f>
        <v>24.012677025261208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104.81800395966526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240.09151195692266</v>
      </c>
      <c r="DU43" s="59">
        <f t="shared" si="44"/>
        <v>559.47775134103165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86.086720851685314</v>
      </c>
      <c r="EB43" s="21">
        <f>EXP(-LN(2)/25)*EB42+(1-EXP(-LN(2)/25))/(LN(2)/25)*Calculateur!DW43*Calculateur!DY43*VLOOKUP('Données projet'!$B$14,Paramètres!$A$1:$I$89,3,0)*0.475*44/12</f>
        <v>25.582133039984164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111.66885389166947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11.142857142857142</v>
      </c>
      <c r="EJ43" s="12">
        <f>IF('Données projet'!$A$192&gt;35,EJ42+EI43-ER42,IF(A43&lt;'Données projet'!$A$192,$EG$205^A43,IF(A43='Données projet'!$A$192,'Données projet'!$B$192,EJ42+EI43-ER42)))</f>
        <v>185.42857142857136</v>
      </c>
      <c r="EK43" s="17">
        <f>EJ43*VLOOKUP('Données projet'!$B$15,Paramètres!$A$1:$I$89,3,0)*VLOOKUP('Données projet'!$B$15,Paramètres!$A$1:$I$89,5,0)</f>
        <v>144.63428571428565</v>
      </c>
      <c r="EL43" s="13">
        <f t="shared" si="45"/>
        <v>37.356634728420524</v>
      </c>
      <c r="EM43" s="20">
        <f t="shared" si="19"/>
        <v>316.96751977104657</v>
      </c>
      <c r="EN43" s="59">
        <f t="shared" si="20"/>
        <v>541.10996744277691</v>
      </c>
      <c r="EO43" s="59">
        <f ca="1">AVERAGE(OFFSET($EN$3,0,0,'Données projet'!$E$15+1,1))-AVERAGE(OFFSET($H$3,0,0,'Données projet'!$E$15+1,1))</f>
        <v>328.79469965518484</v>
      </c>
      <c r="EP43" s="59">
        <f t="shared" si="46"/>
        <v>322.06400652269735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207</v>
      </c>
      <c r="FC43" s="12">
        <f>VLOOKUP(A43,'Données projet'!$A$217:$I$237,9,0)</f>
        <v>13.4</v>
      </c>
      <c r="FD43" s="12">
        <f t="array" ref="FD43">INDEX(FC:FC,MIN(IF(ISNUMBER(FC43:FC239),ROW(FC43:FC239),"")))</f>
        <v>13.4</v>
      </c>
      <c r="FE43" s="12">
        <f>IF('Données projet'!$A$218&gt;35,FE42+FD43-FM42,IF(A43&lt;'Données projet'!$A$218,$FB$205^A43,IF(A43='Données projet'!$A$218,'Données projet'!$B$218,FE42+FD43-FM42)))</f>
        <v>207.00000000000009</v>
      </c>
      <c r="FF43" s="17">
        <f>FE43*VLOOKUP('Données projet'!$B$16,Paramètres!$A$1:$I$89,3,0)*VLOOKUP('Données projet'!$B$16,Paramètres!$A$1:$I$89,5,0)</f>
        <v>151.77240000000006</v>
      </c>
      <c r="FG43" s="13">
        <f t="shared" si="47"/>
        <v>38.981094100085443</v>
      </c>
      <c r="FH43" s="20">
        <f t="shared" si="22"/>
        <v>332.22900222431554</v>
      </c>
      <c r="FI43" s="59">
        <f t="shared" si="23"/>
        <v>556.37144989604587</v>
      </c>
      <c r="FJ43" s="59">
        <f ca="1">AVERAGE(OFFSET($FI$3,0,0,'Données projet'!$E$16+1,1))-AVERAGE(OFFSET($H$3,0,0,'Données projet'!$E$16+1,1))</f>
        <v>525.22234644068908</v>
      </c>
      <c r="FK43" s="59">
        <f t="shared" si="48"/>
        <v>311.5550296132094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192</v>
      </c>
      <c r="FX43" s="12">
        <f>VLOOKUP(A43,'Données projet'!$A$243:$I$263,9,0)</f>
        <v>9.6</v>
      </c>
      <c r="FY43" s="12">
        <f t="array" ref="FY43">INDEX(FX:FX,MIN(IF(ISNUMBER(FX43:FX239),ROW(FX43:FX239),"")))</f>
        <v>9.6</v>
      </c>
      <c r="FZ43" s="12">
        <f>IF('Données projet'!$A$244&gt;35,FZ42+FY43-GH42,IF(A43&lt;'Données projet'!$A$244,$FW$205^A43,IF(A43='Données projet'!$A$244,'Données projet'!$B$244,FZ42+FY43-GH42)))</f>
        <v>192</v>
      </c>
      <c r="GA43" s="17">
        <f>FZ43*VLOOKUP('Données projet'!$B$17,Paramètres!$A$1:$I$89,3,0)*VLOOKUP('Données projet'!$B$17,Paramètres!$A$1:$I$89,5,0)</f>
        <v>125.7984</v>
      </c>
      <c r="GB43" s="13">
        <f t="shared" si="49"/>
        <v>33.023644363399924</v>
      </c>
      <c r="GC43" s="20">
        <f t="shared" si="25"/>
        <v>276.61506059958816</v>
      </c>
      <c r="GD43" s="59">
        <f t="shared" si="26"/>
        <v>500.75750827131844</v>
      </c>
      <c r="GE43" s="59">
        <f ca="1">AVERAGE(OFFSET($GD$3,0,0,'Données projet'!$E$17+1,1))-AVERAGE(OFFSET($H$3,0,0,'Données projet'!$E$17+1,1))</f>
        <v>298.45881427802874</v>
      </c>
      <c r="GF43" s="59">
        <f t="shared" si="50"/>
        <v>287.00279305562356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28</v>
      </c>
      <c r="GI43" s="16">
        <f>IF(ISNA(VLOOKUP(A43,'Données projet'!$A$243:$I$263,5,0)),0%,VLOOKUP(A43,'Données projet'!$A$243:$I$263,5,0)*VLOOKUP('Données projet'!$B$17,Paramètres!$A$1:$I$89,7,0))</f>
        <v>4.3000000000000003E-2</v>
      </c>
      <c r="GJ43" s="16">
        <f>IF(ISNA(VLOOKUP(A43,'Données projet'!$A$243:$I$263,6,0)),0%,VLOOKUP(A43,'Données projet'!$A$243:$I$263,6,0)*VLOOKUP('Données projet'!$B$17,Paramètres!$A$1:$I$89,7,0))</f>
        <v>0.17200000000000001</v>
      </c>
      <c r="GK43" s="16">
        <f>IF(ISNA(VLOOKUP(A43,'Données projet'!$A$243:$I$263,7,0)),0%,VLOOKUP(A43,'Données projet'!$A$243:$I$263,7,0))</f>
        <v>0.3</v>
      </c>
      <c r="GL43" s="21">
        <f>EXP(-LN(2)/35)*GL42+(1-EXP(-LN(2)/35))/(LN(2)/35)*GH43*GI43*VLOOKUP('Données projet'!$B$17,Paramètres!$A$1:$I$89,3,0)*0.475*44/12</f>
        <v>0.87206224797466669</v>
      </c>
      <c r="GM43" s="21">
        <f>EXP(-LN(2)/25)*GM42+(1-EXP(-LN(2)/25))/(LN(2)/25)*Calculateur!GH43*Calculateur!GJ43*VLOOKUP('Données projet'!$B$17,Paramètres!$A$1:$I$89,3,0)*0.475*44/12</f>
        <v>5.7430697948618512</v>
      </c>
      <c r="GN43" s="21">
        <f>EXP(-LN(2)/2)*GN42+(1-EXP(-LN(2)/2))/(LN(2)/2)*GH43*GK43*VLOOKUP('Données projet'!$B$17,Paramètres!$A$1:$I$89,3,0)*0.475*44/12</f>
        <v>6.4168414556656961</v>
      </c>
      <c r="GO43" s="21">
        <f t="shared" si="27"/>
        <v>13.031973498502214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135.66666666666666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9.875</v>
      </c>
      <c r="N44" s="13">
        <f>IF('Données projet'!$A$36&gt;35,N43+M44-V43,IF(A44&lt;'Données projet'!$A$36,$K$205^A44,IF(A44='Données projet'!$A$36,'Données projet'!$B$36,N43+M44-V43)))</f>
        <v>158.375</v>
      </c>
      <c r="O44" s="13">
        <f>N44*VLOOKUP('Données projet'!$B$9,Paramètres!$A$1:$I$89,3,0)*VLOOKUP('Données projet'!$B$9,Paramètres!$A$1:$I$89,5,0)</f>
        <v>143.29769999999999</v>
      </c>
      <c r="P44" s="13">
        <f t="shared" si="33"/>
        <v>37.051435567396794</v>
      </c>
      <c r="Q44" s="20">
        <f t="shared" si="53"/>
        <v>314.10807777988271</v>
      </c>
      <c r="R44" s="59">
        <f t="shared" si="0"/>
        <v>539.45083263019535</v>
      </c>
      <c r="S44" s="59">
        <f ca="1">AVERAGE(OFFSET($R$3,0,0,'Données projet'!$E$9+1,1))-AVERAGE(OFFSET($H$3,0,0,'Données projet'!$E$9+1,1))</f>
        <v>600.52384738314299</v>
      </c>
      <c r="T44" s="59">
        <f t="shared" si="34"/>
        <v>314.84650287986256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8.8000000000000007</v>
      </c>
      <c r="AI44" s="13">
        <f>IF('Données projet'!$A$62&gt;35,AI43+AH44-AQ43,IF(A44&lt;'Données projet'!$A$62,$AF$205^A44,IF(A44='Données projet'!$A$62,'Données projet'!$B$62,AI43+AH44-AQ43)))</f>
        <v>183.8000000000001</v>
      </c>
      <c r="AJ44" s="13">
        <f>AI44*VLOOKUP('Données projet'!$B$10,Paramètres!$A$1:$I$89,3,0)*VLOOKUP('Données projet'!$B$10,Paramètres!$A$1:$I$89,5,0)</f>
        <v>160.56768000000011</v>
      </c>
      <c r="AK44" s="13">
        <f t="shared" si="35"/>
        <v>40.970530810309917</v>
      </c>
      <c r="AL44" s="20">
        <f t="shared" si="4"/>
        <v>351.01238382795663</v>
      </c>
      <c r="AM44" s="59">
        <f t="shared" si="5"/>
        <v>576.35513867826921</v>
      </c>
      <c r="AN44" s="59">
        <f ca="1">AVERAGE(OFFSET($AM$3,0,0,'Données projet'!$E$10+1,1))-AVERAGE(OFFSET($H$3,0,0,'Données projet'!$E$10+1,1))</f>
        <v>436.77894860279537</v>
      </c>
      <c r="AO44" s="59">
        <f t="shared" si="36"/>
        <v>398.63561969573072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19.70749253657706</v>
      </c>
      <c r="AV44" s="21">
        <f>EXP(-LN(2)/25)*AV43+(1-EXP(-LN(2)/25))/(LN(2)/25)*Calculateur!AQ44*Calculateur!AS44*VLOOKUP('Données projet'!$B$10,Paramètres!$A$1:$I$89,3,0)*0.475*44/12</f>
        <v>13.687004773867503</v>
      </c>
      <c r="AW44" s="21">
        <f>EXP(-LN(2)/2)*AW43+(1-EXP(-LN(2)/2))/(LN(2)/2)*AQ44*AT44*VLOOKUP('Données projet'!$B$10,Paramètres!$A$1:$I$89,3,0)*0.475*44/12</f>
        <v>3.4895898641638987E-2</v>
      </c>
      <c r="AX44" s="21">
        <f t="shared" si="6"/>
        <v>33.4293932090862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137.00232</v>
      </c>
      <c r="BF44" s="13">
        <f t="shared" si="37"/>
        <v>35.609416420931346</v>
      </c>
      <c r="BG44" s="20">
        <f t="shared" si="7"/>
        <v>300.63210759978875</v>
      </c>
      <c r="BH44" s="59">
        <f t="shared" si="8"/>
        <v>525.97486245010145</v>
      </c>
      <c r="BI44" s="59">
        <f ca="1">AVERAGE(OFFSET($BH$3,0,0,'Données projet'!$E$11+1,1))-AVERAGE(OFFSET($H$3,0,0,'Données projet'!$E$11+1,1))</f>
        <v>344.97546176735341</v>
      </c>
      <c r="BJ44" s="59">
        <f t="shared" si="38"/>
        <v>331.15461126257492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1.2796020546790654</v>
      </c>
      <c r="BQ44" s="21">
        <f>EXP(-LN(2)/25)*BQ43+(1-EXP(-LN(2)/25))/(LN(2)/25)*Calculateur!BL44*Calculateur!BN44*VLOOKUP('Données projet'!$B$11,Paramètres!$A$1:$I$89,3,0)*0.475*44/12</f>
        <v>8.3604796505400358</v>
      </c>
      <c r="BR44" s="21">
        <f>EXP(-LN(2)/2)*BR43+(1-EXP(-LN(2)/2))/(LN(2)/2)*BL44*BO44*VLOOKUP('Données projet'!$B$11,Paramètres!$A$1:$I$89,3,0)*0.475*44/12</f>
        <v>5.5096904157644948</v>
      </c>
      <c r="BS44" s="22">
        <f t="shared" si="9"/>
        <v>15.149772120983595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525.97486245010145</v>
      </c>
      <c r="CD44" s="59">
        <f ca="1">AVERAGE(OFFSET($CC$3,0,0,'Données projet'!$E$12+1,1))-AVERAGE(OFFSET($H$3,0,0,'Données projet'!$E$12+1,1))</f>
        <v>344.97546176735341</v>
      </c>
      <c r="CE44" s="59">
        <f t="shared" si="40"/>
        <v>331.15461126257492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1.2796020546790654</v>
      </c>
      <c r="CL44" s="21">
        <f>EXP(-LN(2)/25)*CL43+(1-EXP(-LN(2)/25))/(LN(2)/25)*Calculateur!CG44*Calculateur!CI44*VLOOKUP('Données projet'!$B$12,Paramètres!$A$1:$I$89,3,0)*0.475*44/12</f>
        <v>8.3604796505400358</v>
      </c>
      <c r="CM44" s="21">
        <f>EXP(-LN(2)/2)*CM43+(1-EXP(-LN(2)/2))/(LN(2)/2)*CG44*CJ44*VLOOKUP('Données projet'!$B$12,Paramètres!$A$1:$I$89,3,0)*0.475*44/12</f>
        <v>5.5096904157644948</v>
      </c>
      <c r="CN44" s="22">
        <f t="shared" si="12"/>
        <v>15.149772120983595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227.19465047672969</v>
      </c>
      <c r="CZ44" s="59">
        <f t="shared" si="42"/>
        <v>529.77979244134417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79.220783759603194</v>
      </c>
      <c r="DG44" s="21">
        <f>EXP(-LN(2)/25)*DG43+(1-EXP(-LN(2)/25))/(LN(2)/25)*Calculateur!DB44*Calculateur!DD44*VLOOKUP('Données projet'!$B$13,Paramètres!$A$1:$I$89,3,0)*0.475*44/12</f>
        <v>23.356049109233638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102.57683286883683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240.09151195692266</v>
      </c>
      <c r="DU44" s="59">
        <f t="shared" si="44"/>
        <v>559.47775134103165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84.398612763498775</v>
      </c>
      <c r="EB44" s="21">
        <f>EXP(-LN(2)/25)*EB43+(1-EXP(-LN(2)/25))/(LN(2)/25)*Calculateur!DW44*Calculateur!DY44*VLOOKUP('Données projet'!$B$14,Paramètres!$A$1:$I$89,3,0)*0.475*44/12</f>
        <v>24.882588266699891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109.28120103019867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11.142857142857142</v>
      </c>
      <c r="EJ44" s="12">
        <f>IF('Données projet'!$A$192&gt;35,EJ43+EI44-ER43,IF(A44&lt;'Données projet'!$A$192,$EG$205^A44,IF(A44='Données projet'!$A$192,'Données projet'!$B$192,EJ43+EI44-ER43)))</f>
        <v>196.5714285714285</v>
      </c>
      <c r="EK44" s="17">
        <f>EJ44*VLOOKUP('Données projet'!$B$15,Paramètres!$A$1:$I$89,3,0)*VLOOKUP('Données projet'!$B$15,Paramètres!$A$1:$I$89,5,0)</f>
        <v>153.32571428571424</v>
      </c>
      <c r="EL44" s="13">
        <f t="shared" si="45"/>
        <v>39.333398837614155</v>
      </c>
      <c r="EM44" s="20">
        <f t="shared" si="19"/>
        <v>335.5479553564636</v>
      </c>
      <c r="EN44" s="59">
        <f t="shared" si="20"/>
        <v>560.89071020677625</v>
      </c>
      <c r="EO44" s="59">
        <f ca="1">AVERAGE(OFFSET($EN$3,0,0,'Données projet'!$E$15+1,1))-AVERAGE(OFFSET($H$3,0,0,'Données projet'!$E$15+1,1))</f>
        <v>328.79469965518484</v>
      </c>
      <c r="EP44" s="59">
        <f t="shared" si="46"/>
        <v>322.06400652269735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13.8</v>
      </c>
      <c r="FE44" s="12">
        <f>IF('Données projet'!$A$218&gt;35,FE43+FD44-FM43,IF(A44&lt;'Données projet'!$A$218,$FB$205^A44,IF(A44='Données projet'!$A$218,'Données projet'!$B$218,FE43+FD44-FM43)))</f>
        <v>185.8000000000001</v>
      </c>
      <c r="FF44" s="17">
        <f>FE44*VLOOKUP('Données projet'!$B$16,Paramètres!$A$1:$I$89,3,0)*VLOOKUP('Données projet'!$B$16,Paramètres!$A$1:$I$89,5,0)</f>
        <v>136.22856000000007</v>
      </c>
      <c r="FG44" s="13">
        <f t="shared" si="47"/>
        <v>35.431653185018021</v>
      </c>
      <c r="FH44" s="20">
        <f t="shared" si="22"/>
        <v>298.97487129723987</v>
      </c>
      <c r="FI44" s="59">
        <f t="shared" si="23"/>
        <v>524.31762614755257</v>
      </c>
      <c r="FJ44" s="59">
        <f ca="1">AVERAGE(OFFSET($FI$3,0,0,'Données projet'!$E$16+1,1))-AVERAGE(OFFSET($H$3,0,0,'Données projet'!$E$16+1,1))</f>
        <v>525.22234644068908</v>
      </c>
      <c r="FK44" s="59">
        <f t="shared" si="48"/>
        <v>311.5550296132094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8.1999999999999993</v>
      </c>
      <c r="FZ44" s="12">
        <f>IF('Données projet'!$A$244&gt;35,FZ43+FY44-GH43,IF(A44&lt;'Données projet'!$A$244,$FW$205^A44,IF(A44='Données projet'!$A$244,'Données projet'!$B$244,FZ43+FY44-GH43)))</f>
        <v>172.2</v>
      </c>
      <c r="GA44" s="17">
        <f>FZ44*VLOOKUP('Données projet'!$B$17,Paramètres!$A$1:$I$89,3,0)*VLOOKUP('Données projet'!$B$17,Paramètres!$A$1:$I$89,5,0)</f>
        <v>112.82544</v>
      </c>
      <c r="GB44" s="13">
        <f t="shared" si="49"/>
        <v>29.995694500969023</v>
      </c>
      <c r="GC44" s="20">
        <f t="shared" si="25"/>
        <v>248.7468092558544</v>
      </c>
      <c r="GD44" s="59">
        <f t="shared" si="26"/>
        <v>474.08956410616702</v>
      </c>
      <c r="GE44" s="59">
        <f ca="1">AVERAGE(OFFSET($GD$3,0,0,'Données projet'!$E$17+1,1))-AVERAGE(OFFSET($H$3,0,0,'Données projet'!$E$17+1,1))</f>
        <v>298.45881427802874</v>
      </c>
      <c r="GF44" s="59">
        <f t="shared" si="50"/>
        <v>287.00279305562356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0.85496163919733348</v>
      </c>
      <c r="GM44" s="21">
        <f>EXP(-LN(2)/25)*GM43+(1-EXP(-LN(2)/25))/(LN(2)/25)*Calculateur!GH44*Calculateur!GJ44*VLOOKUP('Données projet'!$B$17,Paramètres!$A$1:$I$89,3,0)*0.475*44/12</f>
        <v>5.5860252493064397</v>
      </c>
      <c r="GN44" s="21">
        <f>EXP(-LN(2)/2)*GN43+(1-EXP(-LN(2)/2))/(LN(2)/2)*GH44*GK44*VLOOKUP('Données projet'!$B$17,Paramètres!$A$1:$I$89,3,0)*0.475*44/12</f>
        <v>4.537392107100171</v>
      </c>
      <c r="GO44" s="21">
        <f t="shared" si="27"/>
        <v>10.978378995603943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135.66666666666666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9.875</v>
      </c>
      <c r="N45" s="13">
        <f>IF('Données projet'!$A$36&gt;35,N44+M45-V44,IF(A45&lt;'Données projet'!$A$36,$K$205^A45,IF(A45='Données projet'!$A$36,'Données projet'!$B$36,N44+M45-V44)))</f>
        <v>168.25</v>
      </c>
      <c r="O45" s="13">
        <f>N45*VLOOKUP('Données projet'!$B$9,Paramètres!$A$1:$I$89,3,0)*VLOOKUP('Données projet'!$B$9,Paramètres!$A$1:$I$89,5,0)</f>
        <v>152.23259999999999</v>
      </c>
      <c r="P45" s="13">
        <f t="shared" si="33"/>
        <v>39.085514892085854</v>
      </c>
      <c r="Q45" s="20">
        <f t="shared" si="53"/>
        <v>333.21238343704948</v>
      </c>
      <c r="R45" s="59">
        <f t="shared" si="0"/>
        <v>559.73462281988088</v>
      </c>
      <c r="S45" s="59">
        <f ca="1">AVERAGE(OFFSET($R$3,0,0,'Données projet'!$E$9+1,1))-AVERAGE(OFFSET($H$3,0,0,'Données projet'!$E$9+1,1))</f>
        <v>600.52384738314299</v>
      </c>
      <c r="T45" s="59">
        <f t="shared" si="34"/>
        <v>314.84650287986256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8.8000000000000007</v>
      </c>
      <c r="AI45" s="13">
        <f>IF('Données projet'!$A$62&gt;35,AI44+AH45-AQ44,IF(A45&lt;'Données projet'!$A$62,$AF$205^A45,IF(A45='Données projet'!$A$62,'Données projet'!$B$62,AI44+AH45-AQ44)))</f>
        <v>192.60000000000011</v>
      </c>
      <c r="AJ45" s="13">
        <f>AI45*VLOOKUP('Données projet'!$B$10,Paramètres!$A$1:$I$89,3,0)*VLOOKUP('Données projet'!$B$10,Paramètres!$A$1:$I$89,5,0)</f>
        <v>168.25536000000011</v>
      </c>
      <c r="AK45" s="13">
        <f t="shared" si="35"/>
        <v>42.699047982710923</v>
      </c>
      <c r="AL45" s="20">
        <f t="shared" si="4"/>
        <v>367.41226056988836</v>
      </c>
      <c r="AM45" s="59">
        <f t="shared" si="5"/>
        <v>593.93449995271976</v>
      </c>
      <c r="AN45" s="59">
        <f ca="1">AVERAGE(OFFSET($AM$3,0,0,'Données projet'!$E$10+1,1))-AVERAGE(OFFSET($H$3,0,0,'Données projet'!$E$10+1,1))</f>
        <v>436.77894860279537</v>
      </c>
      <c r="AO45" s="59">
        <f t="shared" si="36"/>
        <v>398.63561969573072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19.321040628318318</v>
      </c>
      <c r="AV45" s="21">
        <f>EXP(-LN(2)/25)*AV44+(1-EXP(-LN(2)/25))/(LN(2)/25)*Calculateur!AQ45*Calculateur!AS45*VLOOKUP('Données projet'!$B$10,Paramètres!$A$1:$I$89,3,0)*0.475*44/12</f>
        <v>13.312732908557798</v>
      </c>
      <c r="AW45" s="21">
        <f>EXP(-LN(2)/2)*AW44+(1-EXP(-LN(2)/2))/(LN(2)/2)*AQ45*AT45*VLOOKUP('Données projet'!$B$10,Paramètres!$A$1:$I$89,3,0)*0.475*44/12</f>
        <v>2.467512656510136E-2</v>
      </c>
      <c r="AX45" s="21">
        <f t="shared" si="6"/>
        <v>32.65844866344122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143.52624</v>
      </c>
      <c r="BF45" s="13">
        <f t="shared" si="37"/>
        <v>37.103644337236275</v>
      </c>
      <c r="BG45" s="20">
        <f t="shared" si="7"/>
        <v>314.59704855401981</v>
      </c>
      <c r="BH45" s="59">
        <f t="shared" si="8"/>
        <v>541.11928793685126</v>
      </c>
      <c r="BI45" s="59">
        <f ca="1">AVERAGE(OFFSET($BH$3,0,0,'Données projet'!$E$11+1,1))-AVERAGE(OFFSET($H$3,0,0,'Données projet'!$E$11+1,1))</f>
        <v>344.97546176735341</v>
      </c>
      <c r="BJ45" s="59">
        <f t="shared" si="38"/>
        <v>331.15461126257492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1.2545098388669962</v>
      </c>
      <c r="BQ45" s="21">
        <f>EXP(-LN(2)/25)*BQ44+(1-EXP(-LN(2)/25))/(LN(2)/25)*Calculateur!BL45*Calculateur!BN45*VLOOKUP('Données projet'!$B$11,Paramètres!$A$1:$I$89,3,0)*0.475*44/12</f>
        <v>8.1318618948375025</v>
      </c>
      <c r="BR45" s="21">
        <f>EXP(-LN(2)/2)*BR44+(1-EXP(-LN(2)/2))/(LN(2)/2)*BL45*BO45*VLOOKUP('Données projet'!$B$11,Paramètres!$A$1:$I$89,3,0)*0.475*44/12</f>
        <v>3.8959394552256028</v>
      </c>
      <c r="BS45" s="22">
        <f t="shared" si="9"/>
        <v>13.282311188930102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541.11928793685126</v>
      </c>
      <c r="CD45" s="59">
        <f ca="1">AVERAGE(OFFSET($CC$3,0,0,'Données projet'!$E$12+1,1))-AVERAGE(OFFSET($H$3,0,0,'Données projet'!$E$12+1,1))</f>
        <v>344.97546176735341</v>
      </c>
      <c r="CE45" s="59">
        <f t="shared" si="40"/>
        <v>331.15461126257492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1.2545098388669962</v>
      </c>
      <c r="CL45" s="21">
        <f>EXP(-LN(2)/25)*CL44+(1-EXP(-LN(2)/25))/(LN(2)/25)*Calculateur!CG45*Calculateur!CI45*VLOOKUP('Données projet'!$B$12,Paramètres!$A$1:$I$89,3,0)*0.475*44/12</f>
        <v>8.1318618948375025</v>
      </c>
      <c r="CM45" s="21">
        <f>EXP(-LN(2)/2)*CM44+(1-EXP(-LN(2)/2))/(LN(2)/2)*CG45*CJ45*VLOOKUP('Données projet'!$B$12,Paramètres!$A$1:$I$89,3,0)*0.475*44/12</f>
        <v>3.8959394552256028</v>
      </c>
      <c r="CN45" s="22">
        <f t="shared" si="12"/>
        <v>13.282311188930102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227.19465047672969</v>
      </c>
      <c r="CZ45" s="59">
        <f t="shared" si="42"/>
        <v>529.77979244134417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77.667312509984271</v>
      </c>
      <c r="DG45" s="21">
        <f>EXP(-LN(2)/25)*DG44+(1-EXP(-LN(2)/25))/(LN(2)/25)*Calculateur!DB45*Calculateur!DD45*VLOOKUP('Données projet'!$B$13,Paramètres!$A$1:$I$89,3,0)*0.475*44/12</f>
        <v>22.717376718100404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100.38468922808468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240.09151195692266</v>
      </c>
      <c r="DU45" s="59">
        <f t="shared" si="44"/>
        <v>559.47775134103165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82.74360744527732</v>
      </c>
      <c r="EB45" s="21">
        <f>EXP(-LN(2)/25)*EB44+(1-EXP(-LN(2)/25))/(LN(2)/25)*Calculateur!DW45*Calculateur!DY45*VLOOKUP('Données projet'!$B$14,Paramètres!$A$1:$I$89,3,0)*0.475*44/12</f>
        <v>24.202172582028535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106.94578002730586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11.142857142857142</v>
      </c>
      <c r="EJ45" s="12">
        <f>IF('Données projet'!$A$192&gt;35,EJ44+EI45-ER44,IF(A45&lt;'Données projet'!$A$192,$EG$205^A45,IF(A45='Données projet'!$A$192,'Données projet'!$B$192,EJ44+EI45-ER44)))</f>
        <v>207.71428571428564</v>
      </c>
      <c r="EK45" s="17">
        <f>EJ45*VLOOKUP('Données projet'!$B$15,Paramètres!$A$1:$I$89,3,0)*VLOOKUP('Données projet'!$B$15,Paramètres!$A$1:$I$89,5,0)</f>
        <v>162.0171428571428</v>
      </c>
      <c r="EL45" s="13">
        <f t="shared" si="45"/>
        <v>41.29715533509664</v>
      </c>
      <c r="EM45" s="20">
        <f t="shared" si="19"/>
        <v>354.10573601815037</v>
      </c>
      <c r="EN45" s="59">
        <f t="shared" si="20"/>
        <v>580.62797540098177</v>
      </c>
      <c r="EO45" s="59">
        <f ca="1">AVERAGE(OFFSET($EN$3,0,0,'Données projet'!$E$15+1,1))-AVERAGE(OFFSET($H$3,0,0,'Données projet'!$E$15+1,1))</f>
        <v>328.79469965518484</v>
      </c>
      <c r="EP45" s="59">
        <f t="shared" si="46"/>
        <v>322.06400652269735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13.8</v>
      </c>
      <c r="FE45" s="12">
        <f>IF('Données projet'!$A$218&gt;35,FE44+FD45-FM44,IF(A45&lt;'Données projet'!$A$218,$FB$205^A45,IF(A45='Données projet'!$A$218,'Données projet'!$B$218,FE44+FD45-FM44)))</f>
        <v>199.60000000000011</v>
      </c>
      <c r="FF45" s="17">
        <f>FE45*VLOOKUP('Données projet'!$B$16,Paramètres!$A$1:$I$89,3,0)*VLOOKUP('Données projet'!$B$16,Paramètres!$A$1:$I$89,5,0)</f>
        <v>146.34672000000006</v>
      </c>
      <c r="FG45" s="13">
        <f t="shared" si="47"/>
        <v>37.747177010522961</v>
      </c>
      <c r="FH45" s="20">
        <f t="shared" si="22"/>
        <v>320.63020395999428</v>
      </c>
      <c r="FI45" s="59">
        <f t="shared" si="23"/>
        <v>547.15244334282568</v>
      </c>
      <c r="FJ45" s="59">
        <f ca="1">AVERAGE(OFFSET($FI$3,0,0,'Données projet'!$E$16+1,1))-AVERAGE(OFFSET($H$3,0,0,'Données projet'!$E$16+1,1))</f>
        <v>525.22234644068908</v>
      </c>
      <c r="FK45" s="59">
        <f t="shared" si="48"/>
        <v>311.5550296132094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8.1999999999999993</v>
      </c>
      <c r="FZ45" s="12">
        <f>IF('Données projet'!$A$244&gt;35,FZ44+FY45-GH44,IF(A45&lt;'Données projet'!$A$244,$FW$205^A45,IF(A45='Données projet'!$A$244,'Données projet'!$B$244,FZ44+FY45-GH44)))</f>
        <v>180.39999999999998</v>
      </c>
      <c r="GA45" s="17">
        <f>FZ45*VLOOKUP('Données projet'!$B$17,Paramètres!$A$1:$I$89,3,0)*VLOOKUP('Données projet'!$B$17,Paramètres!$A$1:$I$89,5,0)</f>
        <v>118.19807999999998</v>
      </c>
      <c r="GB45" s="13">
        <f t="shared" si="49"/>
        <v>31.254361690638479</v>
      </c>
      <c r="GC45" s="20">
        <f t="shared" si="25"/>
        <v>260.29633594452861</v>
      </c>
      <c r="GD45" s="59">
        <f t="shared" si="26"/>
        <v>486.81857532736001</v>
      </c>
      <c r="GE45" s="59">
        <f ca="1">AVERAGE(OFFSET($GD$3,0,0,'Données projet'!$E$17+1,1))-AVERAGE(OFFSET($H$3,0,0,'Données projet'!$E$17+1,1))</f>
        <v>298.45881427802874</v>
      </c>
      <c r="GF45" s="59">
        <f t="shared" si="50"/>
        <v>287.00279305562356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0.83819636292778232</v>
      </c>
      <c r="GM45" s="21">
        <f>EXP(-LN(2)/25)*GM44+(1-EXP(-LN(2)/25))/(LN(2)/25)*Calculateur!GH45*Calculateur!GJ45*VLOOKUP('Données projet'!$B$17,Paramètres!$A$1:$I$89,3,0)*0.475*44/12</f>
        <v>5.4332750951078541</v>
      </c>
      <c r="GN45" s="21">
        <f>EXP(-LN(2)/2)*GN44+(1-EXP(-LN(2)/2))/(LN(2)/2)*GH45*GK45*VLOOKUP('Données projet'!$B$17,Paramètres!$A$1:$I$89,3,0)*0.475*44/12</f>
        <v>3.2084207278328485</v>
      </c>
      <c r="GO45" s="21">
        <f t="shared" si="27"/>
        <v>9.4798921858684846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135.66666666666666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9.875</v>
      </c>
      <c r="N46" s="13">
        <f>IF('Données projet'!$A$36&gt;35,N45+M46-V45,IF(A46&lt;'Données projet'!$A$36,$K$205^A46,IF(A46='Données projet'!$A$36,'Données projet'!$B$36,N45+M46-V45)))</f>
        <v>178.125</v>
      </c>
      <c r="O46" s="13">
        <f>N46*VLOOKUP('Données projet'!$B$9,Paramètres!$A$1:$I$89,3,0)*VLOOKUP('Données projet'!$B$9,Paramètres!$A$1:$I$89,5,0)</f>
        <v>161.16749999999999</v>
      </c>
      <c r="P46" s="13">
        <f t="shared" si="33"/>
        <v>41.105736761364199</v>
      </c>
      <c r="Q46" s="20">
        <f t="shared" si="53"/>
        <v>352.29255402604258</v>
      </c>
      <c r="R46" s="59">
        <f t="shared" si="0"/>
        <v>579.97381652168599</v>
      </c>
      <c r="S46" s="59">
        <f ca="1">AVERAGE(OFFSET($R$3,0,0,'Données projet'!$E$9+1,1))-AVERAGE(OFFSET($H$3,0,0,'Données projet'!$E$9+1,1))</f>
        <v>600.52384738314299</v>
      </c>
      <c r="T46" s="59">
        <f t="shared" si="34"/>
        <v>314.84650287986256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8.8000000000000007</v>
      </c>
      <c r="AI46" s="13">
        <f>IF('Données projet'!$A$62&gt;35,AI45+AH46-AQ45,IF(A46&lt;'Données projet'!$A$62,$AF$205^A46,IF(A46='Données projet'!$A$62,'Données projet'!$B$62,AI45+AH46-AQ45)))</f>
        <v>201.40000000000012</v>
      </c>
      <c r="AJ46" s="13">
        <f>AI46*VLOOKUP('Données projet'!$B$10,Paramètres!$A$1:$I$89,3,0)*VLOOKUP('Données projet'!$B$10,Paramètres!$A$1:$I$89,5,0)</f>
        <v>175.94304000000014</v>
      </c>
      <c r="AK46" s="13">
        <f t="shared" si="35"/>
        <v>44.418393276556458</v>
      </c>
      <c r="AL46" s="20">
        <f t="shared" si="4"/>
        <v>383.79616295666938</v>
      </c>
      <c r="AM46" s="59">
        <f t="shared" si="5"/>
        <v>611.47742545231279</v>
      </c>
      <c r="AN46" s="59">
        <f ca="1">AVERAGE(OFFSET($AM$3,0,0,'Données projet'!$E$10+1,1))-AVERAGE(OFFSET($H$3,0,0,'Données projet'!$E$10+1,1))</f>
        <v>436.77894860279537</v>
      </c>
      <c r="AO46" s="59">
        <f t="shared" si="36"/>
        <v>398.63561969573072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18.942166806268141</v>
      </c>
      <c r="AV46" s="21">
        <f>EXP(-LN(2)/25)*AV45+(1-EXP(-LN(2)/25))/(LN(2)/25)*Calculateur!AQ46*Calculateur!AS46*VLOOKUP('Données projet'!$B$10,Paramètres!$A$1:$I$89,3,0)*0.475*44/12</f>
        <v>12.948695527087088</v>
      </c>
      <c r="AW46" s="21">
        <f>EXP(-LN(2)/2)*AW45+(1-EXP(-LN(2)/2))/(LN(2)/2)*AQ46*AT46*VLOOKUP('Données projet'!$B$10,Paramètres!$A$1:$I$89,3,0)*0.475*44/12</f>
        <v>1.7447949320819493E-2</v>
      </c>
      <c r="AX46" s="21">
        <f t="shared" si="6"/>
        <v>31.908310282676048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150.05015999999998</v>
      </c>
      <c r="BF46" s="13">
        <f t="shared" si="37"/>
        <v>38.589984439024569</v>
      </c>
      <c r="BG46" s="20">
        <f t="shared" si="7"/>
        <v>328.54825156463437</v>
      </c>
      <c r="BH46" s="59">
        <f t="shared" si="8"/>
        <v>556.22951406027778</v>
      </c>
      <c r="BI46" s="59">
        <f ca="1">AVERAGE(OFFSET($BH$3,0,0,'Données projet'!$E$11+1,1))-AVERAGE(OFFSET($H$3,0,0,'Données projet'!$E$11+1,1))</f>
        <v>344.97546176735341</v>
      </c>
      <c r="BJ46" s="59">
        <f t="shared" si="38"/>
        <v>331.15461126257492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1.2299096661022613</v>
      </c>
      <c r="BQ46" s="21">
        <f>EXP(-LN(2)/25)*BQ45+(1-EXP(-LN(2)/25))/(LN(2)/25)*Calculateur!BL46*Calculateur!BN46*VLOOKUP('Données projet'!$B$11,Paramètres!$A$1:$I$89,3,0)*0.475*44/12</f>
        <v>7.9094957036871394</v>
      </c>
      <c r="BR46" s="21">
        <f>EXP(-LN(2)/2)*BR45+(1-EXP(-LN(2)/2))/(LN(2)/2)*BL46*BO46*VLOOKUP('Données projet'!$B$11,Paramètres!$A$1:$I$89,3,0)*0.475*44/12</f>
        <v>2.7548452078822478</v>
      </c>
      <c r="BS46" s="22">
        <f t="shared" si="9"/>
        <v>11.894250577671649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556.22951406027778</v>
      </c>
      <c r="CD46" s="59">
        <f ca="1">AVERAGE(OFFSET($CC$3,0,0,'Données projet'!$E$12+1,1))-AVERAGE(OFFSET($H$3,0,0,'Données projet'!$E$12+1,1))</f>
        <v>344.97546176735341</v>
      </c>
      <c r="CE46" s="59">
        <f t="shared" si="40"/>
        <v>331.15461126257492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1.2299096661022613</v>
      </c>
      <c r="CL46" s="21">
        <f>EXP(-LN(2)/25)*CL45+(1-EXP(-LN(2)/25))/(LN(2)/25)*Calculateur!CG46*Calculateur!CI46*VLOOKUP('Données projet'!$B$12,Paramètres!$A$1:$I$89,3,0)*0.475*44/12</f>
        <v>7.9094957036871394</v>
      </c>
      <c r="CM46" s="21">
        <f>EXP(-LN(2)/2)*CM45+(1-EXP(-LN(2)/2))/(LN(2)/2)*CG46*CJ46*VLOOKUP('Données projet'!$B$12,Paramètres!$A$1:$I$89,3,0)*0.475*44/12</f>
        <v>2.7548452078822478</v>
      </c>
      <c r="CN46" s="22">
        <f t="shared" si="12"/>
        <v>11.894250577671649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227.19465047672969</v>
      </c>
      <c r="CZ46" s="59">
        <f t="shared" si="42"/>
        <v>529.77979244134417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76.144303884046479</v>
      </c>
      <c r="DG46" s="21">
        <f>EXP(-LN(2)/25)*DG45+(1-EXP(-LN(2)/25))/(LN(2)/25)*Calculateur!DB46*Calculateur!DD46*VLOOKUP('Données projet'!$B$13,Paramètres!$A$1:$I$89,3,0)*0.475*44/12</f>
        <v>22.09616885708903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98.240472741135505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240.09151195692266</v>
      </c>
      <c r="DU46" s="59">
        <f t="shared" si="44"/>
        <v>559.47775134103165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81.121055771892614</v>
      </c>
      <c r="EB46" s="21">
        <f>EXP(-LN(2)/25)*EB45+(1-EXP(-LN(2)/25))/(LN(2)/25)*Calculateur!DW46*Calculateur!DY46*VLOOKUP('Données projet'!$B$14,Paramètres!$A$1:$I$89,3,0)*0.475*44/12</f>
        <v>23.540362900036023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104.66141867192863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11.142857142857142</v>
      </c>
      <c r="EJ46" s="12">
        <f>IF('Données projet'!$A$192&gt;35,EJ45+EI46-ER45,IF(A46&lt;'Données projet'!$A$192,$EG$205^A46,IF(A46='Données projet'!$A$192,'Données projet'!$B$192,EJ45+EI46-ER45)))</f>
        <v>218.85714285714278</v>
      </c>
      <c r="EK46" s="17">
        <f>EJ46*VLOOKUP('Données projet'!$B$15,Paramètres!$A$1:$I$89,3,0)*VLOOKUP('Données projet'!$B$15,Paramètres!$A$1:$I$89,5,0)</f>
        <v>170.70857142857136</v>
      </c>
      <c r="EL46" s="13">
        <f t="shared" si="45"/>
        <v>43.248681576985376</v>
      </c>
      <c r="EM46" s="20">
        <f t="shared" si="19"/>
        <v>372.64221565134466</v>
      </c>
      <c r="EN46" s="59">
        <f t="shared" si="20"/>
        <v>600.32347814698801</v>
      </c>
      <c r="EO46" s="59">
        <f ca="1">AVERAGE(OFFSET($EN$3,0,0,'Données projet'!$E$15+1,1))-AVERAGE(OFFSET($H$3,0,0,'Données projet'!$E$15+1,1))</f>
        <v>328.79469965518484</v>
      </c>
      <c r="EP46" s="59">
        <f t="shared" si="46"/>
        <v>322.06400652269735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13.8</v>
      </c>
      <c r="FE46" s="12">
        <f>IF('Données projet'!$A$218&gt;35,FE45+FD46-FM45,IF(A46&lt;'Données projet'!$A$218,$FB$205^A46,IF(A46='Données projet'!$A$218,'Données projet'!$B$218,FE45+FD46-FM45)))</f>
        <v>213.40000000000012</v>
      </c>
      <c r="FF46" s="17">
        <f>FE46*VLOOKUP('Données projet'!$B$16,Paramètres!$A$1:$I$89,3,0)*VLOOKUP('Données projet'!$B$16,Paramètres!$A$1:$I$89,5,0)</f>
        <v>156.46488000000008</v>
      </c>
      <c r="FG46" s="13">
        <f t="shared" si="47"/>
        <v>40.044125372544926</v>
      </c>
      <c r="FH46" s="20">
        <f t="shared" si="22"/>
        <v>342.25318435718253</v>
      </c>
      <c r="FI46" s="59">
        <f t="shared" si="23"/>
        <v>569.93444685282589</v>
      </c>
      <c r="FJ46" s="59">
        <f ca="1">AVERAGE(OFFSET($FI$3,0,0,'Données projet'!$E$16+1,1))-AVERAGE(OFFSET($H$3,0,0,'Données projet'!$E$16+1,1))</f>
        <v>525.22234644068908</v>
      </c>
      <c r="FK46" s="59">
        <f t="shared" si="48"/>
        <v>311.5550296132094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8.1999999999999993</v>
      </c>
      <c r="FZ46" s="12">
        <f>IF('Données projet'!$A$244&gt;35,FZ45+FY46-GH45,IF(A46&lt;'Données projet'!$A$244,$FW$205^A46,IF(A46='Données projet'!$A$244,'Données projet'!$B$244,FZ45+FY46-GH45)))</f>
        <v>188.59999999999997</v>
      </c>
      <c r="GA46" s="17">
        <f>FZ46*VLOOKUP('Données projet'!$B$17,Paramètres!$A$1:$I$89,3,0)*VLOOKUP('Données projet'!$B$17,Paramètres!$A$1:$I$89,5,0)</f>
        <v>123.57071999999998</v>
      </c>
      <c r="GB46" s="13">
        <f t="shared" si="49"/>
        <v>32.506384557027673</v>
      </c>
      <c r="GC46" s="20">
        <f t="shared" si="25"/>
        <v>271.83429043682321</v>
      </c>
      <c r="GD46" s="59">
        <f t="shared" si="26"/>
        <v>499.51555293246656</v>
      </c>
      <c r="GE46" s="59">
        <f ca="1">AVERAGE(OFFSET($GD$3,0,0,'Données projet'!$E$17+1,1))-AVERAGE(OFFSET($H$3,0,0,'Données projet'!$E$17+1,1))</f>
        <v>298.45881427802874</v>
      </c>
      <c r="GF46" s="59">
        <f t="shared" si="50"/>
        <v>287.00279305562356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0.82175984350006825</v>
      </c>
      <c r="GM46" s="21">
        <f>EXP(-LN(2)/25)*GM45+(1-EXP(-LN(2)/25))/(LN(2)/25)*Calculateur!GH46*Calculateur!GJ46*VLOOKUP('Données projet'!$B$17,Paramètres!$A$1:$I$89,3,0)*0.475*44/12</f>
        <v>5.2847019019086101</v>
      </c>
      <c r="GN46" s="21">
        <f>EXP(-LN(2)/2)*GN45+(1-EXP(-LN(2)/2))/(LN(2)/2)*GH46*GK46*VLOOKUP('Données projet'!$B$17,Paramètres!$A$1:$I$89,3,0)*0.475*44/12</f>
        <v>2.2686960535500855</v>
      </c>
      <c r="GO46" s="21">
        <f t="shared" si="27"/>
        <v>8.3751577989587638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135.66666666666666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188</v>
      </c>
      <c r="L47" s="12">
        <f>VLOOKUP(A47,'Données projet'!$A$35:$I$55,9,0)</f>
        <v>9.875</v>
      </c>
      <c r="M47" s="12">
        <f t="array" ref="M47">INDEX(L:L,MIN(IF(ISNUMBER(L47:L243),ROW(L47:L243),"")))</f>
        <v>9.875</v>
      </c>
      <c r="N47" s="13">
        <f>IF('Données projet'!$A$36&gt;35,N46+M47-V46,IF(A47&lt;'Données projet'!$A$36,$K$205^A47,IF(A47='Données projet'!$A$36,'Données projet'!$B$36,N46+M47-V46)))</f>
        <v>188</v>
      </c>
      <c r="O47" s="13">
        <f>N47*VLOOKUP('Données projet'!$B$9,Paramètres!$A$1:$I$89,3,0)*VLOOKUP('Données projet'!$B$9,Paramètres!$A$1:$I$89,5,0)</f>
        <v>170.10239999999999</v>
      </c>
      <c r="P47" s="13">
        <f t="shared" si="33"/>
        <v>43.112956975087329</v>
      </c>
      <c r="Q47" s="20">
        <f t="shared" si="53"/>
        <v>371.35008006494377</v>
      </c>
      <c r="R47" s="59">
        <f t="shared" si="0"/>
        <v>600.17025921357936</v>
      </c>
      <c r="S47" s="59">
        <f ca="1">AVERAGE(OFFSET($R$3,0,0,'Données projet'!$E$9+1,1))-AVERAGE(OFFSET($H$3,0,0,'Données projet'!$E$9+1,1))</f>
        <v>600.52384738314299</v>
      </c>
      <c r="T47" s="59">
        <f t="shared" si="34"/>
        <v>314.84650287986256</v>
      </c>
      <c r="U47" s="15">
        <f>IF(ISNA(VLOOKUP(A47,'Données projet'!$A$35:$I$55,3,0)),0,VLOOKUP(A47,'Données projet'!$A$35:$I$55,3,0))</f>
        <v>2</v>
      </c>
      <c r="V47" s="15">
        <f>IF(ISNA(VLOOKUP(A47,'Données projet'!$A$35:$I$55,4,0)),0,VLOOKUP(A47,'Données projet'!$A$35:$I$55,4,0))</f>
        <v>46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0.215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9.8533210989335007</v>
      </c>
      <c r="AB47" s="21">
        <f>EXP(-LN(2)/2)*AB46+(1-EXP(-LN(2)/2))/(LN(2)/2)*V47*Y47*VLOOKUP('Données projet'!$B$9,Paramètres!$A$1:$I$89,3,0)*0.475*44/12</f>
        <v>0</v>
      </c>
      <c r="AC47" s="22">
        <f t="shared" si="3"/>
        <v>9.8533210989335007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8.8000000000000007</v>
      </c>
      <c r="AI47" s="13">
        <f>IF('Données projet'!$A$62&gt;35,AI46+AH47-AQ46,IF(A47&lt;'Données projet'!$A$62,$AF$205^A47,IF(A47='Données projet'!$A$62,'Données projet'!$B$62,AI46+AH47-AQ46)))</f>
        <v>210.20000000000013</v>
      </c>
      <c r="AJ47" s="13">
        <f>AI47*VLOOKUP('Données projet'!$B$10,Paramètres!$A$1:$I$89,3,0)*VLOOKUP('Données projet'!$B$10,Paramètres!$A$1:$I$89,5,0)</f>
        <v>183.63072000000014</v>
      </c>
      <c r="AK47" s="13">
        <f t="shared" si="35"/>
        <v>46.129013251634483</v>
      </c>
      <c r="AL47" s="20">
        <f t="shared" si="4"/>
        <v>400.16486874659699</v>
      </c>
      <c r="AM47" s="59">
        <f t="shared" si="5"/>
        <v>628.98504789523258</v>
      </c>
      <c r="AN47" s="59">
        <f ca="1">AVERAGE(OFFSET($AM$3,0,0,'Données projet'!$E$10+1,1))-AVERAGE(OFFSET($H$3,0,0,'Données projet'!$E$10+1,1))</f>
        <v>436.77894860279537</v>
      </c>
      <c r="AO47" s="59">
        <f t="shared" si="36"/>
        <v>398.63561969573072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18.570722468778154</v>
      </c>
      <c r="AV47" s="21">
        <f>EXP(-LN(2)/25)*AV46+(1-EXP(-LN(2)/25))/(LN(2)/25)*Calculateur!AQ47*Calculateur!AS47*VLOOKUP('Données projet'!$B$10,Paramètres!$A$1:$I$89,3,0)*0.475*44/12</f>
        <v>12.594612766956589</v>
      </c>
      <c r="AW47" s="21">
        <f>EXP(-LN(2)/2)*AW46+(1-EXP(-LN(2)/2))/(LN(2)/2)*AQ47*AT47*VLOOKUP('Données projet'!$B$10,Paramètres!$A$1:$I$89,3,0)*0.475*44/12</f>
        <v>1.233756328255068E-2</v>
      </c>
      <c r="AX47" s="21">
        <f t="shared" si="6"/>
        <v>31.177672799017294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156.57407999999998</v>
      </c>
      <c r="BF47" s="13">
        <f t="shared" si="37"/>
        <v>40.068818872547467</v>
      </c>
      <c r="BG47" s="20">
        <f t="shared" si="7"/>
        <v>342.48638220302013</v>
      </c>
      <c r="BH47" s="59">
        <f t="shared" si="8"/>
        <v>571.30656135165566</v>
      </c>
      <c r="BI47" s="59">
        <f ca="1">AVERAGE(OFFSET($BH$3,0,0,'Données projet'!$E$11+1,1))-AVERAGE(OFFSET($H$3,0,0,'Données projet'!$E$11+1,1))</f>
        <v>344.97546176735341</v>
      </c>
      <c r="BJ47" s="59">
        <f t="shared" si="38"/>
        <v>331.15461126257492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1.2057918877208191</v>
      </c>
      <c r="BQ47" s="21">
        <f>EXP(-LN(2)/25)*BQ46+(1-EXP(-LN(2)/25))/(LN(2)/25)*Calculateur!BL47*Calculateur!BN47*VLOOKUP('Données projet'!$B$11,Paramètres!$A$1:$I$89,3,0)*0.475*44/12</f>
        <v>7.6932101277275127</v>
      </c>
      <c r="BR47" s="21">
        <f>EXP(-LN(2)/2)*BR46+(1-EXP(-LN(2)/2))/(LN(2)/2)*BL47*BO47*VLOOKUP('Données projet'!$B$11,Paramètres!$A$1:$I$89,3,0)*0.475*44/12</f>
        <v>1.9479697276128018</v>
      </c>
      <c r="BS47" s="22">
        <f t="shared" si="9"/>
        <v>10.846971743061134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571.30656135165566</v>
      </c>
      <c r="CD47" s="59">
        <f ca="1">AVERAGE(OFFSET($CC$3,0,0,'Données projet'!$E$12+1,1))-AVERAGE(OFFSET($H$3,0,0,'Données projet'!$E$12+1,1))</f>
        <v>344.97546176735341</v>
      </c>
      <c r="CE47" s="59">
        <f t="shared" si="40"/>
        <v>331.15461126257492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1.2057918877208191</v>
      </c>
      <c r="CL47" s="21">
        <f>EXP(-LN(2)/25)*CL46+(1-EXP(-LN(2)/25))/(LN(2)/25)*Calculateur!CG47*Calculateur!CI47*VLOOKUP('Données projet'!$B$12,Paramètres!$A$1:$I$89,3,0)*0.475*44/12</f>
        <v>7.6932101277275127</v>
      </c>
      <c r="CM47" s="21">
        <f>EXP(-LN(2)/2)*CM46+(1-EXP(-LN(2)/2))/(LN(2)/2)*CG47*CJ47*VLOOKUP('Données projet'!$B$12,Paramètres!$A$1:$I$89,3,0)*0.475*44/12</f>
        <v>1.9479697276128018</v>
      </c>
      <c r="CN47" s="22">
        <f t="shared" si="12"/>
        <v>10.846971743061134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227.19465047672969</v>
      </c>
      <c r="CZ47" s="59">
        <f t="shared" si="42"/>
        <v>529.77979244134417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74.651160528319792</v>
      </c>
      <c r="DG47" s="21">
        <f>EXP(-LN(2)/25)*DG46+(1-EXP(-LN(2)/25))/(LN(2)/25)*Calculateur!DB47*Calculateur!DD47*VLOOKUP('Données projet'!$B$13,Paramètres!$A$1:$I$89,3,0)*0.475*44/12</f>
        <v>21.491947957704912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96.143108486024701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240.09151195692266</v>
      </c>
      <c r="DU47" s="59">
        <f t="shared" si="44"/>
        <v>559.47775134103165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79.530321347164175</v>
      </c>
      <c r="EB47" s="21">
        <f>EXP(-LN(2)/25)*EB46+(1-EXP(-LN(2)/25))/(LN(2)/25)*Calculateur!DW47*Calculateur!DY47*VLOOKUP('Données projet'!$B$14,Paramètres!$A$1:$I$89,3,0)*0.475*44/12</f>
        <v>22.896650438600656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102.42697178576483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230</v>
      </c>
      <c r="EH47" s="12">
        <f>VLOOKUP(A47,'Données projet'!$A$191:$I$211,9,0)</f>
        <v>11.142857142857142</v>
      </c>
      <c r="EI47" s="12">
        <f t="array" ref="EI47">INDEX(EH:EH,MIN(IF(ISNUMBER(EH47:EH243),ROW(EH47:EH243),"")))</f>
        <v>11.142857142857142</v>
      </c>
      <c r="EJ47" s="12">
        <f>IF('Données projet'!$A$192&gt;35,EJ46+EI47-ER46,IF(A47&lt;'Données projet'!$A$192,$EG$205^A47,IF(A47='Données projet'!$A$192,'Données projet'!$B$192,EJ46+EI47-ER46)))</f>
        <v>229.99999999999991</v>
      </c>
      <c r="EK47" s="17">
        <f>EJ47*VLOOKUP('Données projet'!$B$15,Paramètres!$A$1:$I$89,3,0)*VLOOKUP('Données projet'!$B$15,Paramètres!$A$1:$I$89,5,0)</f>
        <v>179.39999999999995</v>
      </c>
      <c r="EL47" s="13">
        <f t="shared" si="45"/>
        <v>45.188671291872232</v>
      </c>
      <c r="EM47" s="20">
        <f t="shared" si="19"/>
        <v>391.15860250001066</v>
      </c>
      <c r="EN47" s="59">
        <f t="shared" si="20"/>
        <v>619.97878164864619</v>
      </c>
      <c r="EO47" s="59">
        <f ca="1">AVERAGE(OFFSET($EN$3,0,0,'Données projet'!$E$15+1,1))-AVERAGE(OFFSET($H$3,0,0,'Données projet'!$E$15+1,1))</f>
        <v>328.79469965518484</v>
      </c>
      <c r="EP47" s="59">
        <f t="shared" si="46"/>
        <v>322.06400652269735</v>
      </c>
      <c r="EQ47" s="15">
        <f>IF(ISNA(VLOOKUP(A47,'Données projet'!$A$191:$I$211,3,0)),0,VLOOKUP(A47,'Données projet'!$A$191:$I$211,3,0))</f>
        <v>6</v>
      </c>
      <c r="ER47" s="15">
        <f>IF(ISNA(VLOOKUP(A47,'Données projet'!$A$191:$I$211,4,0)),0,VLOOKUP(A47,'Données projet'!$A$191:$I$211,4,0))</f>
        <v>43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0.129</v>
      </c>
      <c r="EU47" s="16">
        <f>IF(ISNA(VLOOKUP(A47,'Données projet'!$A$191:$I$211,7,0)),0%,VLOOKUP(A47,'Données projet'!$A$191:$I$211,7,0))</f>
        <v>0.4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4.7641620006087768</v>
      </c>
      <c r="EX47" s="21">
        <f>EXP(-LN(2)/2)*EX46+(1-EXP(-LN(2)/2))/(LN(2)/2)*ER47*EU47*VLOOKUP('Données projet'!$B$15,Paramètres!$A$1:$I$89,3,0)*0.475*44/12</f>
        <v>12.658357086345889</v>
      </c>
      <c r="EY47" s="22">
        <f t="shared" si="21"/>
        <v>17.422519086954665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13.8</v>
      </c>
      <c r="FE47" s="12">
        <f>IF('Données projet'!$A$218&gt;35,FE46+FD47-FM46,IF(A47&lt;'Données projet'!$A$218,$FB$205^A47,IF(A47='Données projet'!$A$218,'Données projet'!$B$218,FE46+FD47-FM46)))</f>
        <v>227.20000000000013</v>
      </c>
      <c r="FF47" s="17">
        <f>FE47*VLOOKUP('Données projet'!$B$16,Paramètres!$A$1:$I$89,3,0)*VLOOKUP('Données projet'!$B$16,Paramètres!$A$1:$I$89,5,0)</f>
        <v>166.58304000000007</v>
      </c>
      <c r="FG47" s="13">
        <f t="shared" si="47"/>
        <v>42.323836208749285</v>
      </c>
      <c r="FH47" s="20">
        <f t="shared" si="22"/>
        <v>363.84614273023845</v>
      </c>
      <c r="FI47" s="59">
        <f t="shared" si="23"/>
        <v>592.66632187887399</v>
      </c>
      <c r="FJ47" s="59">
        <f ca="1">AVERAGE(OFFSET($FI$3,0,0,'Données projet'!$E$16+1,1))-AVERAGE(OFFSET($H$3,0,0,'Données projet'!$E$16+1,1))</f>
        <v>525.22234644068908</v>
      </c>
      <c r="FK47" s="59">
        <f t="shared" si="48"/>
        <v>311.5550296132094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8.1999999999999993</v>
      </c>
      <c r="FZ47" s="12">
        <f>IF('Données projet'!$A$244&gt;35,FZ46+FY47-GH46,IF(A47&lt;'Données projet'!$A$244,$FW$205^A47,IF(A47='Données projet'!$A$244,'Données projet'!$B$244,FZ46+FY47-GH46)))</f>
        <v>196.79999999999995</v>
      </c>
      <c r="GA47" s="17">
        <f>FZ47*VLOOKUP('Données projet'!$B$17,Paramètres!$A$1:$I$89,3,0)*VLOOKUP('Données projet'!$B$17,Paramètres!$A$1:$I$89,5,0)</f>
        <v>128.94335999999996</v>
      </c>
      <c r="GB47" s="13">
        <f t="shared" si="49"/>
        <v>33.752085002132162</v>
      </c>
      <c r="GC47" s="20">
        <f t="shared" si="25"/>
        <v>283.36123337871345</v>
      </c>
      <c r="GD47" s="59">
        <f t="shared" si="26"/>
        <v>512.18141252734904</v>
      </c>
      <c r="GE47" s="59">
        <f ca="1">AVERAGE(OFFSET($GD$3,0,0,'Données projet'!$E$17+1,1))-AVERAGE(OFFSET($H$3,0,0,'Données projet'!$E$17+1,1))</f>
        <v>298.45881427802874</v>
      </c>
      <c r="GF47" s="59">
        <f t="shared" si="50"/>
        <v>287.00279305562356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0.80564563419304469</v>
      </c>
      <c r="GM47" s="21">
        <f>EXP(-LN(2)/25)*GM46+(1-EXP(-LN(2)/25))/(LN(2)/25)*Calculateur!GH47*Calculateur!GJ47*VLOOKUP('Données projet'!$B$17,Paramètres!$A$1:$I$89,3,0)*0.475*44/12</f>
        <v>5.1401914504905246</v>
      </c>
      <c r="GN47" s="21">
        <f>EXP(-LN(2)/2)*GN46+(1-EXP(-LN(2)/2))/(LN(2)/2)*GH47*GK47*VLOOKUP('Données projet'!$B$17,Paramètres!$A$1:$I$89,3,0)*0.475*44/12</f>
        <v>1.6042103639164242</v>
      </c>
      <c r="GO47" s="21">
        <f t="shared" si="27"/>
        <v>7.5500474485999938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135.66666666666666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11.25</v>
      </c>
      <c r="N48" s="13">
        <f>IF('Données projet'!$A$36&gt;35,N47+M48-V47,IF(A48&lt;'Données projet'!$A$36,$K$205^A48,IF(A48='Données projet'!$A$36,'Données projet'!$B$36,N47+M48-V47)))</f>
        <v>153.25</v>
      </c>
      <c r="O48" s="13">
        <f>N48*VLOOKUP('Données projet'!$B$9,Paramètres!$A$1:$I$89,3,0)*VLOOKUP('Données projet'!$B$9,Paramètres!$A$1:$I$89,5,0)</f>
        <v>138.66059999999999</v>
      </c>
      <c r="P48" s="13">
        <f t="shared" si="33"/>
        <v>35.989996302499641</v>
      </c>
      <c r="Q48" s="20">
        <f t="shared" si="53"/>
        <v>304.18312189352014</v>
      </c>
      <c r="R48" s="59">
        <f t="shared" si="0"/>
        <v>534.12246003745463</v>
      </c>
      <c r="S48" s="59">
        <f ca="1">AVERAGE(OFFSET($R$3,0,0,'Données projet'!$E$9+1,1))-AVERAGE(OFFSET($H$3,0,0,'Données projet'!$E$9+1,1))</f>
        <v>600.52384738314299</v>
      </c>
      <c r="T48" s="59">
        <f t="shared" si="34"/>
        <v>314.84650287986256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9.5838815153195274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9.5838815153195274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219</v>
      </c>
      <c r="AG48" s="12">
        <f>VLOOKUP(A48,'Données projet'!$A$61:$I$81,9,0)</f>
        <v>8.8000000000000007</v>
      </c>
      <c r="AH48" s="12">
        <f t="array" ref="AH48">INDEX(AG:AG,MIN(IF(ISNUMBER(AG48:AG244),ROW(AG48:AG244),"")))</f>
        <v>8.8000000000000007</v>
      </c>
      <c r="AI48" s="13">
        <f>IF('Données projet'!$A$62&gt;35,AI47+AH48-AQ47,IF(A48&lt;'Données projet'!$A$62,$AF$205^A48,IF(A48='Données projet'!$A$62,'Données projet'!$B$62,AI47+AH48-AQ47)))</f>
        <v>219.00000000000014</v>
      </c>
      <c r="AJ48" s="13">
        <f>AI48*VLOOKUP('Données projet'!$B$10,Paramètres!$A$1:$I$89,3,0)*VLOOKUP('Données projet'!$B$10,Paramètres!$A$1:$I$89,5,0)</f>
        <v>191.31840000000014</v>
      </c>
      <c r="AK48" s="13">
        <f t="shared" si="35"/>
        <v>47.831314962098396</v>
      </c>
      <c r="AL48" s="20">
        <f t="shared" si="4"/>
        <v>416.51908689232158</v>
      </c>
      <c r="AM48" s="59">
        <f t="shared" si="5"/>
        <v>646.45842503625613</v>
      </c>
      <c r="AN48" s="59">
        <f ca="1">AVERAGE(OFFSET($AM$3,0,0,'Données projet'!$E$10+1,1))-AVERAGE(OFFSET($H$3,0,0,'Données projet'!$E$10+1,1))</f>
        <v>436.77894860279537</v>
      </c>
      <c r="AO48" s="59">
        <f t="shared" si="36"/>
        <v>398.63561969573072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30</v>
      </c>
      <c r="AR48" s="16">
        <f>IF(ISNA(VLOOKUP(A48,'Données projet'!$A$61:$I$81,5,0)),0%,VLOOKUP(A48,'Données projet'!$A$61:$I$81,5,0)*VLOOKUP('Données projet'!$B$10,Paramètres!$A$1:$I$89,7,0))</f>
        <v>0.215</v>
      </c>
      <c r="AS48" s="16">
        <f>IF(ISNA(VLOOKUP(A48,'Données projet'!$A$61:$I$81,6,0)),0%,VLOOKUP(A48,'Données projet'!$A$61:$I$81,6,0)*VLOOKUP('Données projet'!$B$10,Paramètres!$A$1:$I$89,7,0))</f>
        <v>0.129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24.435577985149578</v>
      </c>
      <c r="AV48" s="21">
        <f>EXP(-LN(2)/25)*AV47+(1-EXP(-LN(2)/25))/(LN(2)/25)*Calculateur!AQ48*Calculateur!AS48*VLOOKUP('Données projet'!$B$10,Paramètres!$A$1:$I$89,3,0)*0.475*44/12</f>
        <v>15.972906446904931</v>
      </c>
      <c r="AW48" s="21">
        <f>EXP(-LN(2)/2)*AW47+(1-EXP(-LN(2)/2))/(LN(2)/2)*AQ48*AT48*VLOOKUP('Données projet'!$B$10,Paramètres!$A$1:$I$89,3,0)*0.475*44/12</f>
        <v>8.7239746604097466E-3</v>
      </c>
      <c r="AX48" s="21">
        <f t="shared" si="6"/>
        <v>40.41720840671492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163.09799999999996</v>
      </c>
      <c r="BF48" s="13">
        <f t="shared" si="37"/>
        <v>41.540496136845142</v>
      </c>
      <c r="BG48" s="20">
        <f t="shared" si="7"/>
        <v>356.4120474383385</v>
      </c>
      <c r="BH48" s="59">
        <f t="shared" si="8"/>
        <v>586.351385582273</v>
      </c>
      <c r="BI48" s="59">
        <f ca="1">AVERAGE(OFFSET($BH$3,0,0,'Données projet'!$E$11+1,1))-AVERAGE(OFFSET($H$3,0,0,'Données projet'!$E$11+1,1))</f>
        <v>344.97546176735341</v>
      </c>
      <c r="BJ48" s="59">
        <f t="shared" si="38"/>
        <v>331.15461126257492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0.159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0.4</v>
      </c>
      <c r="BP48" s="21">
        <f>EXP(-LN(2)/35)*BP47+(1-EXP(-LN(2)/35))/(LN(2)/35)*BL48*BM48*VLOOKUP('Données projet'!$B$11,Paramètres!$A$1:$I$89,3,0)*0.475*44/12</f>
        <v>4.2586808386425856</v>
      </c>
      <c r="BQ48" s="21">
        <f>EXP(-LN(2)/25)*BQ47+(1-EXP(-LN(2)/25))/(LN(2)/25)*Calculateur!BL48*Calculateur!BN48*VLOOKUP('Données projet'!$B$11,Paramètres!$A$1:$I$89,3,0)*0.475*44/12</f>
        <v>7.4828388922164661</v>
      </c>
      <c r="BR48" s="21">
        <f>EXP(-LN(2)/2)*BR47+(1-EXP(-LN(2)/2))/(LN(2)/2)*BL48*BO48*VLOOKUP('Données projet'!$B$11,Paramètres!$A$1:$I$89,3,0)*0.475*44/12</f>
        <v>7.9833187206295371</v>
      </c>
      <c r="BS48" s="22">
        <f t="shared" si="9"/>
        <v>19.724838451488587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586.351385582273</v>
      </c>
      <c r="CD48" s="59">
        <f ca="1">AVERAGE(OFFSET($CC$3,0,0,'Données projet'!$E$12+1,1))-AVERAGE(OFFSET($H$3,0,0,'Données projet'!$E$12+1,1))</f>
        <v>344.97546176735341</v>
      </c>
      <c r="CE48" s="59">
        <f t="shared" si="40"/>
        <v>331.15461126257492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0.159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0.4</v>
      </c>
      <c r="CK48" s="21">
        <f>EXP(-LN(2)/35)*CK47+(1-EXP(-LN(2)/35))/(LN(2)/35)*CG48*CH48*VLOOKUP('Données projet'!$B$12,Paramètres!$A$1:$I$89,3,0)*0.475*44/12</f>
        <v>4.2586808386425856</v>
      </c>
      <c r="CL48" s="21">
        <f>EXP(-LN(2)/25)*CL47+(1-EXP(-LN(2)/25))/(LN(2)/25)*Calculateur!CG48*Calculateur!CI48*VLOOKUP('Données projet'!$B$12,Paramètres!$A$1:$I$89,3,0)*0.475*44/12</f>
        <v>7.4828388922164661</v>
      </c>
      <c r="CM48" s="21">
        <f>EXP(-LN(2)/2)*CM47+(1-EXP(-LN(2)/2))/(LN(2)/2)*CG48*CJ48*VLOOKUP('Données projet'!$B$12,Paramètres!$A$1:$I$89,3,0)*0.475*44/12</f>
        <v>7.9833187206295371</v>
      </c>
      <c r="CN48" s="22">
        <f t="shared" si="12"/>
        <v>19.724838451488587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227.19465047672969</v>
      </c>
      <c r="CZ48" s="59">
        <f t="shared" si="42"/>
        <v>529.77979244134417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73.187296803071376</v>
      </c>
      <c r="DG48" s="21">
        <f>EXP(-LN(2)/25)*DG47+(1-EXP(-LN(2)/25))/(LN(2)/25)*Calculateur!DB48*Calculateur!DD48*VLOOKUP('Données projet'!$B$13,Paramètres!$A$1:$I$89,3,0)*0.475*44/12</f>
        <v>20.90424951058905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94.09154631366043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240.09151195692266</v>
      </c>
      <c r="DU48" s="59">
        <f t="shared" si="44"/>
        <v>559.47775134103165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77.970780254252475</v>
      </c>
      <c r="EB48" s="21">
        <f>EXP(-LN(2)/25)*EB47+(1-EXP(-LN(2)/25))/(LN(2)/25)*Calculateur!DW48*Calculateur!DY48*VLOOKUP('Données projet'!$B$14,Paramètres!$A$1:$I$89,3,0)*0.475*44/12</f>
        <v>22.270540328274606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100.24132058252708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10.375</v>
      </c>
      <c r="EJ48" s="12">
        <f>IF('Données projet'!$A$192&gt;35,EJ47+EI48-ER47,IF(A48&lt;'Données projet'!$A$192,$EG$205^A48,IF(A48='Données projet'!$A$192,'Données projet'!$B$192,EJ47+EI48-ER47)))</f>
        <v>197.37499999999991</v>
      </c>
      <c r="EK48" s="17">
        <f>EJ48*VLOOKUP('Données projet'!$B$15,Paramètres!$A$1:$I$89,3,0)*VLOOKUP('Données projet'!$B$15,Paramètres!$A$1:$I$89,5,0)</f>
        <v>153.95249999999993</v>
      </c>
      <c r="EL48" s="13">
        <f t="shared" si="45"/>
        <v>39.475441267837361</v>
      </c>
      <c r="EM48" s="20">
        <f t="shared" si="19"/>
        <v>336.88699770814992</v>
      </c>
      <c r="EN48" s="59">
        <f t="shared" si="20"/>
        <v>566.82633585208441</v>
      </c>
      <c r="EO48" s="59">
        <f ca="1">AVERAGE(OFFSET($EN$3,0,0,'Données projet'!$E$15+1,1))-AVERAGE(OFFSET($H$3,0,0,'Données projet'!$E$15+1,1))</f>
        <v>328.79469965518484</v>
      </c>
      <c r="EP48" s="59">
        <f t="shared" si="46"/>
        <v>322.06400652269735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4.6338857401657387</v>
      </c>
      <c r="EX48" s="21">
        <f>EXP(-LN(2)/2)*EX47+(1-EXP(-LN(2)/2))/(LN(2)/2)*ER48*EU48*VLOOKUP('Données projet'!$B$15,Paramètres!$A$1:$I$89,3,0)*0.475*44/12</f>
        <v>8.950810134435967</v>
      </c>
      <c r="EY48" s="22">
        <f t="shared" si="21"/>
        <v>13.584695874601707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241</v>
      </c>
      <c r="FC48" s="12">
        <f>VLOOKUP(A48,'Données projet'!$A$217:$I$237,9,0)</f>
        <v>13.8</v>
      </c>
      <c r="FD48" s="12">
        <f t="array" ref="FD48">INDEX(FC:FC,MIN(IF(ISNUMBER(FC48:FC244),ROW(FC48:FC244),"")))</f>
        <v>13.8</v>
      </c>
      <c r="FE48" s="12">
        <f>IF('Données projet'!$A$218&gt;35,FE47+FD48-FM47,IF(A48&lt;'Données projet'!$A$218,$FB$205^A48,IF(A48='Données projet'!$A$218,'Données projet'!$B$218,FE47+FD48-FM47)))</f>
        <v>241.00000000000014</v>
      </c>
      <c r="FF48" s="17">
        <f>FE48*VLOOKUP('Données projet'!$B$16,Paramètres!$A$1:$I$89,3,0)*VLOOKUP('Données projet'!$B$16,Paramètres!$A$1:$I$89,5,0)</f>
        <v>176.70120000000011</v>
      </c>
      <c r="FG48" s="13">
        <f t="shared" si="47"/>
        <v>44.587475741993387</v>
      </c>
      <c r="FH48" s="20">
        <f t="shared" si="22"/>
        <v>385.41111025063861</v>
      </c>
      <c r="FI48" s="59">
        <f t="shared" si="23"/>
        <v>615.35044839457316</v>
      </c>
      <c r="FJ48" s="59">
        <f ca="1">AVERAGE(OFFSET($FI$3,0,0,'Données projet'!$E$16+1,1))-AVERAGE(OFFSET($H$3,0,0,'Données projet'!$E$16+1,1))</f>
        <v>525.22234644068908</v>
      </c>
      <c r="FK48" s="59">
        <f t="shared" si="48"/>
        <v>311.5550296132094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35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205</v>
      </c>
      <c r="FX48" s="12">
        <f>VLOOKUP(A48,'Données projet'!$A$243:$I$263,9,0)</f>
        <v>8.1999999999999993</v>
      </c>
      <c r="FY48" s="12">
        <f t="array" ref="FY48">INDEX(FX:FX,MIN(IF(ISNUMBER(FX48:FX244),ROW(FX48:FX244),"")))</f>
        <v>8.1999999999999993</v>
      </c>
      <c r="FZ48" s="12">
        <f>IF('Données projet'!$A$244&gt;35,FZ47+FY48-GH47,IF(A48&lt;'Données projet'!$A$244,$FW$205^A48,IF(A48='Données projet'!$A$244,'Données projet'!$B$244,FZ47+FY48-GH47)))</f>
        <v>204.99999999999994</v>
      </c>
      <c r="GA48" s="17">
        <f>FZ48*VLOOKUP('Données projet'!$B$17,Paramètres!$A$1:$I$89,3,0)*VLOOKUP('Données projet'!$B$17,Paramètres!$A$1:$I$89,5,0)</f>
        <v>134.31599999999995</v>
      </c>
      <c r="GB48" s="13">
        <f t="shared" si="49"/>
        <v>34.991756585122445</v>
      </c>
      <c r="GC48" s="20">
        <f t="shared" si="25"/>
        <v>294.87767605242146</v>
      </c>
      <c r="GD48" s="59">
        <f t="shared" si="26"/>
        <v>524.81701419635601</v>
      </c>
      <c r="GE48" s="59">
        <f ca="1">AVERAGE(OFFSET($GD$3,0,0,'Données projet'!$E$17+1,1))-AVERAGE(OFFSET($H$3,0,0,'Données projet'!$E$17+1,1))</f>
        <v>298.45881427802874</v>
      </c>
      <c r="GF48" s="59">
        <f t="shared" si="50"/>
        <v>287.00279305562356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22</v>
      </c>
      <c r="GI48" s="16">
        <f>IF(ISNA(VLOOKUP(A48,'Données projet'!$A$243:$I$263,5,0)),0%,VLOOKUP(A48,'Données projet'!$A$243:$I$263,5,0)*VLOOKUP('Données projet'!$B$17,Paramètres!$A$1:$I$89,7,0))</f>
        <v>0.129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0.4</v>
      </c>
      <c r="GL48" s="21">
        <f>EXP(-LN(2)/35)*GL47+(1-EXP(-LN(2)/35))/(LN(2)/35)*GH48*GI48*VLOOKUP('Données projet'!$B$17,Paramètres!$A$1:$I$89,3,0)*0.475*44/12</f>
        <v>2.8454227134992629</v>
      </c>
      <c r="GM48" s="21">
        <f>EXP(-LN(2)/25)*GM47+(1-EXP(-LN(2)/25))/(LN(2)/25)*Calculateur!GH48*Calculateur!GJ48*VLOOKUP('Données projet'!$B$17,Paramètres!$A$1:$I$89,3,0)*0.475*44/12</f>
        <v>4.9996326449659412</v>
      </c>
      <c r="GN48" s="21">
        <f>EXP(-LN(2)/2)*GN47+(1-EXP(-LN(2)/2))/(LN(2)/2)*GH48*GK48*VLOOKUP('Données projet'!$B$17,Paramètres!$A$1:$I$89,3,0)*0.475*44/12</f>
        <v>6.5744977699302058</v>
      </c>
      <c r="GO48" s="21">
        <f t="shared" si="27"/>
        <v>14.41955312839541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135.66666666666666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11.25</v>
      </c>
      <c r="N49" s="13">
        <f>IF('Données projet'!$A$36&gt;35,N48+M49-V48,IF(A49&lt;'Données projet'!$A$36,$K$205^A49,IF(A49='Données projet'!$A$36,'Données projet'!$B$36,N48+M49-V48)))</f>
        <v>164.5</v>
      </c>
      <c r="O49" s="13">
        <f>N49*VLOOKUP('Données projet'!$B$9,Paramètres!$A$1:$I$89,3,0)*VLOOKUP('Données projet'!$B$9,Paramètres!$A$1:$I$89,5,0)</f>
        <v>148.83959999999999</v>
      </c>
      <c r="P49" s="13">
        <f t="shared" si="33"/>
        <v>38.314761484407484</v>
      </c>
      <c r="Q49" s="20">
        <f t="shared" si="53"/>
        <v>325.96051291867633</v>
      </c>
      <c r="R49" s="59">
        <f t="shared" si="0"/>
        <v>556.99959515140608</v>
      </c>
      <c r="S49" s="59">
        <f ca="1">AVERAGE(OFFSET($R$3,0,0,'Données projet'!$E$9+1,1))-AVERAGE(OFFSET($H$3,0,0,'Données projet'!$E$9+1,1))</f>
        <v>600.52384738314299</v>
      </c>
      <c r="T49" s="59">
        <f t="shared" si="34"/>
        <v>314.84650287986256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9.3218097712886898</v>
      </c>
      <c r="AB49" s="21">
        <f>EXP(-LN(2)/2)*AB48+(1-EXP(-LN(2)/2))/(LN(2)/2)*V49*Y49*VLOOKUP('Données projet'!$B$9,Paramètres!$A$1:$I$89,3,0)*0.475*44/12</f>
        <v>0</v>
      </c>
      <c r="AC49" s="22">
        <f t="shared" si="3"/>
        <v>9.3218097712886898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197.20000000000013</v>
      </c>
      <c r="AJ49" s="13">
        <f>AI49*VLOOKUP('Données projet'!$B$10,Paramètres!$A$1:$I$89,3,0)*VLOOKUP('Données projet'!$B$10,Paramètres!$A$1:$I$89,5,0)</f>
        <v>172.27392000000015</v>
      </c>
      <c r="AK49" s="13">
        <f t="shared" si="35"/>
        <v>43.59891151369964</v>
      </c>
      <c r="AL49" s="20">
        <f t="shared" si="4"/>
        <v>375.97851488636047</v>
      </c>
      <c r="AM49" s="59">
        <f t="shared" si="5"/>
        <v>607.01759711909017</v>
      </c>
      <c r="AN49" s="59">
        <f ca="1">AVERAGE(OFFSET($AM$3,0,0,'Données projet'!$E$10+1,1))-AVERAGE(OFFSET($H$3,0,0,'Données projet'!$E$10+1,1))</f>
        <v>436.77894860279537</v>
      </c>
      <c r="AO49" s="59">
        <f t="shared" si="36"/>
        <v>398.63561969573072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23.956411205091694</v>
      </c>
      <c r="AV49" s="21">
        <f>EXP(-LN(2)/25)*AV48+(1-EXP(-LN(2)/25))/(LN(2)/25)*Calculateur!AQ49*Calculateur!AS49*VLOOKUP('Données projet'!$B$10,Paramètres!$A$1:$I$89,3,0)*0.475*44/12</f>
        <v>15.536126480135673</v>
      </c>
      <c r="AW49" s="21">
        <f>EXP(-LN(2)/2)*AW48+(1-EXP(-LN(2)/2))/(LN(2)/2)*AQ49*AT49*VLOOKUP('Données projet'!$B$10,Paramètres!$A$1:$I$89,3,0)*0.475*44/12</f>
        <v>6.16878164127534E-3</v>
      </c>
      <c r="AX49" s="21">
        <f t="shared" si="6"/>
        <v>39.498706466868647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151.32311999999996</v>
      </c>
      <c r="BF49" s="13">
        <f t="shared" si="37"/>
        <v>38.879115530839606</v>
      </c>
      <c r="BG49" s="20">
        <f t="shared" si="7"/>
        <v>331.26889354954557</v>
      </c>
      <c r="BH49" s="59">
        <f t="shared" si="8"/>
        <v>562.30797578227521</v>
      </c>
      <c r="BI49" s="59">
        <f ca="1">AVERAGE(OFFSET($BH$3,0,0,'Données projet'!$E$11+1,1))-AVERAGE(OFFSET($H$3,0,0,'Données projet'!$E$11+1,1))</f>
        <v>344.97546176735341</v>
      </c>
      <c r="BJ49" s="59">
        <f t="shared" si="38"/>
        <v>331.15461126257492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4.1751707049356304</v>
      </c>
      <c r="BQ49" s="21">
        <f>EXP(-LN(2)/25)*BQ48+(1-EXP(-LN(2)/25))/(LN(2)/25)*Calculateur!BL49*Calculateur!BN49*VLOOKUP('Données projet'!$B$11,Paramètres!$A$1:$I$89,3,0)*0.475*44/12</f>
        <v>7.2782202692034117</v>
      </c>
      <c r="BR49" s="21">
        <f>EXP(-LN(2)/2)*BR48+(1-EXP(-LN(2)/2))/(LN(2)/2)*BL49*BO49*VLOOKUP('Données projet'!$B$11,Paramètres!$A$1:$I$89,3,0)*0.475*44/12</f>
        <v>5.6450588037306586</v>
      </c>
      <c r="BS49" s="22">
        <f t="shared" si="9"/>
        <v>17.0984497778697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562.30797578227521</v>
      </c>
      <c r="CD49" s="59">
        <f ca="1">AVERAGE(OFFSET($CC$3,0,0,'Données projet'!$E$12+1,1))-AVERAGE(OFFSET($H$3,0,0,'Données projet'!$E$12+1,1))</f>
        <v>344.97546176735341</v>
      </c>
      <c r="CE49" s="59">
        <f t="shared" si="40"/>
        <v>331.15461126257492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4.1751707049356304</v>
      </c>
      <c r="CL49" s="21">
        <f>EXP(-LN(2)/25)*CL48+(1-EXP(-LN(2)/25))/(LN(2)/25)*Calculateur!CG49*Calculateur!CI49*VLOOKUP('Données projet'!$B$12,Paramètres!$A$1:$I$89,3,0)*0.475*44/12</f>
        <v>7.2782202692034117</v>
      </c>
      <c r="CM49" s="21">
        <f>EXP(-LN(2)/2)*CM48+(1-EXP(-LN(2)/2))/(LN(2)/2)*CG49*CJ49*VLOOKUP('Données projet'!$B$12,Paramètres!$A$1:$I$89,3,0)*0.475*44/12</f>
        <v>5.6450588037306586</v>
      </c>
      <c r="CN49" s="22">
        <f t="shared" si="12"/>
        <v>17.0984497778697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227.19465047672969</v>
      </c>
      <c r="CZ49" s="59">
        <f t="shared" si="42"/>
        <v>529.77979244134417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71.752138552606382</v>
      </c>
      <c r="DG49" s="21">
        <f>EXP(-LN(2)/25)*DG48+(1-EXP(-LN(2)/25))/(LN(2)/25)*Calculateur!DB49*Calculateur!DD49*VLOOKUP('Données projet'!$B$13,Paramètres!$A$1:$I$89,3,0)*0.475*44/12</f>
        <v>20.332621708415289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92.084760261021671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240.09151195692266</v>
      </c>
      <c r="DU49" s="59">
        <f t="shared" si="44"/>
        <v>559.47775134103165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76.441820810946624</v>
      </c>
      <c r="EB49" s="21">
        <f>EXP(-LN(2)/25)*EB48+(1-EXP(-LN(2)/25))/(LN(2)/25)*Calculateur!DW49*Calculateur!DY49*VLOOKUP('Données projet'!$B$14,Paramètres!$A$1:$I$89,3,0)*0.475*44/12</f>
        <v>21.66155123184112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98.10337204278774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10.375</v>
      </c>
      <c r="EJ49" s="12">
        <f>IF('Données projet'!$A$192&gt;35,EJ48+EI49-ER48,IF(A49&lt;'Données projet'!$A$192,$EG$205^A49,IF(A49='Données projet'!$A$192,'Données projet'!$B$192,EJ48+EI49-ER48)))</f>
        <v>207.74999999999991</v>
      </c>
      <c r="EK49" s="17">
        <f>EJ49*VLOOKUP('Données projet'!$B$15,Paramètres!$A$1:$I$89,3,0)*VLOOKUP('Données projet'!$B$15,Paramètres!$A$1:$I$89,5,0)</f>
        <v>162.04499999999993</v>
      </c>
      <c r="EL49" s="13">
        <f t="shared" si="45"/>
        <v>41.303429372463391</v>
      </c>
      <c r="EM49" s="20">
        <f t="shared" si="19"/>
        <v>354.16518115704025</v>
      </c>
      <c r="EN49" s="59">
        <f t="shared" si="20"/>
        <v>585.20426338976995</v>
      </c>
      <c r="EO49" s="59">
        <f ca="1">AVERAGE(OFFSET($EN$3,0,0,'Données projet'!$E$15+1,1))-AVERAGE(OFFSET($H$3,0,0,'Données projet'!$E$15+1,1))</f>
        <v>328.79469965518484</v>
      </c>
      <c r="EP49" s="59">
        <f t="shared" si="46"/>
        <v>322.06400652269735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4.5071718909154468</v>
      </c>
      <c r="EX49" s="21">
        <f>EXP(-LN(2)/2)*EX48+(1-EXP(-LN(2)/2))/(LN(2)/2)*ER49*EU49*VLOOKUP('Données projet'!$B$15,Paramètres!$A$1:$I$89,3,0)*0.475*44/12</f>
        <v>6.3291785431729455</v>
      </c>
      <c r="EY49" s="22">
        <f t="shared" si="21"/>
        <v>10.836350434088391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13.6</v>
      </c>
      <c r="FE49" s="12">
        <f>IF('Données projet'!$A$218&gt;35,FE48+FD49-FM48,IF(A49&lt;'Données projet'!$A$218,$FB$205^A49,IF(A49='Données projet'!$A$218,'Données projet'!$B$218,FE48+FD49-FM48)))</f>
        <v>219.60000000000014</v>
      </c>
      <c r="FF49" s="17">
        <f>FE49*VLOOKUP('Données projet'!$B$16,Paramètres!$A$1:$I$89,3,0)*VLOOKUP('Données projet'!$B$16,Paramètres!$A$1:$I$89,5,0)</f>
        <v>161.01072000000011</v>
      </c>
      <c r="FG49" s="13">
        <f t="shared" si="47"/>
        <v>41.070402507024554</v>
      </c>
      <c r="FH49" s="20">
        <f t="shared" si="22"/>
        <v>351.95795503306795</v>
      </c>
      <c r="FI49" s="59">
        <f t="shared" si="23"/>
        <v>582.99703726579764</v>
      </c>
      <c r="FJ49" s="59">
        <f ca="1">AVERAGE(OFFSET($FI$3,0,0,'Données projet'!$E$16+1,1))-AVERAGE(OFFSET($H$3,0,0,'Données projet'!$E$16+1,1))</f>
        <v>525.22234644068908</v>
      </c>
      <c r="FK49" s="59">
        <f t="shared" si="48"/>
        <v>311.5550296132094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7.2</v>
      </c>
      <c r="FZ49" s="12">
        <f>IF('Données projet'!$A$244&gt;35,FZ48+FY49-GH48,IF(A49&lt;'Données projet'!$A$244,$FW$205^A49,IF(A49='Données projet'!$A$244,'Données projet'!$B$244,FZ48+FY49-GH48)))</f>
        <v>190.19999999999993</v>
      </c>
      <c r="GA49" s="17">
        <f>FZ49*VLOOKUP('Données projet'!$B$17,Paramètres!$A$1:$I$89,3,0)*VLOOKUP('Données projet'!$B$17,Paramètres!$A$1:$I$89,5,0)</f>
        <v>124.61903999999996</v>
      </c>
      <c r="GB49" s="13">
        <f t="shared" si="49"/>
        <v>32.749934965107833</v>
      </c>
      <c r="GC49" s="20">
        <f t="shared" si="25"/>
        <v>274.08429806422936</v>
      </c>
      <c r="GD49" s="59">
        <f t="shared" si="26"/>
        <v>505.12338029695906</v>
      </c>
      <c r="GE49" s="59">
        <f ca="1">AVERAGE(OFFSET($GD$3,0,0,'Données projet'!$E$17+1,1))-AVERAGE(OFFSET($H$3,0,0,'Données projet'!$E$17+1,1))</f>
        <v>298.45881427802874</v>
      </c>
      <c r="GF49" s="59">
        <f t="shared" si="50"/>
        <v>287.00279305562356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2.7896257096240276</v>
      </c>
      <c r="GM49" s="21">
        <f>EXP(-LN(2)/25)*GM48+(1-EXP(-LN(2)/25))/(LN(2)/25)*Calculateur!GH49*Calculateur!GJ49*VLOOKUP('Données projet'!$B$17,Paramètres!$A$1:$I$89,3,0)*0.475*44/12</f>
        <v>4.8629174273700935</v>
      </c>
      <c r="GN49" s="21">
        <f>EXP(-LN(2)/2)*GN48+(1-EXP(-LN(2)/2))/(LN(2)/2)*GH49*GK49*VLOOKUP('Données projet'!$B$17,Paramètres!$A$1:$I$89,3,0)*0.475*44/12</f>
        <v>4.6488719560134832</v>
      </c>
      <c r="GO49" s="21">
        <f t="shared" si="27"/>
        <v>12.301415093007604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135.66666666666666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11.25</v>
      </c>
      <c r="N50" s="13">
        <f>IF('Données projet'!$A$36&gt;35,N49+M50-V49,IF(A50&lt;'Données projet'!$A$36,$K$205^A50,IF(A50='Données projet'!$A$36,'Données projet'!$B$36,N49+M50-V49)))</f>
        <v>175.75</v>
      </c>
      <c r="O50" s="13">
        <f>N50*VLOOKUP('Données projet'!$B$9,Paramètres!$A$1:$I$89,3,0)*VLOOKUP('Données projet'!$B$9,Paramètres!$A$1:$I$89,5,0)</f>
        <v>159.01859999999999</v>
      </c>
      <c r="P50" s="13">
        <f t="shared" si="33"/>
        <v>40.62107869517753</v>
      </c>
      <c r="Q50" s="20">
        <f t="shared" si="53"/>
        <v>347.70577372743418</v>
      </c>
      <c r="R50" s="59">
        <f t="shared" si="0"/>
        <v>579.82552194767788</v>
      </c>
      <c r="S50" s="59">
        <f ca="1">AVERAGE(OFFSET($R$3,0,0,'Données projet'!$E$9+1,1))-AVERAGE(OFFSET($H$3,0,0,'Données projet'!$E$9+1,1))</f>
        <v>600.52384738314299</v>
      </c>
      <c r="T50" s="59">
        <f t="shared" si="34"/>
        <v>314.84650287986256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9.0669043928801294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9.0669043928801294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205.40000000000012</v>
      </c>
      <c r="AJ50" s="13">
        <f>AI50*VLOOKUP('Données projet'!$B$10,Paramètres!$A$1:$I$89,3,0)*VLOOKUP('Données projet'!$B$10,Paramètres!$A$1:$I$89,5,0)</f>
        <v>179.43744000000012</v>
      </c>
      <c r="AK50" s="13">
        <f t="shared" si="35"/>
        <v>45.197004138831659</v>
      </c>
      <c r="AL50" s="20">
        <f t="shared" si="4"/>
        <v>391.23832354179859</v>
      </c>
      <c r="AM50" s="59">
        <f t="shared" si="5"/>
        <v>623.3580717620423</v>
      </c>
      <c r="AN50" s="59">
        <f ca="1">AVERAGE(OFFSET($AM$3,0,0,'Données projet'!$E$10+1,1))-AVERAGE(OFFSET($H$3,0,0,'Données projet'!$E$10+1,1))</f>
        <v>436.77894860279537</v>
      </c>
      <c r="AO50" s="59">
        <f t="shared" si="36"/>
        <v>398.63561969573072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23.48664059332787</v>
      </c>
      <c r="AV50" s="21">
        <f>EXP(-LN(2)/25)*AV49+(1-EXP(-LN(2)/25))/(LN(2)/25)*Calculateur!AQ50*Calculateur!AS50*VLOOKUP('Données projet'!$B$10,Paramètres!$A$1:$I$89,3,0)*0.475*44/12</f>
        <v>15.11129028452698</v>
      </c>
      <c r="AW50" s="21">
        <f>EXP(-LN(2)/2)*AW49+(1-EXP(-LN(2)/2))/(LN(2)/2)*AQ50*AT50*VLOOKUP('Données projet'!$B$10,Paramètres!$A$1:$I$89,3,0)*0.475*44/12</f>
        <v>4.3619873302048733E-3</v>
      </c>
      <c r="AX50" s="21">
        <f t="shared" si="6"/>
        <v>38.602292865185056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157.05143999999996</v>
      </c>
      <c r="BF50" s="13">
        <f t="shared" si="37"/>
        <v>40.176741230099708</v>
      </c>
      <c r="BG50" s="20">
        <f t="shared" si="7"/>
        <v>343.50574897575689</v>
      </c>
      <c r="BH50" s="59">
        <f t="shared" si="8"/>
        <v>575.62549719600065</v>
      </c>
      <c r="BI50" s="59">
        <f ca="1">AVERAGE(OFFSET($BH$3,0,0,'Données projet'!$E$11+1,1))-AVERAGE(OFFSET($H$3,0,0,'Données projet'!$E$11+1,1))</f>
        <v>344.97546176735341</v>
      </c>
      <c r="BJ50" s="59">
        <f t="shared" si="38"/>
        <v>331.15461126257492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4.0932981540145166</v>
      </c>
      <c r="BQ50" s="21">
        <f>EXP(-LN(2)/25)*BQ49+(1-EXP(-LN(2)/25))/(LN(2)/25)*Calculateur!BL50*Calculateur!BN50*VLOOKUP('Données projet'!$B$11,Paramètres!$A$1:$I$89,3,0)*0.475*44/12</f>
        <v>7.0791969531970746</v>
      </c>
      <c r="BR50" s="21">
        <f>EXP(-LN(2)/2)*BR49+(1-EXP(-LN(2)/2))/(LN(2)/2)*BL50*BO50*VLOOKUP('Données projet'!$B$11,Paramètres!$A$1:$I$89,3,0)*0.475*44/12</f>
        <v>3.991659360314769</v>
      </c>
      <c r="BS50" s="22">
        <f t="shared" si="9"/>
        <v>15.164154467526361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575.62549719600065</v>
      </c>
      <c r="CD50" s="59">
        <f ca="1">AVERAGE(OFFSET($CC$3,0,0,'Données projet'!$E$12+1,1))-AVERAGE(OFFSET($H$3,0,0,'Données projet'!$E$12+1,1))</f>
        <v>344.97546176735341</v>
      </c>
      <c r="CE50" s="59">
        <f t="shared" si="40"/>
        <v>331.15461126257492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4.0932981540145166</v>
      </c>
      <c r="CL50" s="21">
        <f>EXP(-LN(2)/25)*CL49+(1-EXP(-LN(2)/25))/(LN(2)/25)*Calculateur!CG50*Calculateur!CI50*VLOOKUP('Données projet'!$B$12,Paramètres!$A$1:$I$89,3,0)*0.475*44/12</f>
        <v>7.0791969531970746</v>
      </c>
      <c r="CM50" s="21">
        <f>EXP(-LN(2)/2)*CM49+(1-EXP(-LN(2)/2))/(LN(2)/2)*CG50*CJ50*VLOOKUP('Données projet'!$B$12,Paramètres!$A$1:$I$89,3,0)*0.475*44/12</f>
        <v>3.991659360314769</v>
      </c>
      <c r="CN50" s="22">
        <f t="shared" si="12"/>
        <v>15.164154467526361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227.19465047672969</v>
      </c>
      <c r="CZ50" s="59">
        <f t="shared" si="42"/>
        <v>529.77979244134417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70.345122880072907</v>
      </c>
      <c r="DG50" s="21">
        <f>EXP(-LN(2)/25)*DG49+(1-EXP(-LN(2)/25))/(LN(2)/25)*Calculateur!DB50*Calculateur!DD50*VLOOKUP('Données projet'!$B$13,Paramètres!$A$1:$I$89,3,0)*0.475*44/12</f>
        <v>19.776625098552568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90.121747978625478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240.09151195692266</v>
      </c>
      <c r="DU50" s="59">
        <f t="shared" si="44"/>
        <v>559.47775134103165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74.942843329750829</v>
      </c>
      <c r="EB50" s="21">
        <f>EXP(-LN(2)/25)*EB49+(1-EXP(-LN(2)/25))/(LN(2)/25)*Calculateur!DW50*Calculateur!DY50*VLOOKUP('Données projet'!$B$14,Paramètres!$A$1:$I$89,3,0)*0.475*44/12</f>
        <v>21.069214974274953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96.012058304025786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10.375</v>
      </c>
      <c r="EJ50" s="12">
        <f>IF('Données projet'!$A$192&gt;35,EJ49+EI50-ER49,IF(A50&lt;'Données projet'!$A$192,$EG$205^A50,IF(A50='Données projet'!$A$192,'Données projet'!$B$192,EJ49+EI50-ER49)))</f>
        <v>218.12499999999991</v>
      </c>
      <c r="EK50" s="17">
        <f>EJ50*VLOOKUP('Données projet'!$B$15,Paramètres!$A$1:$I$89,3,0)*VLOOKUP('Données projet'!$B$15,Paramètres!$A$1:$I$89,5,0)</f>
        <v>170.13749999999993</v>
      </c>
      <c r="EL50" s="13">
        <f t="shared" si="45"/>
        <v>43.120817562072375</v>
      </c>
      <c r="EM50" s="20">
        <f t="shared" si="19"/>
        <v>371.42490308727588</v>
      </c>
      <c r="EN50" s="59">
        <f t="shared" si="20"/>
        <v>603.54465130751964</v>
      </c>
      <c r="EO50" s="59">
        <f ca="1">AVERAGE(OFFSET($EN$3,0,0,'Données projet'!$E$15+1,1))-AVERAGE(OFFSET($H$3,0,0,'Données projet'!$E$15+1,1))</f>
        <v>328.79469965518484</v>
      </c>
      <c r="EP50" s="59">
        <f t="shared" si="46"/>
        <v>322.06400652269735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4.3839230385364951</v>
      </c>
      <c r="EX50" s="21">
        <f>EXP(-LN(2)/2)*EX49+(1-EXP(-LN(2)/2))/(LN(2)/2)*ER50*EU50*VLOOKUP('Données projet'!$B$15,Paramètres!$A$1:$I$89,3,0)*0.475*44/12</f>
        <v>4.4754050672179835</v>
      </c>
      <c r="EY50" s="22">
        <f t="shared" si="21"/>
        <v>8.8593281057544786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13.6</v>
      </c>
      <c r="FE50" s="12">
        <f>IF('Données projet'!$A$218&gt;35,FE49+FD50-FM49,IF(A50&lt;'Données projet'!$A$218,$FB$205^A50,IF(A50='Données projet'!$A$218,'Données projet'!$B$218,FE49+FD50-FM49)))</f>
        <v>233.20000000000013</v>
      </c>
      <c r="FF50" s="17">
        <f>FE50*VLOOKUP('Données projet'!$B$16,Paramètres!$A$1:$I$89,3,0)*VLOOKUP('Données projet'!$B$16,Paramètres!$A$1:$I$89,5,0)</f>
        <v>170.9822400000001</v>
      </c>
      <c r="FG50" s="13">
        <f t="shared" si="47"/>
        <v>43.309938852702771</v>
      </c>
      <c r="FH50" s="20">
        <f t="shared" si="22"/>
        <v>373.22554483512414</v>
      </c>
      <c r="FI50" s="59">
        <f t="shared" si="23"/>
        <v>605.34529305536785</v>
      </c>
      <c r="FJ50" s="59">
        <f ca="1">AVERAGE(OFFSET($FI$3,0,0,'Données projet'!$E$16+1,1))-AVERAGE(OFFSET($H$3,0,0,'Données projet'!$E$16+1,1))</f>
        <v>525.22234644068908</v>
      </c>
      <c r="FK50" s="59">
        <f t="shared" si="48"/>
        <v>311.5550296132094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7.2</v>
      </c>
      <c r="FZ50" s="12">
        <f>IF('Données projet'!$A$244&gt;35,FZ49+FY50-GH49,IF(A50&lt;'Données projet'!$A$244,$FW$205^A50,IF(A50='Données projet'!$A$244,'Données projet'!$B$244,FZ49+FY50-GH49)))</f>
        <v>197.39999999999992</v>
      </c>
      <c r="GA50" s="17">
        <f>FZ50*VLOOKUP('Données projet'!$B$17,Paramètres!$A$1:$I$89,3,0)*VLOOKUP('Données projet'!$B$17,Paramètres!$A$1:$I$89,5,0)</f>
        <v>129.33647999999994</v>
      </c>
      <c r="GB50" s="13">
        <f t="shared" si="49"/>
        <v>33.84299371090448</v>
      </c>
      <c r="GC50" s="20">
        <f t="shared" si="25"/>
        <v>284.20425004649184</v>
      </c>
      <c r="GD50" s="59">
        <f t="shared" si="26"/>
        <v>516.32399826673554</v>
      </c>
      <c r="GE50" s="59">
        <f ca="1">AVERAGE(OFFSET($GD$3,0,0,'Données projet'!$E$17+1,1))-AVERAGE(OFFSET($H$3,0,0,'Données projet'!$E$17+1,1))</f>
        <v>298.45881427802874</v>
      </c>
      <c r="GF50" s="59">
        <f t="shared" si="50"/>
        <v>287.00279305562356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2.7349228509619739</v>
      </c>
      <c r="GM50" s="21">
        <f>EXP(-LN(2)/25)*GM49+(1-EXP(-LN(2)/25))/(LN(2)/25)*Calculateur!GH50*Calculateur!GJ50*VLOOKUP('Données projet'!$B$17,Paramètres!$A$1:$I$89,3,0)*0.475*44/12</f>
        <v>4.7299406945889455</v>
      </c>
      <c r="GN50" s="21">
        <f>EXP(-LN(2)/2)*GN49+(1-EXP(-LN(2)/2))/(LN(2)/2)*GH50*GK50*VLOOKUP('Données projet'!$B$17,Paramètres!$A$1:$I$89,3,0)*0.475*44/12</f>
        <v>3.2872488849651034</v>
      </c>
      <c r="GO50" s="21">
        <f t="shared" si="27"/>
        <v>10.752112430516023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135.66666666666666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11.25</v>
      </c>
      <c r="N51" s="13">
        <f>IF('Données projet'!$A$36&gt;35,N50+M51-V50,IF(A51&lt;'Données projet'!$A$36,$K$205^A51,IF(A51='Données projet'!$A$36,'Données projet'!$B$36,N50+M51-V50)))</f>
        <v>187</v>
      </c>
      <c r="O51" s="13">
        <f>N51*VLOOKUP('Données projet'!$B$9,Paramètres!$A$1:$I$89,3,0)*VLOOKUP('Données projet'!$B$9,Paramètres!$A$1:$I$89,5,0)</f>
        <v>169.19759999999999</v>
      </c>
      <c r="P51" s="13">
        <f t="shared" si="33"/>
        <v>42.910263223432885</v>
      </c>
      <c r="Q51" s="20">
        <f t="shared" si="53"/>
        <v>369.42119511414558</v>
      </c>
      <c r="R51" s="59">
        <f t="shared" si="0"/>
        <v>602.60286218302713</v>
      </c>
      <c r="S51" s="59">
        <f ca="1">AVERAGE(OFFSET($R$3,0,0,'Données projet'!$E$9+1,1))-AVERAGE(OFFSET($H$3,0,0,'Données projet'!$E$9+1,1))</f>
        <v>600.52384738314299</v>
      </c>
      <c r="T51" s="59">
        <f t="shared" si="34"/>
        <v>314.84650287986256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8.8189694154490432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8.8189694154490432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213.60000000000011</v>
      </c>
      <c r="AJ51" s="13">
        <f>AI51*VLOOKUP('Données projet'!$B$10,Paramètres!$A$1:$I$89,3,0)*VLOOKUP('Données projet'!$B$10,Paramètres!$A$1:$I$89,5,0)</f>
        <v>186.60096000000013</v>
      </c>
      <c r="AK51" s="13">
        <f t="shared" si="35"/>
        <v>46.787685683664144</v>
      </c>
      <c r="AL51" s="20">
        <f t="shared" si="4"/>
        <v>406.48522456571527</v>
      </c>
      <c r="AM51" s="59">
        <f t="shared" si="5"/>
        <v>639.66689163459682</v>
      </c>
      <c r="AN51" s="59">
        <f ca="1">AVERAGE(OFFSET($AM$3,0,0,'Données projet'!$E$10+1,1))-AVERAGE(OFFSET($H$3,0,0,'Données projet'!$E$10+1,1))</f>
        <v>436.77894860279537</v>
      </c>
      <c r="AO51" s="59">
        <f t="shared" si="36"/>
        <v>398.63561969573072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23.026081896728954</v>
      </c>
      <c r="AV51" s="21">
        <f>EXP(-LN(2)/25)*AV50+(1-EXP(-LN(2)/25))/(LN(2)/25)*Calculateur!AQ51*Calculateur!AS51*VLOOKUP('Données projet'!$B$10,Paramètres!$A$1:$I$89,3,0)*0.475*44/12</f>
        <v>14.698071257028371</v>
      </c>
      <c r="AW51" s="21">
        <f>EXP(-LN(2)/2)*AW50+(1-EXP(-LN(2)/2))/(LN(2)/2)*AQ51*AT51*VLOOKUP('Données projet'!$B$10,Paramètres!$A$1:$I$89,3,0)*0.475*44/12</f>
        <v>3.08439082063767E-3</v>
      </c>
      <c r="AX51" s="21">
        <f t="shared" si="6"/>
        <v>37.727237544577967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162.77975999999995</v>
      </c>
      <c r="BF51" s="13">
        <f t="shared" si="37"/>
        <v>41.468868129640057</v>
      </c>
      <c r="BG51" s="20">
        <f t="shared" si="7"/>
        <v>355.73302732578964</v>
      </c>
      <c r="BH51" s="59">
        <f t="shared" si="8"/>
        <v>588.91469439467119</v>
      </c>
      <c r="BI51" s="59">
        <f ca="1">AVERAGE(OFFSET($BH$3,0,0,'Données projet'!$E$11+1,1))-AVERAGE(OFFSET($H$3,0,0,'Données projet'!$E$11+1,1))</f>
        <v>344.97546176735341</v>
      </c>
      <c r="BJ51" s="59">
        <f t="shared" si="38"/>
        <v>331.15461126257492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4.0130310738796409</v>
      </c>
      <c r="BQ51" s="21">
        <f>EXP(-LN(2)/25)*BQ50+(1-EXP(-LN(2)/25))/(LN(2)/25)*Calculateur!BL51*Calculateur!BN51*VLOOKUP('Données projet'!$B$11,Paramètres!$A$1:$I$89,3,0)*0.475*44/12</f>
        <v>6.8856159402331123</v>
      </c>
      <c r="BR51" s="21">
        <f>EXP(-LN(2)/2)*BR50+(1-EXP(-LN(2)/2))/(LN(2)/2)*BL51*BO51*VLOOKUP('Données projet'!$B$11,Paramètres!$A$1:$I$89,3,0)*0.475*44/12</f>
        <v>2.8225294018653297</v>
      </c>
      <c r="BS51" s="22">
        <f t="shared" si="9"/>
        <v>13.721176415978084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588.91469439467119</v>
      </c>
      <c r="CD51" s="59">
        <f ca="1">AVERAGE(OFFSET($CC$3,0,0,'Données projet'!$E$12+1,1))-AVERAGE(OFFSET($H$3,0,0,'Données projet'!$E$12+1,1))</f>
        <v>344.97546176735341</v>
      </c>
      <c r="CE51" s="59">
        <f t="shared" si="40"/>
        <v>331.15461126257492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4.0130310738796409</v>
      </c>
      <c r="CL51" s="21">
        <f>EXP(-LN(2)/25)*CL50+(1-EXP(-LN(2)/25))/(LN(2)/25)*Calculateur!CG51*Calculateur!CI51*VLOOKUP('Données projet'!$B$12,Paramètres!$A$1:$I$89,3,0)*0.475*44/12</f>
        <v>6.8856159402331123</v>
      </c>
      <c r="CM51" s="21">
        <f>EXP(-LN(2)/2)*CM50+(1-EXP(-LN(2)/2))/(LN(2)/2)*CG51*CJ51*VLOOKUP('Données projet'!$B$12,Paramètres!$A$1:$I$89,3,0)*0.475*44/12</f>
        <v>2.8225294018653297</v>
      </c>
      <c r="CN51" s="22">
        <f t="shared" si="12"/>
        <v>13.721176415978084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227.19465047672969</v>
      </c>
      <c r="CZ51" s="59">
        <f t="shared" si="42"/>
        <v>529.77979244134417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68.965697926682992</v>
      </c>
      <c r="DG51" s="21">
        <f>EXP(-LN(2)/25)*DG50+(1-EXP(-LN(2)/25))/(LN(2)/25)*Calculateur!DB51*Calculateur!DD51*VLOOKUP('Données projet'!$B$13,Paramètres!$A$1:$I$89,3,0)*0.475*44/12</f>
        <v>19.235832245225133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88.201530171908132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240.09151195692266</v>
      </c>
      <c r="DU51" s="59">
        <f t="shared" si="44"/>
        <v>559.47775134103165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73.473259882675293</v>
      </c>
      <c r="EB51" s="21">
        <f>EXP(-LN(2)/25)*EB50+(1-EXP(-LN(2)/25))/(LN(2)/25)*Calculateur!DW51*Calculateur!DY51*VLOOKUP('Données projet'!$B$14,Paramètres!$A$1:$I$89,3,0)*0.475*44/12</f>
        <v>20.493076182821543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93.966336065496833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10.375</v>
      </c>
      <c r="EJ51" s="12">
        <f>IF('Données projet'!$A$192&gt;35,EJ50+EI51-ER50,IF(A51&lt;'Données projet'!$A$192,$EG$205^A51,IF(A51='Données projet'!$A$192,'Données projet'!$B$192,EJ50+EI51-ER50)))</f>
        <v>228.49999999999991</v>
      </c>
      <c r="EK51" s="17">
        <f>EJ51*VLOOKUP('Données projet'!$B$15,Paramètres!$A$1:$I$89,3,0)*VLOOKUP('Données projet'!$B$15,Paramètres!$A$1:$I$89,5,0)</f>
        <v>178.22999999999993</v>
      </c>
      <c r="EL51" s="13">
        <f t="shared" si="45"/>
        <v>44.928167580487852</v>
      </c>
      <c r="EM51" s="20">
        <f t="shared" si="19"/>
        <v>388.66714186934951</v>
      </c>
      <c r="EN51" s="59">
        <f t="shared" si="20"/>
        <v>621.84880893823106</v>
      </c>
      <c r="EO51" s="59">
        <f ca="1">AVERAGE(OFFSET($EN$3,0,0,'Données projet'!$E$15+1,1))-AVERAGE(OFFSET($H$3,0,0,'Données projet'!$E$15+1,1))</f>
        <v>328.79469965518484</v>
      </c>
      <c r="EP51" s="59">
        <f t="shared" si="46"/>
        <v>322.06400652269735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4.2640444325072213</v>
      </c>
      <c r="EX51" s="21">
        <f>EXP(-LN(2)/2)*EX50+(1-EXP(-LN(2)/2))/(LN(2)/2)*ER51*EU51*VLOOKUP('Données projet'!$B$15,Paramètres!$A$1:$I$89,3,0)*0.475*44/12</f>
        <v>3.1645892715864727</v>
      </c>
      <c r="EY51" s="22">
        <f t="shared" si="21"/>
        <v>7.4286337040936941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13.6</v>
      </c>
      <c r="FE51" s="12">
        <f>IF('Données projet'!$A$218&gt;35,FE50+FD51-FM50,IF(A51&lt;'Données projet'!$A$218,$FB$205^A51,IF(A51='Données projet'!$A$218,'Données projet'!$B$218,FE50+FD51-FM50)))</f>
        <v>246.80000000000013</v>
      </c>
      <c r="FF51" s="17">
        <f>FE51*VLOOKUP('Données projet'!$B$16,Paramètres!$A$1:$I$89,3,0)*VLOOKUP('Données projet'!$B$16,Paramètres!$A$1:$I$89,5,0)</f>
        <v>180.95376000000007</v>
      </c>
      <c r="FG51" s="13">
        <f t="shared" si="47"/>
        <v>45.534314886343658</v>
      </c>
      <c r="FH51" s="20">
        <f t="shared" si="22"/>
        <v>394.46673042704862</v>
      </c>
      <c r="FI51" s="59">
        <f t="shared" si="23"/>
        <v>627.64839749593011</v>
      </c>
      <c r="FJ51" s="59">
        <f ca="1">AVERAGE(OFFSET($FI$3,0,0,'Données projet'!$E$16+1,1))-AVERAGE(OFFSET($H$3,0,0,'Données projet'!$E$16+1,1))</f>
        <v>525.22234644068908</v>
      </c>
      <c r="FK51" s="59">
        <f t="shared" si="48"/>
        <v>311.5550296132094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7.2</v>
      </c>
      <c r="FZ51" s="12">
        <f>IF('Données projet'!$A$244&gt;35,FZ50+FY51-GH50,IF(A51&lt;'Données projet'!$A$244,$FW$205^A51,IF(A51='Données projet'!$A$244,'Données projet'!$B$244,FZ50+FY51-GH50)))</f>
        <v>204.59999999999991</v>
      </c>
      <c r="GA51" s="17">
        <f>FZ51*VLOOKUP('Données projet'!$B$17,Paramètres!$A$1:$I$89,3,0)*VLOOKUP('Données projet'!$B$17,Paramètres!$A$1:$I$89,5,0)</f>
        <v>134.05391999999995</v>
      </c>
      <c r="GB51" s="13">
        <f t="shared" si="49"/>
        <v>34.931420526916924</v>
      </c>
      <c r="GC51" s="20">
        <f t="shared" si="25"/>
        <v>294.31613475104683</v>
      </c>
      <c r="GD51" s="59">
        <f t="shared" si="26"/>
        <v>527.49780181992833</v>
      </c>
      <c r="GE51" s="59">
        <f ca="1">AVERAGE(OFFSET($GD$3,0,0,'Données projet'!$E$17+1,1))-AVERAGE(OFFSET($H$3,0,0,'Données projet'!$E$17+1,1))</f>
        <v>298.45881427802874</v>
      </c>
      <c r="GF51" s="59">
        <f t="shared" si="50"/>
        <v>287.00279305562356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2.6812926819928338</v>
      </c>
      <c r="GM51" s="21">
        <f>EXP(-LN(2)/25)*GM50+(1-EXP(-LN(2)/25))/(LN(2)/25)*Calculateur!GH51*Calculateur!GJ51*VLOOKUP('Données projet'!$B$17,Paramètres!$A$1:$I$89,3,0)*0.475*44/12</f>
        <v>4.6006002175586405</v>
      </c>
      <c r="GN51" s="21">
        <f>EXP(-LN(2)/2)*GN50+(1-EXP(-LN(2)/2))/(LN(2)/2)*GH51*GK51*VLOOKUP('Données projet'!$B$17,Paramètres!$A$1:$I$89,3,0)*0.475*44/12</f>
        <v>2.3244359780067416</v>
      </c>
      <c r="GO51" s="21">
        <f t="shared" si="27"/>
        <v>9.6063288775582159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135.66666666666666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11.25</v>
      </c>
      <c r="N52" s="13">
        <f>IF('Données projet'!$A$36&gt;35,N51+M52-V51,IF(A52&lt;'Données projet'!$A$36,$K$205^A52,IF(A52='Données projet'!$A$36,'Données projet'!$B$36,N51+M52-V51)))</f>
        <v>198.25</v>
      </c>
      <c r="O52" s="13">
        <f>N52*VLOOKUP('Données projet'!$B$9,Paramètres!$A$1:$I$89,3,0)*VLOOKUP('Données projet'!$B$9,Paramètres!$A$1:$I$89,5,0)</f>
        <v>179.3766</v>
      </c>
      <c r="P52" s="13">
        <f t="shared" si="33"/>
        <v>45.18346315973151</v>
      </c>
      <c r="Q52" s="20">
        <f t="shared" si="53"/>
        <v>391.10877666986568</v>
      </c>
      <c r="R52" s="59">
        <f t="shared" si="0"/>
        <v>625.33394066945607</v>
      </c>
      <c r="S52" s="59">
        <f ca="1">AVERAGE(OFFSET($R$3,0,0,'Données projet'!$E$9+1,1))-AVERAGE(OFFSET($H$3,0,0,'Données projet'!$E$9+1,1))</f>
        <v>600.52384738314299</v>
      </c>
      <c r="T52" s="59">
        <f t="shared" si="34"/>
        <v>314.84650287986256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8.5778142330141431</v>
      </c>
      <c r="AB52" s="21">
        <f>EXP(-LN(2)/2)*AB51+(1-EXP(-LN(2)/2))/(LN(2)/2)*V52*Y52*VLOOKUP('Données projet'!$B$9,Paramètres!$A$1:$I$89,3,0)*0.475*44/12</f>
        <v>0</v>
      </c>
      <c r="AC52" s="22">
        <f t="shared" si="3"/>
        <v>8.5778142330141431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221.8000000000001</v>
      </c>
      <c r="AJ52" s="13">
        <f>AI52*VLOOKUP('Données projet'!$B$10,Paramètres!$A$1:$I$89,3,0)*VLOOKUP('Données projet'!$B$10,Paramètres!$A$1:$I$89,5,0)</f>
        <v>193.76448000000011</v>
      </c>
      <c r="AK52" s="13">
        <f t="shared" si="35"/>
        <v>48.371273222646494</v>
      </c>
      <c r="AL52" s="20">
        <f t="shared" si="4"/>
        <v>421.71977019610949</v>
      </c>
      <c r="AM52" s="59">
        <f t="shared" si="5"/>
        <v>655.94493419569994</v>
      </c>
      <c r="AN52" s="59">
        <f ca="1">AVERAGE(OFFSET($AM$3,0,0,'Données projet'!$E$10+1,1))-AVERAGE(OFFSET($H$3,0,0,'Données projet'!$E$10+1,1))</f>
        <v>436.77894860279537</v>
      </c>
      <c r="AO52" s="59">
        <f t="shared" si="36"/>
        <v>398.63561969573072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22.574554475257276</v>
      </c>
      <c r="AV52" s="21">
        <f>EXP(-LN(2)/25)*AV51+(1-EXP(-LN(2)/25))/(LN(2)/25)*Calculateur!AQ52*Calculateur!AS52*VLOOKUP('Données projet'!$B$10,Paramètres!$A$1:$I$89,3,0)*0.475*44/12</f>
        <v>14.296151725566956</v>
      </c>
      <c r="AW52" s="21">
        <f>EXP(-LN(2)/2)*AW51+(1-EXP(-LN(2)/2))/(LN(2)/2)*AQ52*AT52*VLOOKUP('Données projet'!$B$10,Paramètres!$A$1:$I$89,3,0)*0.475*44/12</f>
        <v>2.1809936651024367E-3</v>
      </c>
      <c r="AX52" s="21">
        <f t="shared" si="6"/>
        <v>36.87288719448933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168.50807999999992</v>
      </c>
      <c r="BF52" s="13">
        <f t="shared" si="37"/>
        <v>42.755711908378117</v>
      </c>
      <c r="BG52" s="20">
        <f t="shared" si="7"/>
        <v>367.95110424042508</v>
      </c>
      <c r="BH52" s="59">
        <f t="shared" si="8"/>
        <v>602.17626824001559</v>
      </c>
      <c r="BI52" s="59">
        <f ca="1">AVERAGE(OFFSET($BH$3,0,0,'Données projet'!$E$11+1,1))-AVERAGE(OFFSET($H$3,0,0,'Données projet'!$E$11+1,1))</f>
        <v>344.97546176735341</v>
      </c>
      <c r="BJ52" s="59">
        <f t="shared" si="38"/>
        <v>331.15461126257492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3.9343379822281253</v>
      </c>
      <c r="BQ52" s="21">
        <f>EXP(-LN(2)/25)*BQ51+(1-EXP(-LN(2)/25))/(LN(2)/25)*Calculateur!BL52*Calculateur!BN52*VLOOKUP('Données projet'!$B$11,Paramètres!$A$1:$I$89,3,0)*0.475*44/12</f>
        <v>6.697328410248633</v>
      </c>
      <c r="BR52" s="21">
        <f>EXP(-LN(2)/2)*BR51+(1-EXP(-LN(2)/2))/(LN(2)/2)*BL52*BO52*VLOOKUP('Données projet'!$B$11,Paramètres!$A$1:$I$89,3,0)*0.475*44/12</f>
        <v>1.9958296801573847</v>
      </c>
      <c r="BS52" s="22">
        <f t="shared" si="9"/>
        <v>12.627496072634143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602.17626824001559</v>
      </c>
      <c r="CD52" s="59">
        <f ca="1">AVERAGE(OFFSET($CC$3,0,0,'Données projet'!$E$12+1,1))-AVERAGE(OFFSET($H$3,0,0,'Données projet'!$E$12+1,1))</f>
        <v>344.97546176735341</v>
      </c>
      <c r="CE52" s="59">
        <f t="shared" si="40"/>
        <v>331.15461126257492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3.9343379822281253</v>
      </c>
      <c r="CL52" s="21">
        <f>EXP(-LN(2)/25)*CL51+(1-EXP(-LN(2)/25))/(LN(2)/25)*Calculateur!CG52*Calculateur!CI52*VLOOKUP('Données projet'!$B$12,Paramètres!$A$1:$I$89,3,0)*0.475*44/12</f>
        <v>6.697328410248633</v>
      </c>
      <c r="CM52" s="21">
        <f>EXP(-LN(2)/2)*CM51+(1-EXP(-LN(2)/2))/(LN(2)/2)*CG52*CJ52*VLOOKUP('Données projet'!$B$12,Paramètres!$A$1:$I$89,3,0)*0.475*44/12</f>
        <v>1.9958296801573847</v>
      </c>
      <c r="CN52" s="22">
        <f t="shared" si="12"/>
        <v>12.627496072634143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227.19465047672969</v>
      </c>
      <c r="CZ52" s="59">
        <f t="shared" si="42"/>
        <v>529.77979244134417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67.613322655262905</v>
      </c>
      <c r="DG52" s="21">
        <f>EXP(-LN(2)/25)*DG51+(1-EXP(-LN(2)/25))/(LN(2)/25)*Calculateur!DB52*Calculateur!DD52*VLOOKUP('Données projet'!$B$13,Paramètres!$A$1:$I$89,3,0)*0.475*44/12</f>
        <v>18.709827400910999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86.323150056173901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240.09151195692266</v>
      </c>
      <c r="DU52" s="59">
        <f t="shared" si="44"/>
        <v>559.47775134103165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72.032494070639515</v>
      </c>
      <c r="EB52" s="21">
        <f>EXP(-LN(2)/25)*EB51+(1-EXP(-LN(2)/25))/(LN(2)/25)*Calculateur!DW52*Calculateur!DY52*VLOOKUP('Données projet'!$B$14,Paramètres!$A$1:$I$89,3,0)*0.475*44/12</f>
        <v>19.93269193691825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91.965186007557762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10.375</v>
      </c>
      <c r="EJ52" s="12">
        <f>IF('Données projet'!$A$192&gt;35,EJ51+EI52-ER51,IF(A52&lt;'Données projet'!$A$192,$EG$205^A52,IF(A52='Données projet'!$A$192,'Données projet'!$B$192,EJ51+EI52-ER51)))</f>
        <v>238.87499999999991</v>
      </c>
      <c r="EK52" s="17">
        <f>EJ52*VLOOKUP('Données projet'!$B$15,Paramètres!$A$1:$I$89,3,0)*VLOOKUP('Données projet'!$B$15,Paramètres!$A$1:$I$89,5,0)</f>
        <v>186.32249999999993</v>
      </c>
      <c r="EL52" s="13">
        <f t="shared" si="45"/>
        <v>46.725987276254116</v>
      </c>
      <c r="EM52" s="20">
        <f t="shared" si="19"/>
        <v>405.8927820061424</v>
      </c>
      <c r="EN52" s="59">
        <f t="shared" si="20"/>
        <v>640.11794600573285</v>
      </c>
      <c r="EO52" s="59">
        <f ca="1">AVERAGE(OFFSET($EN$3,0,0,'Données projet'!$E$15+1,1))-AVERAGE(OFFSET($H$3,0,0,'Données projet'!$E$15+1,1))</f>
        <v>328.79469965518484</v>
      </c>
      <c r="EP52" s="59">
        <f t="shared" si="46"/>
        <v>322.06400652269735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4.1474439132639604</v>
      </c>
      <c r="EX52" s="21">
        <f>EXP(-LN(2)/2)*EX51+(1-EXP(-LN(2)/2))/(LN(2)/2)*ER52*EU52*VLOOKUP('Données projet'!$B$15,Paramètres!$A$1:$I$89,3,0)*0.475*44/12</f>
        <v>2.2377025336089917</v>
      </c>
      <c r="EY52" s="22">
        <f t="shared" si="21"/>
        <v>6.3851464468729517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13.6</v>
      </c>
      <c r="FE52" s="12">
        <f>IF('Données projet'!$A$218&gt;35,FE51+FD52-FM51,IF(A52&lt;'Données projet'!$A$218,$FB$205^A52,IF(A52='Données projet'!$A$218,'Données projet'!$B$218,FE51+FD52-FM51)))</f>
        <v>260.40000000000015</v>
      </c>
      <c r="FF52" s="17">
        <f>FE52*VLOOKUP('Données projet'!$B$16,Paramètres!$A$1:$I$89,3,0)*VLOOKUP('Données projet'!$B$16,Paramètres!$A$1:$I$89,5,0)</f>
        <v>190.9252800000001</v>
      </c>
      <c r="FG52" s="13">
        <f t="shared" si="47"/>
        <v>47.744461246925432</v>
      </c>
      <c r="FH52" s="20">
        <f t="shared" si="22"/>
        <v>415.68313267172863</v>
      </c>
      <c r="FI52" s="59">
        <f t="shared" si="23"/>
        <v>649.90829667131902</v>
      </c>
      <c r="FJ52" s="59">
        <f ca="1">AVERAGE(OFFSET($FI$3,0,0,'Données projet'!$E$16+1,1))-AVERAGE(OFFSET($H$3,0,0,'Données projet'!$E$16+1,1))</f>
        <v>525.22234644068908</v>
      </c>
      <c r="FK52" s="59">
        <f t="shared" si="48"/>
        <v>311.5550296132094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7.2</v>
      </c>
      <c r="FZ52" s="12">
        <f>IF('Données projet'!$A$244&gt;35,FZ51+FY52-GH51,IF(A52&lt;'Données projet'!$A$244,$FW$205^A52,IF(A52='Données projet'!$A$244,'Données projet'!$B$244,FZ51+FY52-GH51)))</f>
        <v>211.7999999999999</v>
      </c>
      <c r="GA52" s="17">
        <f>FZ52*VLOOKUP('Données projet'!$B$17,Paramètres!$A$1:$I$89,3,0)*VLOOKUP('Données projet'!$B$17,Paramètres!$A$1:$I$89,5,0)</f>
        <v>138.77135999999993</v>
      </c>
      <c r="GB52" s="13">
        <f t="shared" si="49"/>
        <v>36.015397090902717</v>
      </c>
      <c r="GC52" s="20">
        <f t="shared" si="25"/>
        <v>304.42026859998879</v>
      </c>
      <c r="GD52" s="59">
        <f t="shared" si="26"/>
        <v>538.64543259957918</v>
      </c>
      <c r="GE52" s="59">
        <f ca="1">AVERAGE(OFFSET($GD$3,0,0,'Données projet'!$E$17+1,1))-AVERAGE(OFFSET($H$3,0,0,'Données projet'!$E$17+1,1))</f>
        <v>298.45881427802874</v>
      </c>
      <c r="GF52" s="59">
        <f t="shared" si="50"/>
        <v>287.00279305562356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2.6287141679260051</v>
      </c>
      <c r="GM52" s="21">
        <f>EXP(-LN(2)/25)*GM51+(1-EXP(-LN(2)/25))/(LN(2)/25)*Calculateur!GH52*Calculateur!GJ52*VLOOKUP('Données projet'!$B$17,Paramètres!$A$1:$I$89,3,0)*0.475*44/12</f>
        <v>4.4747965626744488</v>
      </c>
      <c r="GN52" s="21">
        <f>EXP(-LN(2)/2)*GN51+(1-EXP(-LN(2)/2))/(LN(2)/2)*GH52*GK52*VLOOKUP('Données projet'!$B$17,Paramètres!$A$1:$I$89,3,0)*0.475*44/12</f>
        <v>1.6436244424825517</v>
      </c>
      <c r="GO52" s="21">
        <f t="shared" si="27"/>
        <v>8.7471351730830058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135.66666666666666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11.25</v>
      </c>
      <c r="N53" s="13">
        <f>IF('Données projet'!$A$36&gt;35,N52+M53-V52,IF(A53&lt;'Données projet'!$A$36,$K$205^A53,IF(A53='Données projet'!$A$36,'Données projet'!$B$36,N52+M53-V52)))</f>
        <v>209.5</v>
      </c>
      <c r="O53" s="13">
        <f>N53*VLOOKUP('Données projet'!$B$9,Paramètres!$A$1:$I$89,3,0)*VLOOKUP('Données projet'!$B$9,Paramètres!$A$1:$I$89,5,0)</f>
        <v>189.5556</v>
      </c>
      <c r="P53" s="13">
        <f t="shared" si="33"/>
        <v>47.441688934734636</v>
      </c>
      <c r="Q53" s="20">
        <f t="shared" si="53"/>
        <v>412.77027822799613</v>
      </c>
      <c r="R53" s="59">
        <f t="shared" si="0"/>
        <v>648.02083681945737</v>
      </c>
      <c r="S53" s="59">
        <f ca="1">AVERAGE(OFFSET($R$3,0,0,'Données projet'!$E$9+1,1))-AVERAGE(OFFSET($H$3,0,0,'Données projet'!$E$9+1,1))</f>
        <v>600.52384738314299</v>
      </c>
      <c r="T53" s="59">
        <f t="shared" si="34"/>
        <v>314.84650287986256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8.3432534517247259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8.3432534517247259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230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230.00000000000009</v>
      </c>
      <c r="AJ53" s="13">
        <f>AI53*VLOOKUP('Données projet'!$B$10,Paramètres!$A$1:$I$89,3,0)*VLOOKUP('Données projet'!$B$10,Paramètres!$A$1:$I$89,5,0)</f>
        <v>200.92800000000011</v>
      </c>
      <c r="AK53" s="13">
        <f t="shared" si="35"/>
        <v>49.948059057189084</v>
      </c>
      <c r="AL53" s="20">
        <f t="shared" si="4"/>
        <v>436.94246952460452</v>
      </c>
      <c r="AM53" s="59">
        <f t="shared" si="5"/>
        <v>672.19302811606576</v>
      </c>
      <c r="AN53" s="59">
        <f ca="1">AVERAGE(OFFSET($AM$3,0,0,'Données projet'!$E$10+1,1))-AVERAGE(OFFSET($H$3,0,0,'Données projet'!$E$10+1,1))</f>
        <v>436.77894860279537</v>
      </c>
      <c r="AO53" s="59">
        <f t="shared" si="36"/>
        <v>398.63561969573072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0.215</v>
      </c>
      <c r="AS53" s="16">
        <f>IF(ISNA(VLOOKUP(A53,'Données projet'!$A$61:$I$81,6,0)),0%,VLOOKUP(A53,'Données projet'!$A$61:$I$81,6,0)*VLOOKUP('Données projet'!$B$10,Paramètres!$A$1:$I$89,7,0))</f>
        <v>0.129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27.945629550947235</v>
      </c>
      <c r="AV53" s="21">
        <f>EXP(-LN(2)/25)*AV52+(1-EXP(-LN(2)/25))/(LN(2)/25)*Calculateur!AQ53*Calculateur!AS53*VLOOKUP('Données projet'!$B$10,Paramètres!$A$1:$I$89,3,0)*0.475*44/12</f>
        <v>17.379737131319878</v>
      </c>
      <c r="AW53" s="21">
        <f>EXP(-LN(2)/2)*AW52+(1-EXP(-LN(2)/2))/(LN(2)/2)*AQ53*AT53*VLOOKUP('Données projet'!$B$10,Paramètres!$A$1:$I$89,3,0)*0.475*44/12</f>
        <v>1.542195410318835E-3</v>
      </c>
      <c r="AX53" s="21">
        <f t="shared" si="6"/>
        <v>45.326908877677432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174.23639999999992</v>
      </c>
      <c r="BF53" s="13">
        <f t="shared" si="37"/>
        <v>44.03747274965864</v>
      </c>
      <c r="BG53" s="20">
        <f t="shared" si="7"/>
        <v>380.160328372322</v>
      </c>
      <c r="BH53" s="59">
        <f t="shared" si="8"/>
        <v>615.41088696378324</v>
      </c>
      <c r="BI53" s="59">
        <f ca="1">AVERAGE(OFFSET($BH$3,0,0,'Données projet'!$E$11+1,1))-AVERAGE(OFFSET($H$3,0,0,'Données projet'!$E$11+1,1))</f>
        <v>344.97546176735341</v>
      </c>
      <c r="BJ53" s="59">
        <f t="shared" si="38"/>
        <v>331.15461126257492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0.159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0.4</v>
      </c>
      <c r="BP53" s="21">
        <f>EXP(-LN(2)/35)*BP52+(1-EXP(-LN(2)/35))/(LN(2)/35)*BL53*BM53*VLOOKUP('Données projet'!$B$11,Paramètres!$A$1:$I$89,3,0)*0.475*44/12</f>
        <v>6.2345095824900394</v>
      </c>
      <c r="BQ53" s="21">
        <f>EXP(-LN(2)/25)*BQ52+(1-EXP(-LN(2)/25))/(LN(2)/25)*Calculateur!BL53*Calculateur!BN53*VLOOKUP('Données projet'!$B$11,Paramètres!$A$1:$I$89,3,0)*0.475*44/12</f>
        <v>6.5141896126731904</v>
      </c>
      <c r="BR53" s="21">
        <f>EXP(-LN(2)/2)*BR52+(1-EXP(-LN(2)/2))/(LN(2)/2)*BL53*BO53*VLOOKUP('Données projet'!$B$11,Paramètres!$A$1:$I$89,3,0)*0.475*44/12</f>
        <v>6.5158207911009844</v>
      </c>
      <c r="BS53" s="22">
        <f t="shared" si="9"/>
        <v>19.264519986264215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615.41088696378324</v>
      </c>
      <c r="CD53" s="59">
        <f ca="1">AVERAGE(OFFSET($CC$3,0,0,'Données projet'!$E$12+1,1))-AVERAGE(OFFSET($H$3,0,0,'Données projet'!$E$12+1,1))</f>
        <v>344.97546176735341</v>
      </c>
      <c r="CE53" s="59">
        <f t="shared" si="40"/>
        <v>331.15461126257492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0.159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0.4</v>
      </c>
      <c r="CK53" s="21">
        <f>EXP(-LN(2)/35)*CK52+(1-EXP(-LN(2)/35))/(LN(2)/35)*CG53*CH53*VLOOKUP('Données projet'!$B$12,Paramètres!$A$1:$I$89,3,0)*0.475*44/12</f>
        <v>6.2345095824900394</v>
      </c>
      <c r="CL53" s="21">
        <f>EXP(-LN(2)/25)*CL52+(1-EXP(-LN(2)/25))/(LN(2)/25)*Calculateur!CG53*Calculateur!CI53*VLOOKUP('Données projet'!$B$12,Paramètres!$A$1:$I$89,3,0)*0.475*44/12</f>
        <v>6.5141896126731904</v>
      </c>
      <c r="CM53" s="21">
        <f>EXP(-LN(2)/2)*CM52+(1-EXP(-LN(2)/2))/(LN(2)/2)*CG53*CJ53*VLOOKUP('Données projet'!$B$12,Paramètres!$A$1:$I$89,3,0)*0.475*44/12</f>
        <v>6.5158207911009844</v>
      </c>
      <c r="CN53" s="22">
        <f t="shared" si="12"/>
        <v>19.264519986264215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227.19465047672969</v>
      </c>
      <c r="CZ53" s="59">
        <f t="shared" si="42"/>
        <v>529.77979244134417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66.287466638047903</v>
      </c>
      <c r="DG53" s="21">
        <f>EXP(-LN(2)/25)*DG52+(1-EXP(-LN(2)/25))/(LN(2)/25)*Calculateur!DB53*Calculateur!DD53*VLOOKUP('Données projet'!$B$13,Paramètres!$A$1:$I$89,3,0)*0.475*44/12</f>
        <v>18.198206186726026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84.485672824773928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240.09151195692266</v>
      </c>
      <c r="DU53" s="59">
        <f t="shared" si="44"/>
        <v>559.47775134103165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70.619980797397389</v>
      </c>
      <c r="EB53" s="21">
        <f>EXP(-LN(2)/25)*EB52+(1-EXP(-LN(2)/25))/(LN(2)/25)*Calculateur!DW53*Calculateur!DY53*VLOOKUP('Données projet'!$B$14,Paramètres!$A$1:$I$89,3,0)*0.475*44/12</f>
        <v>19.387631427688508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90.007612225085893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10.375</v>
      </c>
      <c r="EJ53" s="12">
        <f>IF('Données projet'!$A$192&gt;35,EJ52+EI53-ER52,IF(A53&lt;'Données projet'!$A$192,$EG$205^A53,IF(A53='Données projet'!$A$192,'Données projet'!$B$192,EJ52+EI53-ER52)))</f>
        <v>249.24999999999991</v>
      </c>
      <c r="EK53" s="17">
        <f>EJ53*VLOOKUP('Données projet'!$B$15,Paramètres!$A$1:$I$89,3,0)*VLOOKUP('Données projet'!$B$15,Paramètres!$A$1:$I$89,5,0)</f>
        <v>194.41499999999994</v>
      </c>
      <c r="EL53" s="13">
        <f t="shared" si="45"/>
        <v>48.514737888684927</v>
      </c>
      <c r="EM53" s="20">
        <f t="shared" si="19"/>
        <v>423.10262682279273</v>
      </c>
      <c r="EN53" s="59">
        <f t="shared" si="20"/>
        <v>658.35318541425386</v>
      </c>
      <c r="EO53" s="59">
        <f ca="1">AVERAGE(OFFSET($EN$3,0,0,'Données projet'!$E$15+1,1))-AVERAGE(OFFSET($H$3,0,0,'Données projet'!$E$15+1,1))</f>
        <v>328.79469965518484</v>
      </c>
      <c r="EP53" s="59">
        <f t="shared" si="46"/>
        <v>322.06400652269735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4.0340318413511609</v>
      </c>
      <c r="EX53" s="21">
        <f>EXP(-LN(2)/2)*EX52+(1-EXP(-LN(2)/2))/(LN(2)/2)*ER53*EU53*VLOOKUP('Données projet'!$B$15,Paramètres!$A$1:$I$89,3,0)*0.475*44/12</f>
        <v>1.5822946357932364</v>
      </c>
      <c r="EY53" s="22">
        <f t="shared" si="21"/>
        <v>5.6163264771443977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274</v>
      </c>
      <c r="FC53" s="12">
        <f>VLOOKUP(A53,'Données projet'!$A$217:$I$237,9,0)</f>
        <v>13.6</v>
      </c>
      <c r="FD53" s="12">
        <f t="array" ref="FD53">INDEX(FC:FC,MIN(IF(ISNUMBER(FC53:FC249),ROW(FC53:FC249),"")))</f>
        <v>13.6</v>
      </c>
      <c r="FE53" s="12">
        <f>IF('Données projet'!$A$218&gt;35,FE52+FD53-FM52,IF(A53&lt;'Données projet'!$A$218,$FB$205^A53,IF(A53='Données projet'!$A$218,'Données projet'!$B$218,FE52+FD53-FM52)))</f>
        <v>274.00000000000017</v>
      </c>
      <c r="FF53" s="17">
        <f>FE53*VLOOKUP('Données projet'!$B$16,Paramètres!$A$1:$I$89,3,0)*VLOOKUP('Données projet'!$B$16,Paramètres!$A$1:$I$89,5,0)</f>
        <v>200.89680000000016</v>
      </c>
      <c r="FG53" s="13">
        <f t="shared" si="47"/>
        <v>49.941205873360261</v>
      </c>
      <c r="FH53" s="20">
        <f t="shared" si="22"/>
        <v>436.8761935627694</v>
      </c>
      <c r="FI53" s="59">
        <f t="shared" si="23"/>
        <v>672.12675215423064</v>
      </c>
      <c r="FJ53" s="59">
        <f ca="1">AVERAGE(OFFSET($FI$3,0,0,'Données projet'!$E$16+1,1))-AVERAGE(OFFSET($H$3,0,0,'Données projet'!$E$16+1,1))</f>
        <v>525.22234644068908</v>
      </c>
      <c r="FK53" s="59">
        <f t="shared" si="48"/>
        <v>311.5550296132094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35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0.215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6.07522983798561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6.07522983798561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219</v>
      </c>
      <c r="FX53" s="12">
        <f>VLOOKUP(A53,'Données projet'!$A$243:$I$263,9,0)</f>
        <v>7.2</v>
      </c>
      <c r="FY53" s="12">
        <f t="array" ref="FY53">INDEX(FX:FX,MIN(IF(ISNUMBER(FX53:FX249),ROW(FX53:FX249),"")))</f>
        <v>7.2</v>
      </c>
      <c r="FZ53" s="12">
        <f>IF('Données projet'!$A$244&gt;35,FZ52+FY53-GH52,IF(A53&lt;'Données projet'!$A$244,$FW$205^A53,IF(A53='Données projet'!$A$244,'Données projet'!$B$244,FZ52+FY53-GH52)))</f>
        <v>218.99999999999989</v>
      </c>
      <c r="GA53" s="17">
        <f>FZ53*VLOOKUP('Données projet'!$B$17,Paramètres!$A$1:$I$89,3,0)*VLOOKUP('Données projet'!$B$17,Paramètres!$A$1:$I$89,5,0)</f>
        <v>143.48879999999991</v>
      </c>
      <c r="GB53" s="13">
        <f t="shared" si="49"/>
        <v>37.095092027878849</v>
      </c>
      <c r="GC53" s="20">
        <f t="shared" si="25"/>
        <v>314.51694528188881</v>
      </c>
      <c r="GD53" s="59">
        <f t="shared" si="26"/>
        <v>549.76750387335005</v>
      </c>
      <c r="GE53" s="59">
        <f ca="1">AVERAGE(OFFSET($GD$3,0,0,'Données projet'!$E$17+1,1))-AVERAGE(OFFSET($H$3,0,0,'Données projet'!$E$17+1,1))</f>
        <v>298.45881427802874</v>
      </c>
      <c r="GF53" s="59">
        <f t="shared" si="50"/>
        <v>287.00279305562356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17</v>
      </c>
      <c r="GI53" s="16">
        <f>IF(ISNA(VLOOKUP(A53,'Données projet'!$A$243:$I$263,5,0)),0%,VLOOKUP(A53,'Données projet'!$A$243:$I$263,5,0)*VLOOKUP('Données projet'!$B$17,Paramètres!$A$1:$I$89,7,0))</f>
        <v>0.129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0.4</v>
      </c>
      <c r="GL53" s="21">
        <f>EXP(-LN(2)/35)*GL52+(1-EXP(-LN(2)/35))/(LN(2)/35)*GH53*GI53*VLOOKUP('Données projet'!$B$17,Paramètres!$A$1:$I$89,3,0)*0.475*44/12</f>
        <v>4.1655657809755855</v>
      </c>
      <c r="GM53" s="21">
        <f>EXP(-LN(2)/25)*GM52+(1-EXP(-LN(2)/25))/(LN(2)/25)*Calculateur!GH53*Calculateur!GJ53*VLOOKUP('Données projet'!$B$17,Paramètres!$A$1:$I$89,3,0)*0.475*44/12</f>
        <v>4.352433015348792</v>
      </c>
      <c r="GN53" s="21">
        <f>EXP(-LN(2)/2)*GN52+(1-EXP(-LN(2)/2))/(LN(2)/2)*GH53*GK53*VLOOKUP('Données projet'!$B$17,Paramètres!$A$1:$I$89,3,0)*0.475*44/12</f>
        <v>5.365970063259633</v>
      </c>
      <c r="GO53" s="21">
        <f t="shared" si="27"/>
        <v>13.883968859584011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135.66666666666666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11.25</v>
      </c>
      <c r="N54" s="13">
        <f>IF('Données projet'!$A$36&gt;35,N53+M54-V53,IF(A54&lt;'Données projet'!$A$36,$K$205^A54,IF(A54='Données projet'!$A$36,'Données projet'!$B$36,N53+M54-V53)))</f>
        <v>220.75</v>
      </c>
      <c r="O54" s="13">
        <f>N54*VLOOKUP('Données projet'!$B$9,Paramètres!$A$1:$I$89,3,0)*VLOOKUP('Données projet'!$B$9,Paramètres!$A$1:$I$89,5,0)</f>
        <v>199.7346</v>
      </c>
      <c r="P54" s="13">
        <f t="shared" si="33"/>
        <v>49.685836331348902</v>
      </c>
      <c r="Q54" s="20">
        <f t="shared" si="53"/>
        <v>434.40725994376595</v>
      </c>
      <c r="R54" s="59">
        <f t="shared" si="0"/>
        <v>670.66542482336774</v>
      </c>
      <c r="S54" s="59">
        <f ca="1">AVERAGE(OFFSET($R$3,0,0,'Données projet'!$E$9+1,1))-AVERAGE(OFFSET($H$3,0,0,'Données projet'!$E$9+1,1))</f>
        <v>600.52384738314299</v>
      </c>
      <c r="T54" s="59">
        <f t="shared" si="34"/>
        <v>314.84650287986256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8.1151067473346838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8.1151067473346838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7.4</v>
      </c>
      <c r="AI54" s="13">
        <f>IF('Données projet'!$A$62&gt;35,AI53+AH54-AQ53,IF(A54&lt;'Données projet'!$A$62,$AF$205^A54,IF(A54='Données projet'!$A$62,'Données projet'!$B$62,AI53+AH54-AQ53)))</f>
        <v>209.40000000000009</v>
      </c>
      <c r="AJ54" s="13">
        <f>AI54*VLOOKUP('Données projet'!$B$10,Paramètres!$A$1:$I$89,3,0)*VLOOKUP('Données projet'!$B$10,Paramètres!$A$1:$I$89,5,0)</f>
        <v>182.93184000000011</v>
      </c>
      <c r="AK54" s="13">
        <f t="shared" si="35"/>
        <v>45.973851929814685</v>
      </c>
      <c r="AL54" s="20">
        <f t="shared" si="4"/>
        <v>398.67741344442743</v>
      </c>
      <c r="AM54" s="59">
        <f t="shared" si="5"/>
        <v>634.93557832402928</v>
      </c>
      <c r="AN54" s="59">
        <f ca="1">AVERAGE(OFFSET($AM$3,0,0,'Données projet'!$E$10+1,1))-AVERAGE(OFFSET($H$3,0,0,'Données projet'!$E$10+1,1))</f>
        <v>436.77894860279537</v>
      </c>
      <c r="AO54" s="59">
        <f t="shared" si="36"/>
        <v>398.63561969573072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27.397632800604118</v>
      </c>
      <c r="AV54" s="21">
        <f>EXP(-LN(2)/25)*AV53+(1-EXP(-LN(2)/25))/(LN(2)/25)*Calculateur!AQ54*Calculateur!AS54*VLOOKUP('Données projet'!$B$10,Paramètres!$A$1:$I$89,3,0)*0.475*44/12</f>
        <v>16.904487305503281</v>
      </c>
      <c r="AW54" s="21">
        <f>EXP(-LN(2)/2)*AW53+(1-EXP(-LN(2)/2))/(LN(2)/2)*AQ54*AT54*VLOOKUP('Données projet'!$B$10,Paramètres!$A$1:$I$89,3,0)*0.475*44/12</f>
        <v>1.0904968325512183E-3</v>
      </c>
      <c r="AX54" s="21">
        <f t="shared" si="6"/>
        <v>44.303210602939949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165.48479999999992</v>
      </c>
      <c r="BF54" s="13">
        <f t="shared" si="37"/>
        <v>42.077190125964002</v>
      </c>
      <c r="BG54" s="20">
        <f t="shared" si="7"/>
        <v>361.5037994693871</v>
      </c>
      <c r="BH54" s="59">
        <f t="shared" si="8"/>
        <v>597.76196434898895</v>
      </c>
      <c r="BI54" s="59">
        <f ca="1">AVERAGE(OFFSET($BH$3,0,0,'Données projet'!$E$11+1,1))-AVERAGE(OFFSET($H$3,0,0,'Données projet'!$E$11+1,1))</f>
        <v>344.97546176735341</v>
      </c>
      <c r="BJ54" s="59">
        <f t="shared" si="38"/>
        <v>331.15461126257492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6.1122546522527719</v>
      </c>
      <c r="BQ54" s="21">
        <f>EXP(-LN(2)/25)*BQ53+(1-EXP(-LN(2)/25))/(LN(2)/25)*Calculateur!BL54*Calculateur!BN54*VLOOKUP('Données projet'!$B$11,Paramètres!$A$1:$I$89,3,0)*0.475*44/12</f>
        <v>6.336058755148299</v>
      </c>
      <c r="BR54" s="21">
        <f>EXP(-LN(2)/2)*BR53+(1-EXP(-LN(2)/2))/(LN(2)/2)*BL54*BO54*VLOOKUP('Données projet'!$B$11,Paramètres!$A$1:$I$89,3,0)*0.475*44/12</f>
        <v>4.6073810663838008</v>
      </c>
      <c r="BS54" s="22">
        <f t="shared" si="9"/>
        <v>17.055694473784872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597.76196434898895</v>
      </c>
      <c r="CD54" s="59">
        <f ca="1">AVERAGE(OFFSET($CC$3,0,0,'Données projet'!$E$12+1,1))-AVERAGE(OFFSET($H$3,0,0,'Données projet'!$E$12+1,1))</f>
        <v>344.97546176735341</v>
      </c>
      <c r="CE54" s="59">
        <f t="shared" si="40"/>
        <v>331.15461126257492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6.1122546522527719</v>
      </c>
      <c r="CL54" s="21">
        <f>EXP(-LN(2)/25)*CL53+(1-EXP(-LN(2)/25))/(LN(2)/25)*Calculateur!CG54*Calculateur!CI54*VLOOKUP('Données projet'!$B$12,Paramètres!$A$1:$I$89,3,0)*0.475*44/12</f>
        <v>6.336058755148299</v>
      </c>
      <c r="CM54" s="21">
        <f>EXP(-LN(2)/2)*CM53+(1-EXP(-LN(2)/2))/(LN(2)/2)*CG54*CJ54*VLOOKUP('Données projet'!$B$12,Paramètres!$A$1:$I$89,3,0)*0.475*44/12</f>
        <v>4.6073810663838008</v>
      </c>
      <c r="CN54" s="22">
        <f t="shared" si="12"/>
        <v>17.055694473784872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227.19465047672969</v>
      </c>
      <c r="CZ54" s="59">
        <f t="shared" si="42"/>
        <v>529.77979244134417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64.987609848638172</v>
      </c>
      <c r="DG54" s="21">
        <f>EXP(-LN(2)/25)*DG53+(1-EXP(-LN(2)/25))/(LN(2)/25)*Calculateur!DB54*Calculateur!DD54*VLOOKUP('Données projet'!$B$13,Paramètres!$A$1:$I$89,3,0)*0.475*44/12</f>
        <v>17.70057528154793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82.688185130186099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240.09151195692266</v>
      </c>
      <c r="DU54" s="59">
        <f t="shared" si="44"/>
        <v>559.47775134103165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69.235166047895518</v>
      </c>
      <c r="EB54" s="21">
        <f>EXP(-LN(2)/25)*EB53+(1-EXP(-LN(2)/25))/(LN(2)/25)*Calculateur!DW54*Calculateur!DY54*VLOOKUP('Données projet'!$B$14,Paramètres!$A$1:$I$89,3,0)*0.475*44/12</f>
        <v>18.857475626747139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88.092641674642664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10.375</v>
      </c>
      <c r="EJ54" s="12">
        <f>IF('Données projet'!$A$192&gt;35,EJ53+EI54-ER53,IF(A54&lt;'Données projet'!$A$192,$EG$205^A54,IF(A54='Données projet'!$A$192,'Données projet'!$B$192,EJ53+EI54-ER53)))</f>
        <v>259.62499999999989</v>
      </c>
      <c r="EK54" s="17">
        <f>EJ54*VLOOKUP('Données projet'!$B$15,Paramètres!$A$1:$I$89,3,0)*VLOOKUP('Données projet'!$B$15,Paramètres!$A$1:$I$89,5,0)</f>
        <v>202.50749999999991</v>
      </c>
      <c r="EL54" s="13">
        <f t="shared" si="45"/>
        <v>50.294840086606349</v>
      </c>
      <c r="EM54" s="20">
        <f t="shared" si="19"/>
        <v>440.29740898417253</v>
      </c>
      <c r="EN54" s="59">
        <f t="shared" si="20"/>
        <v>676.55557386377438</v>
      </c>
      <c r="EO54" s="59">
        <f ca="1">AVERAGE(OFFSET($EN$3,0,0,'Données projet'!$E$15+1,1))-AVERAGE(OFFSET($H$3,0,0,'Données projet'!$E$15+1,1))</f>
        <v>328.79469965518484</v>
      </c>
      <c r="EP54" s="59">
        <f t="shared" si="46"/>
        <v>322.06400652269735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3.9237210285088988</v>
      </c>
      <c r="EX54" s="21">
        <f>EXP(-LN(2)/2)*EX53+(1-EXP(-LN(2)/2))/(LN(2)/2)*ER54*EU54*VLOOKUP('Données projet'!$B$15,Paramètres!$A$1:$I$89,3,0)*0.475*44/12</f>
        <v>1.1188512668044959</v>
      </c>
      <c r="EY54" s="22">
        <f t="shared" si="21"/>
        <v>5.0425722953133949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13.4</v>
      </c>
      <c r="FE54" s="12">
        <f>IF('Données projet'!$A$218&gt;35,FE53+FD54-FM53,IF(A54&lt;'Données projet'!$A$218,$FB$205^A54,IF(A54='Données projet'!$A$218,'Données projet'!$B$218,FE53+FD54-FM53)))</f>
        <v>252.40000000000015</v>
      </c>
      <c r="FF54" s="17">
        <f>FE54*VLOOKUP('Données projet'!$B$16,Paramètres!$A$1:$I$89,3,0)*VLOOKUP('Données projet'!$B$16,Paramètres!$A$1:$I$89,5,0)</f>
        <v>185.0596800000001</v>
      </c>
      <c r="FG54" s="13">
        <f t="shared" si="47"/>
        <v>46.44604914943055</v>
      </c>
      <c r="FH54" s="20">
        <f t="shared" si="22"/>
        <v>403.20581160192501</v>
      </c>
      <c r="FI54" s="59">
        <f t="shared" si="23"/>
        <v>639.46397648152686</v>
      </c>
      <c r="FJ54" s="59">
        <f ca="1">AVERAGE(OFFSET($FI$3,0,0,'Données projet'!$E$16+1,1))-AVERAGE(OFFSET($H$3,0,0,'Données projet'!$E$16+1,1))</f>
        <v>525.22234644068908</v>
      </c>
      <c r="FK54" s="59">
        <f t="shared" si="48"/>
        <v>311.5550296132094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5.909102358583441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5.909102358583441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6</v>
      </c>
      <c r="FZ54" s="12">
        <f>IF('Données projet'!$A$244&gt;35,FZ53+FY54-GH53,IF(A54&lt;'Données projet'!$A$244,$FW$205^A54,IF(A54='Données projet'!$A$244,'Données projet'!$B$244,FZ53+FY54-GH53)))</f>
        <v>207.99999999999989</v>
      </c>
      <c r="GA54" s="17">
        <f>FZ54*VLOOKUP('Données projet'!$B$17,Paramètres!$A$1:$I$89,3,0)*VLOOKUP('Données projet'!$B$17,Paramètres!$A$1:$I$89,5,0)</f>
        <v>136.28159999999991</v>
      </c>
      <c r="GB54" s="13">
        <f t="shared" si="49"/>
        <v>35.443842312892279</v>
      </c>
      <c r="GC54" s="20">
        <f t="shared" si="25"/>
        <v>299.08847869495389</v>
      </c>
      <c r="GD54" s="59">
        <f t="shared" si="26"/>
        <v>535.34664357455574</v>
      </c>
      <c r="GE54" s="59">
        <f ca="1">AVERAGE(OFFSET($GD$3,0,0,'Données projet'!$E$17+1,1))-AVERAGE(OFFSET($H$3,0,0,'Données projet'!$E$17+1,1))</f>
        <v>298.45881427802874</v>
      </c>
      <c r="GF54" s="59">
        <f t="shared" si="50"/>
        <v>287.00279305562356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4.0838815767549033</v>
      </c>
      <c r="GM54" s="21">
        <f>EXP(-LN(2)/25)*GM53+(1-EXP(-LN(2)/25))/(LN(2)/25)*Calculateur!GH54*Calculateur!GJ54*VLOOKUP('Données projet'!$B$17,Paramètres!$A$1:$I$89,3,0)*0.475*44/12</f>
        <v>4.2334155056595746</v>
      </c>
      <c r="GN54" s="21">
        <f>EXP(-LN(2)/2)*GN53+(1-EXP(-LN(2)/2))/(LN(2)/2)*GH54*GK54*VLOOKUP('Données projet'!$B$17,Paramètres!$A$1:$I$89,3,0)*0.475*44/12</f>
        <v>3.794313819374894</v>
      </c>
      <c r="GO54" s="21">
        <f t="shared" si="27"/>
        <v>12.111610901789371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135.66666666666666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232</v>
      </c>
      <c r="L55" s="12">
        <f>VLOOKUP(A55,'Données projet'!$A$35:$I$55,9,0)</f>
        <v>11.25</v>
      </c>
      <c r="M55" s="12">
        <f t="array" ref="M55">INDEX(L:L,MIN(IF(ISNUMBER(L55:L251),ROW(L55:L251),"")))</f>
        <v>11.25</v>
      </c>
      <c r="N55" s="13">
        <f>IF('Données projet'!$A$36&gt;35,N54+M55-V54,IF(A55&lt;'Données projet'!$A$36,$K$205^A55,IF(A55='Données projet'!$A$36,'Données projet'!$B$36,N54+M55-V54)))</f>
        <v>232</v>
      </c>
      <c r="O55" s="13">
        <f>N55*VLOOKUP('Données projet'!$B$9,Paramètres!$A$1:$I$89,3,0)*VLOOKUP('Données projet'!$B$9,Paramètres!$A$1:$I$89,5,0)</f>
        <v>209.9136</v>
      </c>
      <c r="P55" s="13">
        <f t="shared" si="33"/>
        <v>51.916704672341318</v>
      </c>
      <c r="Q55" s="20">
        <f t="shared" si="53"/>
        <v>456.02111397099435</v>
      </c>
      <c r="R55" s="59">
        <f t="shared" si="0"/>
        <v>693.26940542230773</v>
      </c>
      <c r="S55" s="59">
        <f ca="1">AVERAGE(OFFSET($R$3,0,0,'Données projet'!$E$9+1,1))-AVERAGE(OFFSET($H$3,0,0,'Données projet'!$E$9+1,1))</f>
        <v>600.52384738314299</v>
      </c>
      <c r="T55" s="59">
        <f t="shared" si="34"/>
        <v>314.84650287986256</v>
      </c>
      <c r="U55" s="15">
        <f>IF(ISNA(VLOOKUP(A55,'Données projet'!$A$35:$I$55,3,0)),0,VLOOKUP(A55,'Données projet'!$A$35:$I$55,3,0))</f>
        <v>3</v>
      </c>
      <c r="V55" s="15">
        <f>IF(ISNA(VLOOKUP(A55,'Données projet'!$A$35:$I$55,4,0)),0,VLOOKUP(A55,'Données projet'!$A$35:$I$55,4,0))</f>
        <v>63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0.215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21.387964579461087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21.387964579461087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7.4</v>
      </c>
      <c r="AI55" s="13">
        <f>IF('Données projet'!$A$62&gt;35,AI54+AH55-AQ54,IF(A55&lt;'Données projet'!$A$62,$AF$205^A55,IF(A55='Données projet'!$A$62,'Données projet'!$B$62,AI54+AH55-AQ54)))</f>
        <v>216.8000000000001</v>
      </c>
      <c r="AJ55" s="13">
        <f>AI55*VLOOKUP('Données projet'!$B$10,Paramètres!$A$1:$I$89,3,0)*VLOOKUP('Données projet'!$B$10,Paramètres!$A$1:$I$89,5,0)</f>
        <v>189.39648000000011</v>
      </c>
      <c r="AK55" s="13">
        <f t="shared" si="35"/>
        <v>47.406498452084548</v>
      </c>
      <c r="AL55" s="20">
        <f t="shared" si="4"/>
        <v>412.43185413738075</v>
      </c>
      <c r="AM55" s="59">
        <f t="shared" si="5"/>
        <v>649.68014558869413</v>
      </c>
      <c r="AN55" s="59">
        <f ca="1">AVERAGE(OFFSET($AM$3,0,0,'Données projet'!$E$10+1,1))-AVERAGE(OFFSET($H$3,0,0,'Données projet'!$E$10+1,1))</f>
        <v>436.77894860279537</v>
      </c>
      <c r="AO55" s="59">
        <f t="shared" si="36"/>
        <v>398.63561969573072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26.860381932290213</v>
      </c>
      <c r="AV55" s="21">
        <f>EXP(-LN(2)/25)*AV54+(1-EXP(-LN(2)/25))/(LN(2)/25)*Calculateur!AQ55*Calculateur!AS55*VLOOKUP('Données projet'!$B$10,Paramètres!$A$1:$I$89,3,0)*0.475*44/12</f>
        <v>16.442233211165941</v>
      </c>
      <c r="AW55" s="21">
        <f>EXP(-LN(2)/2)*AW54+(1-EXP(-LN(2)/2))/(LN(2)/2)*AQ55*AT55*VLOOKUP('Données projet'!$B$10,Paramètres!$A$1:$I$89,3,0)*0.475*44/12</f>
        <v>7.710977051594175E-4</v>
      </c>
      <c r="AX55" s="21">
        <f t="shared" si="6"/>
        <v>43.303386241161313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170.25839999999991</v>
      </c>
      <c r="BF55" s="13">
        <f t="shared" si="37"/>
        <v>43.147891472685018</v>
      </c>
      <c r="BG55" s="20">
        <f t="shared" si="7"/>
        <v>371.68262431492622</v>
      </c>
      <c r="BH55" s="59">
        <f t="shared" si="8"/>
        <v>608.93091576623965</v>
      </c>
      <c r="BI55" s="59">
        <f ca="1">AVERAGE(OFFSET($BH$3,0,0,'Données projet'!$E$11+1,1))-AVERAGE(OFFSET($H$3,0,0,'Données projet'!$E$11+1,1))</f>
        <v>344.97546176735341</v>
      </c>
      <c r="BJ55" s="59">
        <f t="shared" si="38"/>
        <v>331.15461126257492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5.9923970666293132</v>
      </c>
      <c r="BQ55" s="21">
        <f>EXP(-LN(2)/25)*BQ54+(1-EXP(-LN(2)/25))/(LN(2)/25)*Calculateur!BL55*Calculateur!BN55*VLOOKUP('Données projet'!$B$11,Paramètres!$A$1:$I$89,3,0)*0.475*44/12</f>
        <v>6.16279889528992</v>
      </c>
      <c r="BR55" s="21">
        <f>EXP(-LN(2)/2)*BR54+(1-EXP(-LN(2)/2))/(LN(2)/2)*BL55*BO55*VLOOKUP('Données projet'!$B$11,Paramètres!$A$1:$I$89,3,0)*0.475*44/12</f>
        <v>3.2579103955504927</v>
      </c>
      <c r="BS55" s="22">
        <f t="shared" si="9"/>
        <v>15.413106357469726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608.93091576623965</v>
      </c>
      <c r="CD55" s="59">
        <f ca="1">AVERAGE(OFFSET($CC$3,0,0,'Données projet'!$E$12+1,1))-AVERAGE(OFFSET($H$3,0,0,'Données projet'!$E$12+1,1))</f>
        <v>344.97546176735341</v>
      </c>
      <c r="CE55" s="59">
        <f t="shared" si="40"/>
        <v>331.15461126257492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5.9923970666293132</v>
      </c>
      <c r="CL55" s="21">
        <f>EXP(-LN(2)/25)*CL54+(1-EXP(-LN(2)/25))/(LN(2)/25)*Calculateur!CG55*Calculateur!CI55*VLOOKUP('Données projet'!$B$12,Paramètres!$A$1:$I$89,3,0)*0.475*44/12</f>
        <v>6.16279889528992</v>
      </c>
      <c r="CM55" s="21">
        <f>EXP(-LN(2)/2)*CM54+(1-EXP(-LN(2)/2))/(LN(2)/2)*CG55*CJ55*VLOOKUP('Données projet'!$B$12,Paramètres!$A$1:$I$89,3,0)*0.475*44/12</f>
        <v>3.2579103955504927</v>
      </c>
      <c r="CN55" s="22">
        <f t="shared" si="12"/>
        <v>15.413106357469726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227.19465047672969</v>
      </c>
      <c r="CZ55" s="59">
        <f t="shared" si="42"/>
        <v>529.77979244134417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63.713242458034408</v>
      </c>
      <c r="DG55" s="21">
        <f>EXP(-LN(2)/25)*DG54+(1-EXP(-LN(2)/25))/(LN(2)/25)*Calculateur!DB55*Calculateur!DD55*VLOOKUP('Données projet'!$B$13,Paramètres!$A$1:$I$89,3,0)*0.475*44/12</f>
        <v>17.216552119641204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80.929794577675608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240.09151195692266</v>
      </c>
      <c r="DU55" s="59">
        <f t="shared" si="44"/>
        <v>559.47775134103165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67.87750667097778</v>
      </c>
      <c r="EB55" s="21">
        <f>EXP(-LN(2)/25)*EB54+(1-EXP(-LN(2)/25))/(LN(2)/25)*Calculateur!DW55*Calculateur!DY55*VLOOKUP('Données projet'!$B$14,Paramètres!$A$1:$I$89,3,0)*0.475*44/12</f>
        <v>18.341816964062193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86.21932363503997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270</v>
      </c>
      <c r="EH55" s="12">
        <f>VLOOKUP(A55,'Données projet'!$A$191:$I$211,9,0)</f>
        <v>10.375</v>
      </c>
      <c r="EI55" s="12">
        <f t="array" ref="EI55">INDEX(EH:EH,MIN(IF(ISNUMBER(EH55:EH251),ROW(EH55:EH251),"")))</f>
        <v>10.375</v>
      </c>
      <c r="EJ55" s="12">
        <f>IF('Données projet'!$A$192&gt;35,EJ54+EI55-ER54,IF(A55&lt;'Données projet'!$A$192,$EG$205^A55,IF(A55='Données projet'!$A$192,'Données projet'!$B$192,EJ54+EI55-ER54)))</f>
        <v>269.99999999999989</v>
      </c>
      <c r="EK55" s="17">
        <f>EJ55*VLOOKUP('Données projet'!$B$15,Paramètres!$A$1:$I$89,3,0)*VLOOKUP('Données projet'!$B$15,Paramètres!$A$1:$I$89,5,0)</f>
        <v>210.59999999999991</v>
      </c>
      <c r="EL55" s="13">
        <f t="shared" si="45"/>
        <v>52.066679014659961</v>
      </c>
      <c r="EM55" s="20">
        <f t="shared" si="19"/>
        <v>457.47779928386586</v>
      </c>
      <c r="EN55" s="59">
        <f t="shared" si="20"/>
        <v>694.72609073517924</v>
      </c>
      <c r="EO55" s="59">
        <f ca="1">AVERAGE(OFFSET($EN$3,0,0,'Données projet'!$E$15+1,1))-AVERAGE(OFFSET($H$3,0,0,'Données projet'!$E$15+1,1))</f>
        <v>328.79469965518484</v>
      </c>
      <c r="EP55" s="59">
        <f t="shared" si="46"/>
        <v>322.06400652269735</v>
      </c>
      <c r="EQ55" s="15">
        <f>IF(ISNA(VLOOKUP(A55,'Données projet'!$A$191:$I$211,3,0)),0,VLOOKUP(A55,'Données projet'!$A$191:$I$211,3,0))</f>
        <v>7</v>
      </c>
      <c r="ER55" s="15">
        <f>IF(ISNA(VLOOKUP(A55,'Données projet'!$A$191:$I$211,4,0)),0,VLOOKUP(A55,'Données projet'!$A$191:$I$211,4,0))</f>
        <v>48</v>
      </c>
      <c r="ES55" s="16">
        <f>IF(ISNA(VLOOKUP(A55,'Données projet'!$A$191:$I$211,5,0)),0%,VLOOKUP(A55,'Données projet'!$A$191:$I$211,5,0)*VLOOKUP('Données projet'!$B$15,Paramètres!$A$1:$I$89,7,0))</f>
        <v>4.3000000000000003E-2</v>
      </c>
      <c r="ET55" s="16">
        <f>IF(ISNA(VLOOKUP(A55,'Données projet'!$A$191:$I$211,6,0)),0%,VLOOKUP(A55,'Données projet'!$A$191:$I$211,6,0)*VLOOKUP('Données projet'!$B$15,Paramètres!$A$1:$I$89,7,0))</f>
        <v>0.17200000000000001</v>
      </c>
      <c r="EU55" s="16">
        <f>IF(ISNA(VLOOKUP(A55,'Données projet'!$A$191:$I$211,7,0)),0%,VLOOKUP(A55,'Données projet'!$A$191:$I$211,7,0))</f>
        <v>0.3</v>
      </c>
      <c r="EV55" s="21">
        <f>EXP(-LN(2)/35)*EV54+(1-EXP(-LN(2)/35))/(LN(2)/35)*ER55*ES55*VLOOKUP('Données projet'!$B$15,Paramètres!$A$1:$I$89,3,0)*0.475*44/12</f>
        <v>1.7797188734176874</v>
      </c>
      <c r="EW55" s="21">
        <f>EXP(-LN(2)/25)*EW54+(1-EXP(-LN(2)/25))/(LN(2)/25)*Calculateur!ER55*Calculateur!ET55*VLOOKUP('Données projet'!$B$15,Paramètres!$A$1:$I$89,3,0)*0.475*44/12</f>
        <v>10.907272438992749</v>
      </c>
      <c r="EX55" s="21">
        <f>EXP(-LN(2)/2)*EX54+(1-EXP(-LN(2)/2))/(LN(2)/2)*ER55*EU55*VLOOKUP('Données projet'!$B$15,Paramètres!$A$1:$I$89,3,0)*0.475*44/12</f>
        <v>11.388841622744337</v>
      </c>
      <c r="EY55" s="22">
        <f t="shared" si="21"/>
        <v>24.075832935154772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13.4</v>
      </c>
      <c r="FE55" s="12">
        <f>IF('Données projet'!$A$218&gt;35,FE54+FD55-FM54,IF(A55&lt;'Données projet'!$A$218,$FB$205^A55,IF(A55='Données projet'!$A$218,'Données projet'!$B$218,FE54+FD55-FM54)))</f>
        <v>265.80000000000013</v>
      </c>
      <c r="FF55" s="17">
        <f>FE55*VLOOKUP('Données projet'!$B$16,Paramètres!$A$1:$I$89,3,0)*VLOOKUP('Données projet'!$B$16,Paramètres!$A$1:$I$89,5,0)</f>
        <v>194.88456000000011</v>
      </c>
      <c r="FG55" s="13">
        <f t="shared" si="47"/>
        <v>48.618259190257319</v>
      </c>
      <c r="FH55" s="20">
        <f t="shared" si="22"/>
        <v>424.10074342303164</v>
      </c>
      <c r="FI55" s="59">
        <f t="shared" si="23"/>
        <v>661.34903487434508</v>
      </c>
      <c r="FJ55" s="59">
        <f ca="1">AVERAGE(OFFSET($FI$3,0,0,'Données projet'!$E$16+1,1))-AVERAGE(OFFSET($H$3,0,0,'Données projet'!$E$16+1,1))</f>
        <v>525.22234644068908</v>
      </c>
      <c r="FK55" s="59">
        <f t="shared" si="48"/>
        <v>311.5550296132094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5.747517643841789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5.747517643841789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6</v>
      </c>
      <c r="FZ55" s="12">
        <f>IF('Données projet'!$A$244&gt;35,FZ54+FY55-GH54,IF(A55&lt;'Données projet'!$A$244,$FW$205^A55,IF(A55='Données projet'!$A$244,'Données projet'!$B$244,FZ54+FY55-GH54)))</f>
        <v>213.99999999999989</v>
      </c>
      <c r="GA55" s="17">
        <f>FZ55*VLOOKUP('Données projet'!$B$17,Paramètres!$A$1:$I$89,3,0)*VLOOKUP('Données projet'!$B$17,Paramètres!$A$1:$I$89,5,0)</f>
        <v>140.21279999999993</v>
      </c>
      <c r="GB55" s="13">
        <f t="shared" si="49"/>
        <v>36.345750676634552</v>
      </c>
      <c r="GC55" s="20">
        <f t="shared" si="25"/>
        <v>307.50614242847166</v>
      </c>
      <c r="GD55" s="59">
        <f t="shared" si="26"/>
        <v>544.7544338797851</v>
      </c>
      <c r="GE55" s="59">
        <f ca="1">AVERAGE(OFFSET($GD$3,0,0,'Données projet'!$E$17+1,1))-AVERAGE(OFFSET($H$3,0,0,'Données projet'!$E$17+1,1))</f>
        <v>298.45881427802874</v>
      </c>
      <c r="GF55" s="59">
        <f t="shared" si="50"/>
        <v>287.00279305562356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4.0037991499565431</v>
      </c>
      <c r="GM55" s="21">
        <f>EXP(-LN(2)/25)*GM54+(1-EXP(-LN(2)/25))/(LN(2)/25)*Calculateur!GH55*Calculateur!GJ55*VLOOKUP('Données projet'!$B$17,Paramètres!$A$1:$I$89,3,0)*0.475*44/12</f>
        <v>4.1176525360316676</v>
      </c>
      <c r="GN55" s="21">
        <f>EXP(-LN(2)/2)*GN54+(1-EXP(-LN(2)/2))/(LN(2)/2)*GH55*GK55*VLOOKUP('Données projet'!$B$17,Paramètres!$A$1:$I$89,3,0)*0.475*44/12</f>
        <v>2.6829850316298169</v>
      </c>
      <c r="GO55" s="21">
        <f t="shared" si="27"/>
        <v>10.804436717618028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135.66666666666666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10.125</v>
      </c>
      <c r="N56" s="13">
        <f>IF('Données projet'!$A$36&gt;35,N55+M56-V55,IF(A56&lt;'Données projet'!$A$36,$K$205^A56,IF(A56='Données projet'!$A$36,'Données projet'!$B$36,N55+M56-V55)))</f>
        <v>179.125</v>
      </c>
      <c r="O56" s="13">
        <f>N56*VLOOKUP('Données projet'!$B$9,Paramètres!$A$1:$I$89,3,0)*VLOOKUP('Données projet'!$B$9,Paramètres!$A$1:$I$89,5,0)</f>
        <v>162.07230000000001</v>
      </c>
      <c r="P56" s="13">
        <f t="shared" si="33"/>
        <v>41.309577807279609</v>
      </c>
      <c r="Q56" s="20">
        <f t="shared" si="53"/>
        <v>354.223437181012</v>
      </c>
      <c r="R56" s="59">
        <f t="shared" si="0"/>
        <v>592.44467872160919</v>
      </c>
      <c r="S56" s="59">
        <f ca="1">AVERAGE(OFFSET($R$3,0,0,'Données projet'!$E$9+1,1))-AVERAGE(OFFSET($H$3,0,0,'Données projet'!$E$9+1,1))</f>
        <v>600.52384738314299</v>
      </c>
      <c r="T56" s="59">
        <f t="shared" si="34"/>
        <v>314.84650287986256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20.803109563291549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20.803109563291549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7.4</v>
      </c>
      <c r="AI56" s="13">
        <f>IF('Données projet'!$A$62&gt;35,AI55+AH56-AQ55,IF(A56&lt;'Données projet'!$A$62,$AF$205^A56,IF(A56='Données projet'!$A$62,'Données projet'!$B$62,AI55+AH56-AQ55)))</f>
        <v>224.2000000000001</v>
      </c>
      <c r="AJ56" s="13">
        <f>AI56*VLOOKUP('Données projet'!$B$10,Paramètres!$A$1:$I$89,3,0)*VLOOKUP('Données projet'!$B$10,Paramètres!$A$1:$I$89,5,0)</f>
        <v>195.86112000000011</v>
      </c>
      <c r="AK56" s="13">
        <f t="shared" si="35"/>
        <v>48.833463106716465</v>
      </c>
      <c r="AL56" s="20">
        <f t="shared" si="4"/>
        <v>426.17639891086469</v>
      </c>
      <c r="AM56" s="59">
        <f t="shared" si="5"/>
        <v>664.39764045146183</v>
      </c>
      <c r="AN56" s="59">
        <f ca="1">AVERAGE(OFFSET($AM$3,0,0,'Données projet'!$E$10+1,1))-AVERAGE(OFFSET($H$3,0,0,'Données projet'!$E$10+1,1))</f>
        <v>436.77894860279537</v>
      </c>
      <c r="AO56" s="59">
        <f t="shared" si="36"/>
        <v>398.63561969573072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26.333666225813271</v>
      </c>
      <c r="AV56" s="21">
        <f>EXP(-LN(2)/25)*AV55+(1-EXP(-LN(2)/25))/(LN(2)/25)*Calculateur!AQ56*Calculateur!AS56*VLOOKUP('Données projet'!$B$10,Paramètres!$A$1:$I$89,3,0)*0.475*44/12</f>
        <v>15.992619479347143</v>
      </c>
      <c r="AW56" s="21">
        <f>EXP(-LN(2)/2)*AW55+(1-EXP(-LN(2)/2))/(LN(2)/2)*AQ56*AT56*VLOOKUP('Données projet'!$B$10,Paramètres!$A$1:$I$89,3,0)*0.475*44/12</f>
        <v>5.4524841627560917E-4</v>
      </c>
      <c r="AX56" s="21">
        <f t="shared" si="6"/>
        <v>42.326830953576689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175.03199999999993</v>
      </c>
      <c r="BF56" s="13">
        <f t="shared" si="37"/>
        <v>44.215103743191008</v>
      </c>
      <c r="BG56" s="20">
        <f t="shared" si="7"/>
        <v>381.85537235272426</v>
      </c>
      <c r="BH56" s="59">
        <f t="shared" si="8"/>
        <v>620.07661389332145</v>
      </c>
      <c r="BI56" s="59">
        <f ca="1">AVERAGE(OFFSET($BH$3,0,0,'Données projet'!$E$11+1,1))-AVERAGE(OFFSET($H$3,0,0,'Données projet'!$E$11+1,1))</f>
        <v>344.97546176735341</v>
      </c>
      <c r="BJ56" s="59">
        <f t="shared" si="38"/>
        <v>331.15461126257492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5.8748898151540212</v>
      </c>
      <c r="BQ56" s="21">
        <f>EXP(-LN(2)/25)*BQ55+(1-EXP(-LN(2)/25))/(LN(2)/25)*Calculateur!BL56*Calculateur!BN56*VLOOKUP('Données projet'!$B$11,Paramètres!$A$1:$I$89,3,0)*0.475*44/12</f>
        <v>5.9942768354107088</v>
      </c>
      <c r="BR56" s="21">
        <f>EXP(-LN(2)/2)*BR55+(1-EXP(-LN(2)/2))/(LN(2)/2)*BL56*BO56*VLOOKUP('Données projet'!$B$11,Paramètres!$A$1:$I$89,3,0)*0.475*44/12</f>
        <v>2.3036905331919009</v>
      </c>
      <c r="BS56" s="22">
        <f t="shared" si="9"/>
        <v>14.17285718375663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620.07661389332145</v>
      </c>
      <c r="CD56" s="59">
        <f ca="1">AVERAGE(OFFSET($CC$3,0,0,'Données projet'!$E$12+1,1))-AVERAGE(OFFSET($H$3,0,0,'Données projet'!$E$12+1,1))</f>
        <v>344.97546176735341</v>
      </c>
      <c r="CE56" s="59">
        <f t="shared" si="40"/>
        <v>331.15461126257492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5.8748898151540212</v>
      </c>
      <c r="CL56" s="21">
        <f>EXP(-LN(2)/25)*CL55+(1-EXP(-LN(2)/25))/(LN(2)/25)*Calculateur!CG56*Calculateur!CI56*VLOOKUP('Données projet'!$B$12,Paramètres!$A$1:$I$89,3,0)*0.475*44/12</f>
        <v>5.9942768354107088</v>
      </c>
      <c r="CM56" s="21">
        <f>EXP(-LN(2)/2)*CM55+(1-EXP(-LN(2)/2))/(LN(2)/2)*CG56*CJ56*VLOOKUP('Données projet'!$B$12,Paramètres!$A$1:$I$89,3,0)*0.475*44/12</f>
        <v>2.3036905331919009</v>
      </c>
      <c r="CN56" s="22">
        <f t="shared" si="12"/>
        <v>14.17285718375663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227.19465047672969</v>
      </c>
      <c r="CZ56" s="59">
        <f t="shared" si="42"/>
        <v>529.77979244134417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62.463864634673023</v>
      </c>
      <c r="DG56" s="21">
        <f>EXP(-LN(2)/25)*DG55+(1-EXP(-LN(2)/25))/(LN(2)/25)*Calculateur!DB56*Calculateur!DD56*VLOOKUP('Données projet'!$B$13,Paramètres!$A$1:$I$89,3,0)*0.475*44/12</f>
        <v>16.745764596550487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79.209629231223516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240.09151195692266</v>
      </c>
      <c r="DU56" s="59">
        <f t="shared" si="44"/>
        <v>559.47775134103165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66.546470166350943</v>
      </c>
      <c r="EB56" s="21">
        <f>EXP(-LN(2)/25)*EB55+(1-EXP(-LN(2)/25))/(LN(2)/25)*Calculateur!DW56*Calculateur!DY56*VLOOKUP('Données projet'!$B$14,Paramètres!$A$1:$I$89,3,0)*0.475*44/12</f>
        <v>17.84025901462568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84.38672918097663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9.375</v>
      </c>
      <c r="EJ56" s="12">
        <f>IF('Données projet'!$A$192&gt;35,EJ55+EI56-ER55,IF(A56&lt;'Données projet'!$A$192,$EG$205^A56,IF(A56='Données projet'!$A$192,'Données projet'!$B$192,EJ55+EI56-ER55)))</f>
        <v>231.37499999999989</v>
      </c>
      <c r="EK56" s="17">
        <f>EJ56*VLOOKUP('Données projet'!$B$15,Paramètres!$A$1:$I$89,3,0)*VLOOKUP('Données projet'!$B$15,Paramètres!$A$1:$I$89,5,0)</f>
        <v>180.47249999999991</v>
      </c>
      <c r="EL56" s="13">
        <f t="shared" si="45"/>
        <v>45.427292666837829</v>
      </c>
      <c r="EM56" s="20">
        <f t="shared" si="19"/>
        <v>393.44213889474241</v>
      </c>
      <c r="EN56" s="59">
        <f t="shared" si="20"/>
        <v>631.6633804353396</v>
      </c>
      <c r="EO56" s="59">
        <f ca="1">AVERAGE(OFFSET($EN$3,0,0,'Données projet'!$E$15+1,1))-AVERAGE(OFFSET($H$3,0,0,'Données projet'!$E$15+1,1))</f>
        <v>328.79469965518484</v>
      </c>
      <c r="EP56" s="59">
        <f t="shared" si="46"/>
        <v>322.06400652269735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1.7448196718312929</v>
      </c>
      <c r="EW56" s="21">
        <f>EXP(-LN(2)/25)*EW55+(1-EXP(-LN(2)/25))/(LN(2)/25)*Calculateur!ER56*Calculateur!ET56*VLOOKUP('Données projet'!$B$15,Paramètres!$A$1:$I$89,3,0)*0.475*44/12</f>
        <v>10.609012500559963</v>
      </c>
      <c r="EX56" s="21">
        <f>EXP(-LN(2)/2)*EX55+(1-EXP(-LN(2)/2))/(LN(2)/2)*ER56*EU56*VLOOKUP('Données projet'!$B$15,Paramètres!$A$1:$I$89,3,0)*0.475*44/12</f>
        <v>8.0531271413021255</v>
      </c>
      <c r="EY56" s="22">
        <f t="shared" si="21"/>
        <v>20.406959313693381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13.4</v>
      </c>
      <c r="FE56" s="12">
        <f>IF('Données projet'!$A$218&gt;35,FE55+FD56-FM55,IF(A56&lt;'Données projet'!$A$218,$FB$205^A56,IF(A56='Données projet'!$A$218,'Données projet'!$B$218,FE55+FD56-FM55)))</f>
        <v>279.2000000000001</v>
      </c>
      <c r="FF56" s="17">
        <f>FE56*VLOOKUP('Données projet'!$B$16,Paramètres!$A$1:$I$89,3,0)*VLOOKUP('Données projet'!$B$16,Paramètres!$A$1:$I$89,5,0)</f>
        <v>204.70944000000009</v>
      </c>
      <c r="FG56" s="13">
        <f t="shared" si="47"/>
        <v>50.777753970997388</v>
      </c>
      <c r="FH56" s="20">
        <f t="shared" si="22"/>
        <v>444.97352949948726</v>
      </c>
      <c r="FI56" s="59">
        <f t="shared" si="23"/>
        <v>683.19477104008445</v>
      </c>
      <c r="FJ56" s="59">
        <f ca="1">AVERAGE(OFFSET($FI$3,0,0,'Données projet'!$E$16+1,1))-AVERAGE(OFFSET($H$3,0,0,'Données projet'!$E$16+1,1))</f>
        <v>525.22234644068908</v>
      </c>
      <c r="FK56" s="59">
        <f t="shared" si="48"/>
        <v>311.5550296132094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5.5903514716221183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5.5903514716221183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6</v>
      </c>
      <c r="FZ56" s="12">
        <f>IF('Données projet'!$A$244&gt;35,FZ55+FY56-GH55,IF(A56&lt;'Données projet'!$A$244,$FW$205^A56,IF(A56='Données projet'!$A$244,'Données projet'!$B$244,FZ55+FY56-GH55)))</f>
        <v>219.99999999999989</v>
      </c>
      <c r="GA56" s="17">
        <f>FZ56*VLOOKUP('Données projet'!$B$17,Paramètres!$A$1:$I$89,3,0)*VLOOKUP('Données projet'!$B$17,Paramètres!$A$1:$I$89,5,0)</f>
        <v>144.14399999999992</v>
      </c>
      <c r="GB56" s="13">
        <f t="shared" si="49"/>
        <v>37.244720006976216</v>
      </c>
      <c r="GC56" s="20">
        <f t="shared" si="25"/>
        <v>315.91868734548342</v>
      </c>
      <c r="GD56" s="59">
        <f t="shared" si="26"/>
        <v>554.13992888608061</v>
      </c>
      <c r="GE56" s="59">
        <f ca="1">AVERAGE(OFFSET($GD$3,0,0,'Données projet'!$E$17+1,1))-AVERAGE(OFFSET($H$3,0,0,'Données projet'!$E$17+1,1))</f>
        <v>298.45881427802874</v>
      </c>
      <c r="GF56" s="59">
        <f t="shared" si="50"/>
        <v>287.00279305562356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3.9252870907022417</v>
      </c>
      <c r="GM56" s="21">
        <f>EXP(-LN(2)/25)*GM55+(1-EXP(-LN(2)/25))/(LN(2)/25)*Calculateur!GH56*Calculateur!GJ56*VLOOKUP('Données projet'!$B$17,Paramètres!$A$1:$I$89,3,0)*0.475*44/12</f>
        <v>4.0050551108959453</v>
      </c>
      <c r="GN56" s="21">
        <f>EXP(-LN(2)/2)*GN55+(1-EXP(-LN(2)/2))/(LN(2)/2)*GH56*GK56*VLOOKUP('Données projet'!$B$17,Paramètres!$A$1:$I$89,3,0)*0.475*44/12</f>
        <v>1.8971569096874474</v>
      </c>
      <c r="GO56" s="21">
        <f t="shared" si="27"/>
        <v>9.8274991112856345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135.66666666666666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10.125</v>
      </c>
      <c r="N57" s="13">
        <f>IF('Données projet'!$A$36&gt;35,N56+M57-V56,IF(A57&lt;'Données projet'!$A$36,$K$205^A57,IF(A57='Données projet'!$A$36,'Données projet'!$B$36,N56+M57-V56)))</f>
        <v>189.25</v>
      </c>
      <c r="O57" s="13">
        <f>N57*VLOOKUP('Données projet'!$B$9,Paramètres!$A$1:$I$89,3,0)*VLOOKUP('Données projet'!$B$9,Paramètres!$A$1:$I$89,5,0)</f>
        <v>171.23339999999999</v>
      </c>
      <c r="P57" s="13">
        <f t="shared" si="33"/>
        <v>43.366147824369882</v>
      </c>
      <c r="Q57" s="20">
        <f t="shared" si="53"/>
        <v>373.76087912744418</v>
      </c>
      <c r="R57" s="59">
        <f t="shared" si="0"/>
        <v>612.93819224846652</v>
      </c>
      <c r="S57" s="59">
        <f ca="1">AVERAGE(OFFSET($R$3,0,0,'Données projet'!$E$9+1,1))-AVERAGE(OFFSET($H$3,0,0,'Données projet'!$E$9+1,1))</f>
        <v>600.52384738314299</v>
      </c>
      <c r="T57" s="59">
        <f t="shared" si="34"/>
        <v>314.84650287986256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20.234247438295355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20.234247438295355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7.4</v>
      </c>
      <c r="AI57" s="13">
        <f>IF('Données projet'!$A$62&gt;35,AI56+AH57-AQ56,IF(A57&lt;'Données projet'!$A$62,$AF$205^A57,IF(A57='Données projet'!$A$62,'Données projet'!$B$62,AI56+AH57-AQ56)))</f>
        <v>231.60000000000011</v>
      </c>
      <c r="AJ57" s="13">
        <f>AI57*VLOOKUP('Données projet'!$B$10,Paramètres!$A$1:$I$89,3,0)*VLOOKUP('Données projet'!$B$10,Paramètres!$A$1:$I$89,5,0)</f>
        <v>202.32576000000014</v>
      </c>
      <c r="AK57" s="13">
        <f t="shared" si="35"/>
        <v>50.254954935552938</v>
      </c>
      <c r="AL57" s="20">
        <f t="shared" si="4"/>
        <v>439.91141184608824</v>
      </c>
      <c r="AM57" s="59">
        <f t="shared" si="5"/>
        <v>679.08872496711069</v>
      </c>
      <c r="AN57" s="59">
        <f ca="1">AVERAGE(OFFSET($AM$3,0,0,'Données projet'!$E$10+1,1))-AVERAGE(OFFSET($H$3,0,0,'Données projet'!$E$10+1,1))</f>
        <v>436.77894860279537</v>
      </c>
      <c r="AO57" s="59">
        <f t="shared" si="36"/>
        <v>398.63561969573072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25.817279093075484</v>
      </c>
      <c r="AV57" s="21">
        <f>EXP(-LN(2)/25)*AV56+(1-EXP(-LN(2)/25))/(LN(2)/25)*Calculateur!AQ57*Calculateur!AS57*VLOOKUP('Données projet'!$B$10,Paramètres!$A$1:$I$89,3,0)*0.475*44/12</f>
        <v>15.555300458669088</v>
      </c>
      <c r="AW57" s="21">
        <f>EXP(-LN(2)/2)*AW56+(1-EXP(-LN(2)/2))/(LN(2)/2)*AQ57*AT57*VLOOKUP('Données projet'!$B$10,Paramètres!$A$1:$I$89,3,0)*0.475*44/12</f>
        <v>3.8554885257970875E-4</v>
      </c>
      <c r="AX57" s="21">
        <f t="shared" si="6"/>
        <v>41.372965100597149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179.80559999999991</v>
      </c>
      <c r="BF57" s="13">
        <f t="shared" si="37"/>
        <v>45.278933028529984</v>
      </c>
      <c r="BG57" s="20">
        <f t="shared" si="7"/>
        <v>392.02222835802286</v>
      </c>
      <c r="BH57" s="59">
        <f t="shared" si="8"/>
        <v>631.19954147904525</v>
      </c>
      <c r="BI57" s="59">
        <f ca="1">AVERAGE(OFFSET($BH$3,0,0,'Données projet'!$E$11+1,1))-AVERAGE(OFFSET($H$3,0,0,'Données projet'!$E$11+1,1))</f>
        <v>344.97546176735341</v>
      </c>
      <c r="BJ57" s="59">
        <f t="shared" si="38"/>
        <v>331.15461126257492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5.759686809207814</v>
      </c>
      <c r="BQ57" s="21">
        <f>EXP(-LN(2)/25)*BQ56+(1-EXP(-LN(2)/25))/(LN(2)/25)*Calculateur!BL57*Calculateur!BN57*VLOOKUP('Données projet'!$B$11,Paramètres!$A$1:$I$89,3,0)*0.475*44/12</f>
        <v>5.8303630201210845</v>
      </c>
      <c r="BR57" s="21">
        <f>EXP(-LN(2)/2)*BR56+(1-EXP(-LN(2)/2))/(LN(2)/2)*BL57*BO57*VLOOKUP('Données projet'!$B$11,Paramètres!$A$1:$I$89,3,0)*0.475*44/12</f>
        <v>1.6289551977752466</v>
      </c>
      <c r="BS57" s="22">
        <f t="shared" si="9"/>
        <v>13.219005027104144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631.19954147904525</v>
      </c>
      <c r="CD57" s="59">
        <f ca="1">AVERAGE(OFFSET($CC$3,0,0,'Données projet'!$E$12+1,1))-AVERAGE(OFFSET($H$3,0,0,'Données projet'!$E$12+1,1))</f>
        <v>344.97546176735341</v>
      </c>
      <c r="CE57" s="59">
        <f t="shared" si="40"/>
        <v>331.15461126257492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5.759686809207814</v>
      </c>
      <c r="CL57" s="21">
        <f>EXP(-LN(2)/25)*CL56+(1-EXP(-LN(2)/25))/(LN(2)/25)*Calculateur!CG57*Calculateur!CI57*VLOOKUP('Données projet'!$B$12,Paramètres!$A$1:$I$89,3,0)*0.475*44/12</f>
        <v>5.8303630201210845</v>
      </c>
      <c r="CM57" s="21">
        <f>EXP(-LN(2)/2)*CM56+(1-EXP(-LN(2)/2))/(LN(2)/2)*CG57*CJ57*VLOOKUP('Données projet'!$B$12,Paramètres!$A$1:$I$89,3,0)*0.475*44/12</f>
        <v>1.6289551977752466</v>
      </c>
      <c r="CN57" s="22">
        <f t="shared" si="12"/>
        <v>13.219005027104144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227.19465047672969</v>
      </c>
      <c r="CZ57" s="59">
        <f t="shared" si="42"/>
        <v>529.77979244134417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61.238986348382525</v>
      </c>
      <c r="DG57" s="21">
        <f>EXP(-LN(2)/25)*DG56+(1-EXP(-LN(2)/25))/(LN(2)/25)*Calculateur!DB57*Calculateur!DD57*VLOOKUP('Données projet'!$B$13,Paramètres!$A$1:$I$89,3,0)*0.475*44/12</f>
        <v>16.287850783036326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77.526837131418858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240.09151195692266</v>
      </c>
      <c r="DU57" s="59">
        <f t="shared" si="44"/>
        <v>559.47775134103165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65.241534475727732</v>
      </c>
      <c r="EB57" s="21">
        <f>EXP(-LN(2)/25)*EB56+(1-EXP(-LN(2)/25))/(LN(2)/25)*Calculateur!DW57*Calculateur!DY57*VLOOKUP('Données projet'!$B$14,Paramètres!$A$1:$I$89,3,0)*0.475*44/12</f>
        <v>17.352416193692292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82.593950669420025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9.375</v>
      </c>
      <c r="EJ57" s="12">
        <f>IF('Données projet'!$A$192&gt;35,EJ56+EI57-ER56,IF(A57&lt;'Données projet'!$A$192,$EG$205^A57,IF(A57='Données projet'!$A$192,'Données projet'!$B$192,EJ56+EI57-ER56)))</f>
        <v>240.74999999999989</v>
      </c>
      <c r="EK57" s="17">
        <f>EJ57*VLOOKUP('Données projet'!$B$15,Paramètres!$A$1:$I$89,3,0)*VLOOKUP('Données projet'!$B$15,Paramètres!$A$1:$I$89,5,0)</f>
        <v>187.78499999999991</v>
      </c>
      <c r="EL57" s="13">
        <f t="shared" si="45"/>
        <v>47.049914090154054</v>
      </c>
      <c r="EM57" s="20">
        <f t="shared" si="19"/>
        <v>409.0041420403515</v>
      </c>
      <c r="EN57" s="59">
        <f t="shared" si="20"/>
        <v>648.18145516137383</v>
      </c>
      <c r="EO57" s="59">
        <f ca="1">AVERAGE(OFFSET($EN$3,0,0,'Données projet'!$E$15+1,1))-AVERAGE(OFFSET($H$3,0,0,'Données projet'!$E$15+1,1))</f>
        <v>328.79469965518484</v>
      </c>
      <c r="EP57" s="59">
        <f t="shared" si="46"/>
        <v>322.06400652269735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1.7106048223015966</v>
      </c>
      <c r="EW57" s="21">
        <f>EXP(-LN(2)/25)*EW56+(1-EXP(-LN(2)/25))/(LN(2)/25)*Calculateur!ER57*Calculateur!ET57*VLOOKUP('Données projet'!$B$15,Paramètres!$A$1:$I$89,3,0)*0.475*44/12</f>
        <v>10.318908495828431</v>
      </c>
      <c r="EX57" s="21">
        <f>EXP(-LN(2)/2)*EX56+(1-EXP(-LN(2)/2))/(LN(2)/2)*ER57*EU57*VLOOKUP('Données projet'!$B$15,Paramètres!$A$1:$I$89,3,0)*0.475*44/12</f>
        <v>5.6944208113721695</v>
      </c>
      <c r="EY57" s="22">
        <f t="shared" si="21"/>
        <v>17.723934129502197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13.4</v>
      </c>
      <c r="FE57" s="12">
        <f>IF('Données projet'!$A$218&gt;35,FE56+FD57-FM56,IF(A57&lt;'Données projet'!$A$218,$FB$205^A57,IF(A57='Données projet'!$A$218,'Données projet'!$B$218,FE56+FD57-FM56)))</f>
        <v>292.60000000000008</v>
      </c>
      <c r="FF57" s="17">
        <f>FE57*VLOOKUP('Données projet'!$B$16,Paramètres!$A$1:$I$89,3,0)*VLOOKUP('Données projet'!$B$16,Paramètres!$A$1:$I$89,5,0)</f>
        <v>214.53432000000004</v>
      </c>
      <c r="FG57" s="13">
        <f t="shared" si="47"/>
        <v>52.925213420081342</v>
      </c>
      <c r="FH57" s="20">
        <f t="shared" si="22"/>
        <v>465.82535403997502</v>
      </c>
      <c r="FI57" s="59">
        <f t="shared" si="23"/>
        <v>705.00266716099736</v>
      </c>
      <c r="FJ57" s="59">
        <f ca="1">AVERAGE(OFFSET($FI$3,0,0,'Données projet'!$E$16+1,1))-AVERAGE(OFFSET($H$3,0,0,'Données projet'!$E$16+1,1))</f>
        <v>525.22234644068908</v>
      </c>
      <c r="FK57" s="59">
        <f t="shared" si="48"/>
        <v>311.5550296132094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5.4374830166468042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5.4374830166468042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6</v>
      </c>
      <c r="FZ57" s="12">
        <f>IF('Données projet'!$A$244&gt;35,FZ56+FY57-GH56,IF(A57&lt;'Données projet'!$A$244,$FW$205^A57,IF(A57='Données projet'!$A$244,'Données projet'!$B$244,FZ56+FY57-GH56)))</f>
        <v>225.99999999999989</v>
      </c>
      <c r="GA57" s="17">
        <f>FZ57*VLOOKUP('Données projet'!$B$17,Paramètres!$A$1:$I$89,3,0)*VLOOKUP('Données projet'!$B$17,Paramètres!$A$1:$I$89,5,0)</f>
        <v>148.07519999999991</v>
      </c>
      <c r="GB57" s="13">
        <f t="shared" si="49"/>
        <v>38.140839670017236</v>
      </c>
      <c r="GC57" s="20">
        <f t="shared" si="25"/>
        <v>324.32626909194659</v>
      </c>
      <c r="GD57" s="59">
        <f t="shared" si="26"/>
        <v>563.50358221296892</v>
      </c>
      <c r="GE57" s="59">
        <f ca="1">AVERAGE(OFFSET($GD$3,0,0,'Données projet'!$E$17+1,1))-AVERAGE(OFFSET($H$3,0,0,'Données projet'!$E$17+1,1))</f>
        <v>298.45881427802874</v>
      </c>
      <c r="GF57" s="59">
        <f t="shared" si="50"/>
        <v>287.00279305562356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3.8483146050422894</v>
      </c>
      <c r="GM57" s="21">
        <f>EXP(-LN(2)/25)*GM56+(1-EXP(-LN(2)/25))/(LN(2)/25)*Calculateur!GH57*Calculateur!GJ57*VLOOKUP('Données projet'!$B$17,Paramètres!$A$1:$I$89,3,0)*0.475*44/12</f>
        <v>3.8955366682718013</v>
      </c>
      <c r="GN57" s="21">
        <f>EXP(-LN(2)/2)*GN56+(1-EXP(-LN(2)/2))/(LN(2)/2)*GH57*GK57*VLOOKUP('Données projet'!$B$17,Paramètres!$A$1:$I$89,3,0)*0.475*44/12</f>
        <v>1.3414925158149087</v>
      </c>
      <c r="GO57" s="21">
        <f t="shared" si="27"/>
        <v>9.0853437891289985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135.66666666666666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10.125</v>
      </c>
      <c r="N58" s="13">
        <f>IF('Données projet'!$A$36&gt;35,N57+M58-V57,IF(A58&lt;'Données projet'!$A$36,$K$205^A58,IF(A58='Données projet'!$A$36,'Données projet'!$B$36,N57+M58-V57)))</f>
        <v>199.375</v>
      </c>
      <c r="O58" s="13">
        <f>N58*VLOOKUP('Données projet'!$B$9,Paramètres!$A$1:$I$89,3,0)*VLOOKUP('Données projet'!$B$9,Paramètres!$A$1:$I$89,5,0)</f>
        <v>180.39449999999999</v>
      </c>
      <c r="P58" s="13">
        <f t="shared" si="33"/>
        <v>45.409943962080618</v>
      </c>
      <c r="Q58" s="20">
        <f t="shared" si="53"/>
        <v>393.27607323395705</v>
      </c>
      <c r="R58" s="59">
        <f t="shared" si="0"/>
        <v>633.39287223094016</v>
      </c>
      <c r="S58" s="59">
        <f ca="1">AVERAGE(OFFSET($R$3,0,0,'Données projet'!$E$9+1,1))-AVERAGE(OFFSET($H$3,0,0,'Données projet'!$E$9+1,1))</f>
        <v>600.52384738314299</v>
      </c>
      <c r="T58" s="59">
        <f t="shared" si="34"/>
        <v>314.84650287986256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19.680940878022341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19.680940878022341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239</v>
      </c>
      <c r="AG58" s="12">
        <f>VLOOKUP(A58,'Données projet'!$A$61:$I$81,9,0)</f>
        <v>7.4</v>
      </c>
      <c r="AH58" s="12">
        <f t="array" ref="AH58">INDEX(AG:AG,MIN(IF(ISNUMBER(AG58:AG254),ROW(AG58:AG254),"")))</f>
        <v>7.4</v>
      </c>
      <c r="AI58" s="13">
        <f>IF('Données projet'!$A$62&gt;35,AI57+AH58-AQ57,IF(A58&lt;'Données projet'!$A$62,$AF$205^A58,IF(A58='Données projet'!$A$62,'Données projet'!$B$62,AI57+AH58-AQ57)))</f>
        <v>239.00000000000011</v>
      </c>
      <c r="AJ58" s="13">
        <f>AI58*VLOOKUP('Données projet'!$B$10,Paramètres!$A$1:$I$89,3,0)*VLOOKUP('Données projet'!$B$10,Paramètres!$A$1:$I$89,5,0)</f>
        <v>208.79040000000015</v>
      </c>
      <c r="AK58" s="13">
        <f t="shared" si="35"/>
        <v>51.671168863475195</v>
      </c>
      <c r="AL58" s="20">
        <f t="shared" si="4"/>
        <v>453.63723243721955</v>
      </c>
      <c r="AM58" s="59">
        <f t="shared" si="5"/>
        <v>693.75403143420272</v>
      </c>
      <c r="AN58" s="59">
        <f ca="1">AVERAGE(OFFSET($AM$3,0,0,'Données projet'!$E$10+1,1))-AVERAGE(OFFSET($H$3,0,0,'Données projet'!$E$10+1,1))</f>
        <v>436.77894860279537</v>
      </c>
      <c r="AO58" s="59">
        <f t="shared" si="36"/>
        <v>398.63561969573072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26</v>
      </c>
      <c r="AR58" s="16">
        <f>IF(ISNA(VLOOKUP(A58,'Données projet'!$A$61:$I$81,5,0)),0%,VLOOKUP(A58,'Données projet'!$A$61:$I$81,5,0)*VLOOKUP('Données projet'!$B$10,Paramètres!$A$1:$I$89,7,0))</f>
        <v>0.30099999999999999</v>
      </c>
      <c r="AS58" s="16">
        <f>IF(ISNA(VLOOKUP(A58,'Données projet'!$A$61:$I$81,6,0)),0%,VLOOKUP(A58,'Données projet'!$A$61:$I$81,6,0)*VLOOKUP('Données projet'!$B$10,Paramètres!$A$1:$I$89,7,0))</f>
        <v>4.3000000000000003E-2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32.868890812826081</v>
      </c>
      <c r="AV58" s="21">
        <f>EXP(-LN(2)/25)*AV57+(1-EXP(-LN(2)/25))/(LN(2)/25)*Calculateur!AQ58*Calculateur!AS58*VLOOKUP('Données projet'!$B$10,Paramètres!$A$1:$I$89,3,0)*0.475*44/12</f>
        <v>16.205384891141854</v>
      </c>
      <c r="AW58" s="21">
        <f>EXP(-LN(2)/2)*AW57+(1-EXP(-LN(2)/2))/(LN(2)/2)*AQ58*AT58*VLOOKUP('Données projet'!$B$10,Paramètres!$A$1:$I$89,3,0)*0.475*44/12</f>
        <v>2.7262420813780458E-4</v>
      </c>
      <c r="AX58" s="21">
        <f t="shared" si="6"/>
        <v>49.074548328176071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184.57919999999993</v>
      </c>
      <c r="BF58" s="13">
        <f t="shared" si="37"/>
        <v>46.339479465836618</v>
      </c>
      <c r="BG58" s="20">
        <f t="shared" si="7"/>
        <v>402.18336673633195</v>
      </c>
      <c r="BH58" s="59">
        <f t="shared" si="8"/>
        <v>642.30016573331511</v>
      </c>
      <c r="BI58" s="59">
        <f ca="1">AVERAGE(OFFSET($BH$3,0,0,'Données projet'!$E$11+1,1))-AVERAGE(OFFSET($H$3,0,0,'Données projet'!$E$11+1,1))</f>
        <v>344.97546176735341</v>
      </c>
      <c r="BJ58" s="59">
        <f t="shared" si="38"/>
        <v>331.15461126257492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0.26500000000000001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0.3</v>
      </c>
      <c r="BP58" s="21">
        <f>EXP(-LN(2)/35)*BP57+(1-EXP(-LN(2)/35))/(LN(2)/35)*BL58*BM58*VLOOKUP('Données projet'!$B$11,Paramètres!$A$1:$I$89,3,0)*0.475*44/12</f>
        <v>8.6766625099211669</v>
      </c>
      <c r="BQ58" s="21">
        <f>EXP(-LN(2)/25)*BQ57+(1-EXP(-LN(2)/25))/(LN(2)/25)*Calculateur!BL58*Calculateur!BN58*VLOOKUP('Données projet'!$B$11,Paramètres!$A$1:$I$89,3,0)*0.475*44/12</f>
        <v>5.6709314367304078</v>
      </c>
      <c r="BR58" s="21">
        <f>EXP(-LN(2)/2)*BR57+(1-EXP(-LN(2)/2))/(LN(2)/2)*BL58*BO58*VLOOKUP('Données projet'!$B$11,Paramètres!$A$1:$I$89,3,0)*0.475*44/12</f>
        <v>4.0794583183101327</v>
      </c>
      <c r="BS58" s="22">
        <f t="shared" si="9"/>
        <v>18.427052264961709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642.30016573331511</v>
      </c>
      <c r="CD58" s="59">
        <f ca="1">AVERAGE(OFFSET($CC$3,0,0,'Données projet'!$E$12+1,1))-AVERAGE(OFFSET($H$3,0,0,'Données projet'!$E$12+1,1))</f>
        <v>344.97546176735341</v>
      </c>
      <c r="CE58" s="59">
        <f t="shared" si="40"/>
        <v>331.15461126257492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0.26500000000000001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0.3</v>
      </c>
      <c r="CK58" s="21">
        <f>EXP(-LN(2)/35)*CK57+(1-EXP(-LN(2)/35))/(LN(2)/35)*CG58*CH58*VLOOKUP('Données projet'!$B$12,Paramètres!$A$1:$I$89,3,0)*0.475*44/12</f>
        <v>8.6766625099211669</v>
      </c>
      <c r="CL58" s="21">
        <f>EXP(-LN(2)/25)*CL57+(1-EXP(-LN(2)/25))/(LN(2)/25)*Calculateur!CG58*Calculateur!CI58*VLOOKUP('Données projet'!$B$12,Paramètres!$A$1:$I$89,3,0)*0.475*44/12</f>
        <v>5.6709314367304078</v>
      </c>
      <c r="CM58" s="21">
        <f>EXP(-LN(2)/2)*CM57+(1-EXP(-LN(2)/2))/(LN(2)/2)*CG58*CJ58*VLOOKUP('Données projet'!$B$12,Paramètres!$A$1:$I$89,3,0)*0.475*44/12</f>
        <v>4.0794583183101327</v>
      </c>
      <c r="CN58" s="22">
        <f t="shared" si="12"/>
        <v>18.427052264961709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227.19465047672969</v>
      </c>
      <c r="CZ58" s="59">
        <f t="shared" si="42"/>
        <v>529.77979244134417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60.038127178184205</v>
      </c>
      <c r="DG58" s="21">
        <f>EXP(-LN(2)/25)*DG57+(1-EXP(-LN(2)/25))/(LN(2)/25)*Calculateur!DB58*Calculateur!DD58*VLOOKUP('Données projet'!$B$13,Paramètres!$A$1:$I$89,3,0)*0.475*44/12</f>
        <v>15.842458646833352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75.880585825017562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240.09151195692266</v>
      </c>
      <c r="DU58" s="59">
        <f t="shared" si="44"/>
        <v>559.47775134103165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63.96218777806547</v>
      </c>
      <c r="EB58" s="21">
        <f>EXP(-LN(2)/25)*EB57+(1-EXP(-LN(2)/25))/(LN(2)/25)*Calculateur!DW58*Calculateur!DY58*VLOOKUP('Données projet'!$B$14,Paramètres!$A$1:$I$89,3,0)*0.475*44/12</f>
        <v>16.87791346035187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80.840101238417333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9.375</v>
      </c>
      <c r="EJ58" s="12">
        <f>IF('Données projet'!$A$192&gt;35,EJ57+EI58-ER57,IF(A58&lt;'Données projet'!$A$192,$EG$205^A58,IF(A58='Données projet'!$A$192,'Données projet'!$B$192,EJ57+EI58-ER57)))</f>
        <v>250.12499999999989</v>
      </c>
      <c r="EK58" s="17">
        <f>EJ58*VLOOKUP('Données projet'!$B$15,Paramètres!$A$1:$I$89,3,0)*VLOOKUP('Données projet'!$B$15,Paramètres!$A$1:$I$89,5,0)</f>
        <v>195.09749999999991</v>
      </c>
      <c r="EL58" s="13">
        <f t="shared" si="45"/>
        <v>48.66519532492579</v>
      </c>
      <c r="EM58" s="20">
        <f t="shared" si="19"/>
        <v>424.55336102424553</v>
      </c>
      <c r="EN58" s="59">
        <f t="shared" si="20"/>
        <v>664.67016002122864</v>
      </c>
      <c r="EO58" s="59">
        <f ca="1">AVERAGE(OFFSET($EN$3,0,0,'Données projet'!$E$15+1,1))-AVERAGE(OFFSET($H$3,0,0,'Données projet'!$E$15+1,1))</f>
        <v>328.79469965518484</v>
      </c>
      <c r="EP58" s="59">
        <f t="shared" si="46"/>
        <v>322.06400652269735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1.6770609051021801</v>
      </c>
      <c r="EW58" s="21">
        <f>EXP(-LN(2)/25)*EW57+(1-EXP(-LN(2)/25))/(LN(2)/25)*Calculateur!ER58*Calculateur!ET58*VLOOKUP('Données projet'!$B$15,Paramètres!$A$1:$I$89,3,0)*0.475*44/12</f>
        <v>10.036737400362188</v>
      </c>
      <c r="EX58" s="21">
        <f>EXP(-LN(2)/2)*EX57+(1-EXP(-LN(2)/2))/(LN(2)/2)*ER58*EU58*VLOOKUP('Données projet'!$B$15,Paramètres!$A$1:$I$89,3,0)*0.475*44/12</f>
        <v>4.0265635706510636</v>
      </c>
      <c r="EY58" s="22">
        <f t="shared" si="21"/>
        <v>15.740361876115433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306</v>
      </c>
      <c r="FC58" s="12">
        <f>VLOOKUP(A58,'Données projet'!$A$217:$I$237,9,0)</f>
        <v>13.4</v>
      </c>
      <c r="FD58" s="12">
        <f t="array" ref="FD58">INDEX(FC:FC,MIN(IF(ISNUMBER(FC58:FC254),ROW(FC58:FC254),"")))</f>
        <v>13.4</v>
      </c>
      <c r="FE58" s="12">
        <f>IF('Données projet'!$A$218&gt;35,FE57+FD58-FM57,IF(A58&lt;'Données projet'!$A$218,$FB$205^A58,IF(A58='Données projet'!$A$218,'Données projet'!$B$218,FE57+FD58-FM57)))</f>
        <v>306.00000000000006</v>
      </c>
      <c r="FF58" s="17">
        <f>FE58*VLOOKUP('Données projet'!$B$16,Paramètres!$A$1:$I$89,3,0)*VLOOKUP('Données projet'!$B$16,Paramètres!$A$1:$I$89,5,0)</f>
        <v>224.35920000000004</v>
      </c>
      <c r="FG58" s="13">
        <f t="shared" si="47"/>
        <v>55.061251669487255</v>
      </c>
      <c r="FH58" s="20">
        <f t="shared" si="22"/>
        <v>486.65728665769035</v>
      </c>
      <c r="FI58" s="59">
        <f t="shared" si="23"/>
        <v>726.77408565467351</v>
      </c>
      <c r="FJ58" s="59">
        <f ca="1">AVERAGE(OFFSET($FI$3,0,0,'Données projet'!$E$16+1,1))-AVERAGE(OFFSET($H$3,0,0,'Données projet'!$E$16+1,1))</f>
        <v>525.22234644068908</v>
      </c>
      <c r="FK58" s="59">
        <f t="shared" si="48"/>
        <v>311.5550296132094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35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0.215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11.364024595597403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11.364024595597403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232</v>
      </c>
      <c r="FX58" s="12">
        <f>VLOOKUP(A58,'Données projet'!$A$243:$I$263,9,0)</f>
        <v>6</v>
      </c>
      <c r="FY58" s="12">
        <f t="array" ref="FY58">INDEX(FX:FX,MIN(IF(ISNUMBER(FX58:FX254),ROW(FX58:FX254),"")))</f>
        <v>6</v>
      </c>
      <c r="FZ58" s="12">
        <f>IF('Données projet'!$A$244&gt;35,FZ57+FY58-GH57,IF(A58&lt;'Données projet'!$A$244,$FW$205^A58,IF(A58='Données projet'!$A$244,'Données projet'!$B$244,FZ57+FY58-GH57)))</f>
        <v>231.99999999999989</v>
      </c>
      <c r="GA58" s="17">
        <f>FZ58*VLOOKUP('Données projet'!$B$17,Paramètres!$A$1:$I$89,3,0)*VLOOKUP('Données projet'!$B$17,Paramètres!$A$1:$I$89,5,0)</f>
        <v>152.00639999999993</v>
      </c>
      <c r="GB58" s="13">
        <f t="shared" si="49"/>
        <v>39.03419401656145</v>
      </c>
      <c r="GC58" s="20">
        <f t="shared" si="25"/>
        <v>332.72903457884439</v>
      </c>
      <c r="GD58" s="59">
        <f t="shared" si="26"/>
        <v>572.84583357582756</v>
      </c>
      <c r="GE58" s="59">
        <f ca="1">AVERAGE(OFFSET($GD$3,0,0,'Données projet'!$E$17+1,1))-AVERAGE(OFFSET($H$3,0,0,'Données projet'!$E$17+1,1))</f>
        <v>298.45881427802874</v>
      </c>
      <c r="GF58" s="59">
        <f t="shared" si="50"/>
        <v>287.00279305562356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13</v>
      </c>
      <c r="GI58" s="16">
        <f>IF(ISNA(VLOOKUP(A58,'Données projet'!$A$243:$I$263,5,0)),0%,VLOOKUP(A58,'Données projet'!$A$243:$I$263,5,0)*VLOOKUP('Données projet'!$B$17,Paramètres!$A$1:$I$89,7,0))</f>
        <v>0.215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0.3</v>
      </c>
      <c r="GL58" s="21">
        <f>EXP(-LN(2)/35)*GL57+(1-EXP(-LN(2)/35))/(LN(2)/35)*GH58*GI58*VLOOKUP('Données projet'!$B$17,Paramètres!$A$1:$I$89,3,0)*0.475*44/12</f>
        <v>5.797281721390168</v>
      </c>
      <c r="GM58" s="21">
        <f>EXP(-LN(2)/25)*GM57+(1-EXP(-LN(2)/25))/(LN(2)/25)*Calculateur!GH58*Calculateur!GJ58*VLOOKUP('Données projet'!$B$17,Paramètres!$A$1:$I$89,3,0)*0.475*44/12</f>
        <v>3.7890130132205391</v>
      </c>
      <c r="GN58" s="21">
        <f>EXP(-LN(2)/2)*GN57+(1-EXP(-LN(2)/2))/(LN(2)/2)*GH58*GK58*VLOOKUP('Données projet'!$B$17,Paramètres!$A$1:$I$89,3,0)*0.475*44/12</f>
        <v>3.3595539091965803</v>
      </c>
      <c r="GO58" s="21">
        <f t="shared" si="27"/>
        <v>12.945848643807288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135.66666666666666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10.125</v>
      </c>
      <c r="N59" s="13">
        <f>IF('Données projet'!$A$36&gt;35,N58+M59-V58,IF(A59&lt;'Données projet'!$A$36,$K$205^A59,IF(A59='Données projet'!$A$36,'Données projet'!$B$36,N58+M59-V58)))</f>
        <v>209.5</v>
      </c>
      <c r="O59" s="13">
        <f>N59*VLOOKUP('Données projet'!$B$9,Paramètres!$A$1:$I$89,3,0)*VLOOKUP('Données projet'!$B$9,Paramètres!$A$1:$I$89,5,0)</f>
        <v>189.5556</v>
      </c>
      <c r="P59" s="13">
        <f t="shared" si="33"/>
        <v>47.441688934734636</v>
      </c>
      <c r="Q59" s="20">
        <f t="shared" si="53"/>
        <v>412.77027822799613</v>
      </c>
      <c r="R59" s="59">
        <f t="shared" si="0"/>
        <v>653.81026512136782</v>
      </c>
      <c r="S59" s="59">
        <f ca="1">AVERAGE(OFFSET($R$3,0,0,'Données projet'!$E$9+1,1))-AVERAGE(OFFSET($H$3,0,0,'Données projet'!$E$9+1,1))</f>
        <v>600.52384738314299</v>
      </c>
      <c r="T59" s="59">
        <f t="shared" si="34"/>
        <v>314.84650287986256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19.14276451473712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19.14276451473712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6.6</v>
      </c>
      <c r="AI59" s="13">
        <f>IF('Données projet'!$A$62&gt;35,AI58+AH59-AQ58,IF(A59&lt;'Données projet'!$A$62,$AF$205^A59,IF(A59='Données projet'!$A$62,'Données projet'!$B$62,AI58+AH59-AQ58)))</f>
        <v>219.60000000000011</v>
      </c>
      <c r="AJ59" s="13">
        <f>AI59*VLOOKUP('Données projet'!$B$10,Paramètres!$A$1:$I$89,3,0)*VLOOKUP('Données projet'!$B$10,Paramètres!$A$1:$I$89,5,0)</f>
        <v>191.84256000000011</v>
      </c>
      <c r="AK59" s="13">
        <f t="shared" si="35"/>
        <v>47.947087613384845</v>
      </c>
      <c r="AL59" s="20">
        <f t="shared" si="4"/>
        <v>417.6336362599788</v>
      </c>
      <c r="AM59" s="59">
        <f t="shared" si="5"/>
        <v>658.67362315335049</v>
      </c>
      <c r="AN59" s="59">
        <f ca="1">AVERAGE(OFFSET($AM$3,0,0,'Données projet'!$E$10+1,1))-AVERAGE(OFFSET($H$3,0,0,'Données projet'!$E$10+1,1))</f>
        <v>436.77894860279537</v>
      </c>
      <c r="AO59" s="59">
        <f t="shared" si="36"/>
        <v>398.63561969573072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32.224351912030379</v>
      </c>
      <c r="AV59" s="21">
        <f>EXP(-LN(2)/25)*AV58+(1-EXP(-LN(2)/25))/(LN(2)/25)*Calculateur!AQ59*Calculateur!AS59*VLOOKUP('Données projet'!$B$10,Paramètres!$A$1:$I$89,3,0)*0.475*44/12</f>
        <v>15.762247789089427</v>
      </c>
      <c r="AW59" s="21">
        <f>EXP(-LN(2)/2)*AW58+(1-EXP(-LN(2)/2))/(LN(2)/2)*AQ59*AT59*VLOOKUP('Données projet'!$B$10,Paramètres!$A$1:$I$89,3,0)*0.475*44/12</f>
        <v>1.9277442628985438E-4</v>
      </c>
      <c r="AX59" s="21">
        <f t="shared" si="6"/>
        <v>47.986792475546096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178.37351999999993</v>
      </c>
      <c r="BF59" s="13">
        <f t="shared" si="37"/>
        <v>44.960133388294842</v>
      </c>
      <c r="BG59" s="20">
        <f t="shared" si="7"/>
        <v>388.97277965128006</v>
      </c>
      <c r="BH59" s="59">
        <f t="shared" si="8"/>
        <v>630.01276654465164</v>
      </c>
      <c r="BI59" s="59">
        <f ca="1">AVERAGE(OFFSET($BH$3,0,0,'Données projet'!$E$11+1,1))-AVERAGE(OFFSET($H$3,0,0,'Données projet'!$E$11+1,1))</f>
        <v>344.97546176735341</v>
      </c>
      <c r="BJ59" s="59">
        <f t="shared" si="38"/>
        <v>331.15461126257492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8.5065184503431777</v>
      </c>
      <c r="BQ59" s="21">
        <f>EXP(-LN(2)/25)*BQ58+(1-EXP(-LN(2)/25))/(LN(2)/25)*Calculateur!BL59*Calculateur!BN59*VLOOKUP('Données projet'!$B$11,Paramètres!$A$1:$I$89,3,0)*0.475*44/12</f>
        <v>5.5158595183716912</v>
      </c>
      <c r="BR59" s="21">
        <f>EXP(-LN(2)/2)*BR58+(1-EXP(-LN(2)/2))/(LN(2)/2)*BL59*BO59*VLOOKUP('Données projet'!$B$11,Paramètres!$A$1:$I$89,3,0)*0.475*44/12</f>
        <v>2.8846126404449643</v>
      </c>
      <c r="BS59" s="22">
        <f t="shared" si="9"/>
        <v>16.906990609159834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630.01276654465164</v>
      </c>
      <c r="CD59" s="59">
        <f ca="1">AVERAGE(OFFSET($CC$3,0,0,'Données projet'!$E$12+1,1))-AVERAGE(OFFSET($H$3,0,0,'Données projet'!$E$12+1,1))</f>
        <v>344.97546176735341</v>
      </c>
      <c r="CE59" s="59">
        <f t="shared" si="40"/>
        <v>331.15461126257492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8.5065184503431777</v>
      </c>
      <c r="CL59" s="21">
        <f>EXP(-LN(2)/25)*CL58+(1-EXP(-LN(2)/25))/(LN(2)/25)*Calculateur!CG59*Calculateur!CI59*VLOOKUP('Données projet'!$B$12,Paramètres!$A$1:$I$89,3,0)*0.475*44/12</f>
        <v>5.5158595183716912</v>
      </c>
      <c r="CM59" s="21">
        <f>EXP(-LN(2)/2)*CM58+(1-EXP(-LN(2)/2))/(LN(2)/2)*CG59*CJ59*VLOOKUP('Données projet'!$B$12,Paramètres!$A$1:$I$89,3,0)*0.475*44/12</f>
        <v>2.8846126404449643</v>
      </c>
      <c r="CN59" s="22">
        <f t="shared" si="12"/>
        <v>16.906990609159834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227.19465047672969</v>
      </c>
      <c r="CZ59" s="59">
        <f t="shared" si="42"/>
        <v>529.77979244134417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58.860816123861703</v>
      </c>
      <c r="DG59" s="21">
        <f>EXP(-LN(2)/25)*DG58+(1-EXP(-LN(2)/25))/(LN(2)/25)*Calculateur!DB59*Calculateur!DD59*VLOOKUP('Données projet'!$B$13,Paramètres!$A$1:$I$89,3,0)*0.475*44/12</f>
        <v>15.409245782017003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74.270061905878705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240.09151195692266</v>
      </c>
      <c r="DU59" s="59">
        <f t="shared" si="44"/>
        <v>559.47775134103165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62.707928288819929</v>
      </c>
      <c r="EB59" s="21">
        <f>EXP(-LN(2)/25)*EB58+(1-EXP(-LN(2)/25))/(LN(2)/25)*Calculateur!DW59*Calculateur!DY59*VLOOKUP('Données projet'!$B$14,Paramètres!$A$1:$I$89,3,0)*0.475*44/12</f>
        <v>16.416386029207654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79.124314318027587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9.375</v>
      </c>
      <c r="EJ59" s="12">
        <f>IF('Données projet'!$A$192&gt;35,EJ58+EI59-ER58,IF(A59&lt;'Données projet'!$A$192,$EG$205^A59,IF(A59='Données projet'!$A$192,'Données projet'!$B$192,EJ58+EI59-ER58)))</f>
        <v>259.49999999999989</v>
      </c>
      <c r="EK59" s="17">
        <f>EJ59*VLOOKUP('Données projet'!$B$15,Paramètres!$A$1:$I$89,3,0)*VLOOKUP('Données projet'!$B$15,Paramètres!$A$1:$I$89,5,0)</f>
        <v>202.40999999999991</v>
      </c>
      <c r="EL59" s="13">
        <f t="shared" si="45"/>
        <v>50.273442991661817</v>
      </c>
      <c r="EM59" s="20">
        <f t="shared" si="19"/>
        <v>440.09032987714414</v>
      </c>
      <c r="EN59" s="59">
        <f t="shared" si="20"/>
        <v>681.13031677051572</v>
      </c>
      <c r="EO59" s="59">
        <f ca="1">AVERAGE(OFFSET($EN$3,0,0,'Données projet'!$E$15+1,1))-AVERAGE(OFFSET($H$3,0,0,'Données projet'!$E$15+1,1))</f>
        <v>328.79469965518484</v>
      </c>
      <c r="EP59" s="59">
        <f t="shared" si="46"/>
        <v>322.06400652269735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1.644174763659275</v>
      </c>
      <c r="EW59" s="21">
        <f>EXP(-LN(2)/25)*EW58+(1-EXP(-LN(2)/25))/(LN(2)/25)*Calculateur!ER59*Calculateur!ET59*VLOOKUP('Données projet'!$B$15,Paramètres!$A$1:$I$89,3,0)*0.475*44/12</f>
        <v>9.7622822883402041</v>
      </c>
      <c r="EX59" s="21">
        <f>EXP(-LN(2)/2)*EX58+(1-EXP(-LN(2)/2))/(LN(2)/2)*ER59*EU59*VLOOKUP('Données projet'!$B$15,Paramètres!$A$1:$I$89,3,0)*0.475*44/12</f>
        <v>2.8472104056860852</v>
      </c>
      <c r="EY59" s="22">
        <f t="shared" si="21"/>
        <v>14.253667457685562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13</v>
      </c>
      <c r="FE59" s="12">
        <f>IF('Données projet'!$A$218&gt;35,FE58+FD59-FM58,IF(A59&lt;'Données projet'!$A$218,$FB$205^A59,IF(A59='Données projet'!$A$218,'Données projet'!$B$218,FE58+FD59-FM58)))</f>
        <v>284.00000000000006</v>
      </c>
      <c r="FF59" s="17">
        <f>FE59*VLOOKUP('Données projet'!$B$16,Paramètres!$A$1:$I$89,3,0)*VLOOKUP('Données projet'!$B$16,Paramètres!$A$1:$I$89,5,0)</f>
        <v>208.22880000000004</v>
      </c>
      <c r="FG59" s="13">
        <f t="shared" si="47"/>
        <v>51.548343342352297</v>
      </c>
      <c r="FH59" s="20">
        <f t="shared" si="22"/>
        <v>452.44519132126362</v>
      </c>
      <c r="FI59" s="59">
        <f t="shared" si="23"/>
        <v>693.4851782146352</v>
      </c>
      <c r="FJ59" s="59">
        <f ca="1">AVERAGE(OFFSET($FI$3,0,0,'Données projet'!$E$16+1,1))-AVERAGE(OFFSET($H$3,0,0,'Données projet'!$E$16+1,1))</f>
        <v>525.22234644068908</v>
      </c>
      <c r="FK59" s="59">
        <f t="shared" si="48"/>
        <v>311.5550296132094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11.053274745422712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11.053274745422712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5.2</v>
      </c>
      <c r="FZ59" s="12">
        <f>IF('Données projet'!$A$244&gt;35,FZ58+FY59-GH58,IF(A59&lt;'Données projet'!$A$244,$FW$205^A59,IF(A59='Données projet'!$A$244,'Données projet'!$B$244,FZ58+FY59-GH58)))</f>
        <v>224.19999999999987</v>
      </c>
      <c r="GA59" s="17">
        <f>FZ59*VLOOKUP('Données projet'!$B$17,Paramètres!$A$1:$I$89,3,0)*VLOOKUP('Données projet'!$B$17,Paramètres!$A$1:$I$89,5,0)</f>
        <v>146.89583999999991</v>
      </c>
      <c r="GB59" s="13">
        <f t="shared" si="49"/>
        <v>37.872297874710249</v>
      </c>
      <c r="GC59" s="20">
        <f t="shared" si="25"/>
        <v>321.80450679845353</v>
      </c>
      <c r="GD59" s="59">
        <f t="shared" si="26"/>
        <v>562.84449369182516</v>
      </c>
      <c r="GE59" s="59">
        <f ca="1">AVERAGE(OFFSET($GD$3,0,0,'Données projet'!$E$17+1,1))-AVERAGE(OFFSET($H$3,0,0,'Données projet'!$E$17+1,1))</f>
        <v>298.45881427802874</v>
      </c>
      <c r="GF59" s="59">
        <f t="shared" si="50"/>
        <v>287.00279305562356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5.6836005628264061</v>
      </c>
      <c r="GM59" s="21">
        <f>EXP(-LN(2)/25)*GM58+(1-EXP(-LN(2)/25))/(LN(2)/25)*Calculateur!GH59*Calculateur!GJ59*VLOOKUP('Données projet'!$B$17,Paramètres!$A$1:$I$89,3,0)*0.475*44/12</f>
        <v>3.6854022531184891</v>
      </c>
      <c r="GN59" s="21">
        <f>EXP(-LN(2)/2)*GN58+(1-EXP(-LN(2)/2))/(LN(2)/2)*GH59*GK59*VLOOKUP('Données projet'!$B$17,Paramètres!$A$1:$I$89,3,0)*0.475*44/12</f>
        <v>2.375563350954677</v>
      </c>
      <c r="GO59" s="21">
        <f t="shared" si="27"/>
        <v>11.744566166899572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135.66666666666666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10.125</v>
      </c>
      <c r="N60" s="13">
        <f>IF('Données projet'!$A$36&gt;35,N59+M60-V59,IF(A60&lt;'Données projet'!$A$36,$K$205^A60,IF(A60='Données projet'!$A$36,'Données projet'!$B$36,N59+M60-V59)))</f>
        <v>219.625</v>
      </c>
      <c r="O60" s="13">
        <f>N60*VLOOKUP('Données projet'!$B$9,Paramètres!$A$1:$I$89,3,0)*VLOOKUP('Données projet'!$B$9,Paramètres!$A$1:$I$89,5,0)</f>
        <v>198.7167</v>
      </c>
      <c r="P60" s="13">
        <f t="shared" si="33"/>
        <v>49.462031653113236</v>
      </c>
      <c r="Q60" s="20">
        <f t="shared" si="53"/>
        <v>432.24462429583883</v>
      </c>
      <c r="R60" s="59">
        <f t="shared" si="0"/>
        <v>674.19178383953567</v>
      </c>
      <c r="S60" s="59">
        <f ca="1">AVERAGE(OFFSET($R$3,0,0,'Données projet'!$E$9+1,1))-AVERAGE(OFFSET($H$3,0,0,'Données projet'!$E$9+1,1))</f>
        <v>600.52384738314299</v>
      </c>
      <c r="T60" s="59">
        <f t="shared" si="34"/>
        <v>314.84650287986256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18.619304612407401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18.619304612407401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6.6</v>
      </c>
      <c r="AI60" s="13">
        <f>IF('Données projet'!$A$62&gt;35,AI59+AH60-AQ59,IF(A60&lt;'Données projet'!$A$62,$AF$205^A60,IF(A60='Données projet'!$A$62,'Données projet'!$B$62,AI59+AH60-AQ59)))</f>
        <v>226.2000000000001</v>
      </c>
      <c r="AJ60" s="13">
        <f>AI60*VLOOKUP('Données projet'!$B$10,Paramètres!$A$1:$I$89,3,0)*VLOOKUP('Données projet'!$B$10,Paramètres!$A$1:$I$89,5,0)</f>
        <v>197.60832000000011</v>
      </c>
      <c r="AK60" s="13">
        <f t="shared" si="35"/>
        <v>49.218181392381403</v>
      </c>
      <c r="AL60" s="20">
        <f t="shared" si="4"/>
        <v>429.88948992506448</v>
      </c>
      <c r="AM60" s="59">
        <f t="shared" si="5"/>
        <v>671.83664946876127</v>
      </c>
      <c r="AN60" s="59">
        <f ca="1">AVERAGE(OFFSET($AM$3,0,0,'Données projet'!$E$10+1,1))-AVERAGE(OFFSET($H$3,0,0,'Données projet'!$E$10+1,1))</f>
        <v>436.77894860279537</v>
      </c>
      <c r="AO60" s="59">
        <f t="shared" si="36"/>
        <v>398.63561969573072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31.592452025949367</v>
      </c>
      <c r="AV60" s="21">
        <f>EXP(-LN(2)/25)*AV59+(1-EXP(-LN(2)/25))/(LN(2)/25)*Calculateur!AQ60*Calculateur!AS60*VLOOKUP('Données projet'!$B$10,Paramètres!$A$1:$I$89,3,0)*0.475*44/12</f>
        <v>15.33122829439619</v>
      </c>
      <c r="AW60" s="21">
        <f>EXP(-LN(2)/2)*AW59+(1-EXP(-LN(2)/2))/(LN(2)/2)*AQ60*AT60*VLOOKUP('Données projet'!$B$10,Paramètres!$A$1:$I$89,3,0)*0.475*44/12</f>
        <v>1.3631210406890229E-4</v>
      </c>
      <c r="AX60" s="21">
        <f t="shared" si="6"/>
        <v>46.923816632449622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182.51063999999988</v>
      </c>
      <c r="BF60" s="13">
        <f t="shared" si="37"/>
        <v>45.880306213791371</v>
      </c>
      <c r="BG60" s="20">
        <f t="shared" si="7"/>
        <v>397.78089798901971</v>
      </c>
      <c r="BH60" s="59">
        <f t="shared" si="8"/>
        <v>639.72805753271655</v>
      </c>
      <c r="BI60" s="59">
        <f ca="1">AVERAGE(OFFSET($BH$3,0,0,'Données projet'!$E$11+1,1))-AVERAGE(OFFSET($H$3,0,0,'Données projet'!$E$11+1,1))</f>
        <v>344.97546176735341</v>
      </c>
      <c r="BJ60" s="59">
        <f t="shared" si="38"/>
        <v>331.15461126257492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8.339710811995884</v>
      </c>
      <c r="BQ60" s="21">
        <f>EXP(-LN(2)/25)*BQ59+(1-EXP(-LN(2)/25))/(LN(2)/25)*Calculateur!BL60*Calculateur!BN60*VLOOKUP('Données projet'!$B$11,Paramètres!$A$1:$I$89,3,0)*0.475*44/12</f>
        <v>5.365028049775372</v>
      </c>
      <c r="BR60" s="21">
        <f>EXP(-LN(2)/2)*BR59+(1-EXP(-LN(2)/2))/(LN(2)/2)*BL60*BO60*VLOOKUP('Données projet'!$B$11,Paramètres!$A$1:$I$89,3,0)*0.475*44/12</f>
        <v>2.0397291591550668</v>
      </c>
      <c r="BS60" s="22">
        <f t="shared" si="9"/>
        <v>15.744468020926323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639.72805753271655</v>
      </c>
      <c r="CD60" s="59">
        <f ca="1">AVERAGE(OFFSET($CC$3,0,0,'Données projet'!$E$12+1,1))-AVERAGE(OFFSET($H$3,0,0,'Données projet'!$E$12+1,1))</f>
        <v>344.97546176735341</v>
      </c>
      <c r="CE60" s="59">
        <f t="shared" si="40"/>
        <v>331.15461126257492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8.339710811995884</v>
      </c>
      <c r="CL60" s="21">
        <f>EXP(-LN(2)/25)*CL59+(1-EXP(-LN(2)/25))/(LN(2)/25)*Calculateur!CG60*Calculateur!CI60*VLOOKUP('Données projet'!$B$12,Paramètres!$A$1:$I$89,3,0)*0.475*44/12</f>
        <v>5.365028049775372</v>
      </c>
      <c r="CM60" s="21">
        <f>EXP(-LN(2)/2)*CM59+(1-EXP(-LN(2)/2))/(LN(2)/2)*CG60*CJ60*VLOOKUP('Données projet'!$B$12,Paramètres!$A$1:$I$89,3,0)*0.475*44/12</f>
        <v>2.0397291591550668</v>
      </c>
      <c r="CN60" s="22">
        <f t="shared" si="12"/>
        <v>15.744468020926323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227.19465047672969</v>
      </c>
      <c r="CZ60" s="59">
        <f t="shared" si="42"/>
        <v>529.77979244134417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57.706591421225625</v>
      </c>
      <c r="DG60" s="21">
        <f>EXP(-LN(2)/25)*DG59+(1-EXP(-LN(2)/25))/(LN(2)/25)*Calculateur!DB60*Calculateur!DD60*VLOOKUP('Données projet'!$B$13,Paramètres!$A$1:$I$89,3,0)*0.475*44/12</f>
        <v>14.98787914577073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72.694470566996358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240.09151195692266</v>
      </c>
      <c r="DU60" s="59">
        <f t="shared" si="44"/>
        <v>559.47775134103165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61.478264063135747</v>
      </c>
      <c r="EB60" s="21">
        <f>EXP(-LN(2)/25)*EB59+(1-EXP(-LN(2)/25))/(LN(2)/25)*Calculateur!DW60*Calculateur!DY60*VLOOKUP('Données projet'!$B$14,Paramètres!$A$1:$I$89,3,0)*0.475*44/12</f>
        <v>15.967479089938751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77.445743153074503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9.375</v>
      </c>
      <c r="EJ60" s="12">
        <f>IF('Données projet'!$A$192&gt;35,EJ59+EI60-ER59,IF(A60&lt;'Données projet'!$A$192,$EG$205^A60,IF(A60='Données projet'!$A$192,'Données projet'!$B$192,EJ59+EI60-ER59)))</f>
        <v>268.87499999999989</v>
      </c>
      <c r="EK60" s="17">
        <f>EJ60*VLOOKUP('Données projet'!$B$15,Paramètres!$A$1:$I$89,3,0)*VLOOKUP('Données projet'!$B$15,Paramètres!$A$1:$I$89,5,0)</f>
        <v>209.72249999999991</v>
      </c>
      <c r="EL60" s="13">
        <f t="shared" si="45"/>
        <v>51.874940300502246</v>
      </c>
      <c r="EM60" s="20">
        <f t="shared" si="19"/>
        <v>455.61554185670792</v>
      </c>
      <c r="EN60" s="59">
        <f t="shared" si="20"/>
        <v>697.56270140040465</v>
      </c>
      <c r="EO60" s="59">
        <f ca="1">AVERAGE(OFFSET($EN$3,0,0,'Données projet'!$E$15+1,1))-AVERAGE(OFFSET($H$3,0,0,'Données projet'!$E$15+1,1))</f>
        <v>328.79469965518484</v>
      </c>
      <c r="EP60" s="59">
        <f t="shared" si="46"/>
        <v>322.06400652269735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1.6119334993914993</v>
      </c>
      <c r="EW60" s="21">
        <f>EXP(-LN(2)/25)*EW59+(1-EXP(-LN(2)/25))/(LN(2)/25)*Calculateur!ER60*Calculateur!ET60*VLOOKUP('Données projet'!$B$15,Paramètres!$A$1:$I$89,3,0)*0.475*44/12</f>
        <v>9.4953321657894278</v>
      </c>
      <c r="EX60" s="21">
        <f>EXP(-LN(2)/2)*EX59+(1-EXP(-LN(2)/2))/(LN(2)/2)*ER60*EU60*VLOOKUP('Données projet'!$B$15,Paramètres!$A$1:$I$89,3,0)*0.475*44/12</f>
        <v>2.0132817853255318</v>
      </c>
      <c r="EY60" s="22">
        <f t="shared" si="21"/>
        <v>13.120547450506459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13</v>
      </c>
      <c r="FE60" s="12">
        <f>IF('Données projet'!$A$218&gt;35,FE59+FD60-FM59,IF(A60&lt;'Données projet'!$A$218,$FB$205^A60,IF(A60='Données projet'!$A$218,'Données projet'!$B$218,FE59+FD60-FM59)))</f>
        <v>297.00000000000006</v>
      </c>
      <c r="FF60" s="17">
        <f>FE60*VLOOKUP('Données projet'!$B$16,Paramètres!$A$1:$I$89,3,0)*VLOOKUP('Données projet'!$B$16,Paramètres!$A$1:$I$89,5,0)</f>
        <v>217.76040000000006</v>
      </c>
      <c r="FG60" s="13">
        <f t="shared" si="47"/>
        <v>53.627830230393037</v>
      </c>
      <c r="FH60" s="20">
        <f t="shared" si="22"/>
        <v>472.66783431793465</v>
      </c>
      <c r="FI60" s="59">
        <f t="shared" si="23"/>
        <v>714.61499386163143</v>
      </c>
      <c r="FJ60" s="59">
        <f ca="1">AVERAGE(OFFSET($FI$3,0,0,'Données projet'!$E$16+1,1))-AVERAGE(OFFSET($H$3,0,0,'Données projet'!$E$16+1,1))</f>
        <v>525.22234644068908</v>
      </c>
      <c r="FK60" s="59">
        <f t="shared" si="48"/>
        <v>311.5550296132094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10.751022366242672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10.751022366242672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5.2</v>
      </c>
      <c r="FZ60" s="12">
        <f>IF('Données projet'!$A$244&gt;35,FZ59+FY60-GH59,IF(A60&lt;'Données projet'!$A$244,$FW$205^A60,IF(A60='Données projet'!$A$244,'Données projet'!$B$244,FZ59+FY60-GH59)))</f>
        <v>229.39999999999986</v>
      </c>
      <c r="GA60" s="17">
        <f>FZ60*VLOOKUP('Données projet'!$B$17,Paramètres!$A$1:$I$89,3,0)*VLOOKUP('Données projet'!$B$17,Paramètres!$A$1:$I$89,5,0)</f>
        <v>150.3028799999999</v>
      </c>
      <c r="GB60" s="13">
        <f t="shared" si="49"/>
        <v>38.647408104976812</v>
      </c>
      <c r="GC60" s="20">
        <f t="shared" si="25"/>
        <v>329.08841844950109</v>
      </c>
      <c r="GD60" s="59">
        <f t="shared" si="26"/>
        <v>571.03557799319788</v>
      </c>
      <c r="GE60" s="59">
        <f ca="1">AVERAGE(OFFSET($GD$3,0,0,'Données projet'!$E$17+1,1))-AVERAGE(OFFSET($H$3,0,0,'Données projet'!$E$17+1,1))</f>
        <v>298.45881427802874</v>
      </c>
      <c r="GF60" s="59">
        <f t="shared" si="50"/>
        <v>287.00279305562356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5.5721486224434198</v>
      </c>
      <c r="GM60" s="21">
        <f>EXP(-LN(2)/25)*GM59+(1-EXP(-LN(2)/25))/(LN(2)/25)*Calculateur!GH60*Calculateur!GJ60*VLOOKUP('Données projet'!$B$17,Paramètres!$A$1:$I$89,3,0)*0.475*44/12</f>
        <v>3.5846247347000828</v>
      </c>
      <c r="GN60" s="21">
        <f>EXP(-LN(2)/2)*GN59+(1-EXP(-LN(2)/2))/(LN(2)/2)*GH60*GK60*VLOOKUP('Données projet'!$B$17,Paramètres!$A$1:$I$89,3,0)*0.475*44/12</f>
        <v>1.6797769545982906</v>
      </c>
      <c r="GO60" s="21">
        <f t="shared" si="27"/>
        <v>10.836550311741794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135.66666666666666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10.125</v>
      </c>
      <c r="N61" s="13">
        <f>IF('Données projet'!$A$36&gt;35,N60+M61-V60,IF(A61&lt;'Données projet'!$A$36,$K$205^A61,IF(A61='Données projet'!$A$36,'Données projet'!$B$36,N60+M61-V60)))</f>
        <v>229.75</v>
      </c>
      <c r="O61" s="13">
        <f>N61*VLOOKUP('Données projet'!$B$9,Paramètres!$A$1:$I$89,3,0)*VLOOKUP('Données projet'!$B$9,Paramètres!$A$1:$I$89,5,0)</f>
        <v>207.87780000000001</v>
      </c>
      <c r="P61" s="13">
        <f t="shared" si="33"/>
        <v>51.471557815090421</v>
      </c>
      <c r="Q61" s="20">
        <f t="shared" si="53"/>
        <v>451.70013152794922</v>
      </c>
      <c r="R61" s="59">
        <f t="shared" si="0"/>
        <v>694.53872630462229</v>
      </c>
      <c r="S61" s="59">
        <f ca="1">AVERAGE(OFFSET($R$3,0,0,'Données projet'!$E$9+1,1))-AVERAGE(OFFSET($H$3,0,0,'Données projet'!$E$9+1,1))</f>
        <v>600.52384738314299</v>
      </c>
      <c r="T61" s="59">
        <f t="shared" si="34"/>
        <v>314.84650287986256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18.110158748634447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18.110158748634447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6.6</v>
      </c>
      <c r="AI61" s="13">
        <f>IF('Données projet'!$A$62&gt;35,AI60+AH61-AQ60,IF(A61&lt;'Données projet'!$A$62,$AF$205^A61,IF(A61='Données projet'!$A$62,'Données projet'!$B$62,AI60+AH61-AQ60)))</f>
        <v>232.8000000000001</v>
      </c>
      <c r="AJ61" s="13">
        <f>AI61*VLOOKUP('Données projet'!$B$10,Paramètres!$A$1:$I$89,3,0)*VLOOKUP('Données projet'!$B$10,Paramètres!$A$1:$I$89,5,0)</f>
        <v>203.37408000000013</v>
      </c>
      <c r="AK61" s="13">
        <f t="shared" si="35"/>
        <v>50.484964849140624</v>
      </c>
      <c r="AL61" s="20">
        <f t="shared" si="4"/>
        <v>442.1378364455868</v>
      </c>
      <c r="AM61" s="59">
        <f t="shared" si="5"/>
        <v>684.97643122225986</v>
      </c>
      <c r="AN61" s="59">
        <f ca="1">AVERAGE(OFFSET($AM$3,0,0,'Données projet'!$E$10+1,1))-AVERAGE(OFFSET($H$3,0,0,'Données projet'!$E$10+1,1))</f>
        <v>436.77894860279537</v>
      </c>
      <c r="AO61" s="59">
        <f t="shared" si="36"/>
        <v>398.63561969573072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30.97294331121353</v>
      </c>
      <c r="AV61" s="21">
        <f>EXP(-LN(2)/25)*AV60+(1-EXP(-LN(2)/25))/(LN(2)/25)*Calculateur!AQ61*Calculateur!AS61*VLOOKUP('Données projet'!$B$10,Paramètres!$A$1:$I$89,3,0)*0.475*44/12</f>
        <v>14.911995050451671</v>
      </c>
      <c r="AW61" s="21">
        <f>EXP(-LN(2)/2)*AW60+(1-EXP(-LN(2)/2))/(LN(2)/2)*AQ61*AT61*VLOOKUP('Données projet'!$B$10,Paramètres!$A$1:$I$89,3,0)*0.475*44/12</f>
        <v>9.6387213144927188E-5</v>
      </c>
      <c r="AX61" s="21">
        <f t="shared" si="6"/>
        <v>45.885034748878347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186.64775999999989</v>
      </c>
      <c r="BF61" s="13">
        <f t="shared" si="37"/>
        <v>46.79805411155214</v>
      </c>
      <c r="BG61" s="20">
        <f t="shared" si="7"/>
        <v>406.58479291095313</v>
      </c>
      <c r="BH61" s="59">
        <f t="shared" si="8"/>
        <v>649.42338768762613</v>
      </c>
      <c r="BI61" s="59">
        <f ca="1">AVERAGE(OFFSET($BH$3,0,0,'Données projet'!$E$11+1,1))-AVERAGE(OFFSET($H$3,0,0,'Données projet'!$E$11+1,1))</f>
        <v>344.97546176735341</v>
      </c>
      <c r="BJ61" s="59">
        <f t="shared" si="38"/>
        <v>331.15461126257492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8.1761741696939687</v>
      </c>
      <c r="BQ61" s="21">
        <f>EXP(-LN(2)/25)*BQ60+(1-EXP(-LN(2)/25))/(LN(2)/25)*Calculateur!BL61*Calculateur!BN61*VLOOKUP('Données projet'!$B$11,Paramètres!$A$1:$I$89,3,0)*0.475*44/12</f>
        <v>5.2183210756197012</v>
      </c>
      <c r="BR61" s="21">
        <f>EXP(-LN(2)/2)*BR60+(1-EXP(-LN(2)/2))/(LN(2)/2)*BL61*BO61*VLOOKUP('Données projet'!$B$11,Paramètres!$A$1:$I$89,3,0)*0.475*44/12</f>
        <v>1.4423063202224824</v>
      </c>
      <c r="BS61" s="22">
        <f t="shared" si="9"/>
        <v>14.836801565536152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649.42338768762613</v>
      </c>
      <c r="CD61" s="59">
        <f ca="1">AVERAGE(OFFSET($CC$3,0,0,'Données projet'!$E$12+1,1))-AVERAGE(OFFSET($H$3,0,0,'Données projet'!$E$12+1,1))</f>
        <v>344.97546176735341</v>
      </c>
      <c r="CE61" s="59">
        <f t="shared" si="40"/>
        <v>331.15461126257492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8.1761741696939687</v>
      </c>
      <c r="CL61" s="21">
        <f>EXP(-LN(2)/25)*CL60+(1-EXP(-LN(2)/25))/(LN(2)/25)*Calculateur!CG61*Calculateur!CI61*VLOOKUP('Données projet'!$B$12,Paramètres!$A$1:$I$89,3,0)*0.475*44/12</f>
        <v>5.2183210756197012</v>
      </c>
      <c r="CM61" s="21">
        <f>EXP(-LN(2)/2)*CM60+(1-EXP(-LN(2)/2))/(LN(2)/2)*CG61*CJ61*VLOOKUP('Données projet'!$B$12,Paramètres!$A$1:$I$89,3,0)*0.475*44/12</f>
        <v>1.4423063202224824</v>
      </c>
      <c r="CN61" s="22">
        <f t="shared" si="12"/>
        <v>14.836801565536152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227.19465047672969</v>
      </c>
      <c r="CZ61" s="59">
        <f t="shared" si="42"/>
        <v>529.77979244134417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56.57500036100069</v>
      </c>
      <c r="DG61" s="21">
        <f>EXP(-LN(2)/25)*DG60+(1-EXP(-LN(2)/25))/(LN(2)/25)*Calculateur!DB61*Calculateur!DD61*VLOOKUP('Données projet'!$B$13,Paramètres!$A$1:$I$89,3,0)*0.475*44/12</f>
        <v>14.57803480235132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71.153035163352016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240.09151195692266</v>
      </c>
      <c r="DU61" s="59">
        <f t="shared" si="44"/>
        <v>559.47775134103165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60.272712802896109</v>
      </c>
      <c r="EB61" s="21">
        <f>EXP(-LN(2)/25)*EB60+(1-EXP(-LN(2)/25))/(LN(2)/25)*Calculateur!DW61*Calculateur!DY61*VLOOKUP('Données projet'!$B$14,Paramètres!$A$1:$I$89,3,0)*0.475*44/12</f>
        <v>15.530847534531144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75.803560337427257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9.375</v>
      </c>
      <c r="EJ61" s="12">
        <f>IF('Données projet'!$A$192&gt;35,EJ60+EI61-ER60,IF(A61&lt;'Données projet'!$A$192,$EG$205^A61,IF(A61='Données projet'!$A$192,'Données projet'!$B$192,EJ60+EI61-ER60)))</f>
        <v>278.24999999999989</v>
      </c>
      <c r="EK61" s="17">
        <f>EJ61*VLOOKUP('Données projet'!$B$15,Paramètres!$A$1:$I$89,3,0)*VLOOKUP('Données projet'!$B$15,Paramètres!$A$1:$I$89,5,0)</f>
        <v>217.03499999999991</v>
      </c>
      <c r="EL61" s="13">
        <f t="shared" si="45"/>
        <v>53.469949591969474</v>
      </c>
      <c r="EM61" s="20">
        <f t="shared" si="19"/>
        <v>471.12945387267996</v>
      </c>
      <c r="EN61" s="59">
        <f t="shared" si="20"/>
        <v>713.96804864935302</v>
      </c>
      <c r="EO61" s="59">
        <f ca="1">AVERAGE(OFFSET($EN$3,0,0,'Données projet'!$E$15+1,1))-AVERAGE(OFFSET($H$3,0,0,'Données projet'!$E$15+1,1))</f>
        <v>328.79469965518484</v>
      </c>
      <c r="EP61" s="59">
        <f t="shared" si="46"/>
        <v>322.06400652269735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1.5803244666507854</v>
      </c>
      <c r="EW61" s="21">
        <f>EXP(-LN(2)/25)*EW60+(1-EXP(-LN(2)/25))/(LN(2)/25)*Calculateur!ER61*Calculateur!ET61*VLOOKUP('Données projet'!$B$15,Paramètres!$A$1:$I$89,3,0)*0.475*44/12</f>
        <v>9.2356818083781</v>
      </c>
      <c r="EX61" s="21">
        <f>EXP(-LN(2)/2)*EX60+(1-EXP(-LN(2)/2))/(LN(2)/2)*ER61*EU61*VLOOKUP('Données projet'!$B$15,Paramètres!$A$1:$I$89,3,0)*0.475*44/12</f>
        <v>1.4236052028430426</v>
      </c>
      <c r="EY61" s="22">
        <f t="shared" si="21"/>
        <v>12.239611477871927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13</v>
      </c>
      <c r="FE61" s="12">
        <f>IF('Données projet'!$A$218&gt;35,FE60+FD61-FM60,IF(A61&lt;'Données projet'!$A$218,$FB$205^A61,IF(A61='Données projet'!$A$218,'Données projet'!$B$218,FE60+FD61-FM60)))</f>
        <v>310.00000000000006</v>
      </c>
      <c r="FF61" s="17">
        <f>FE61*VLOOKUP('Données projet'!$B$16,Paramètres!$A$1:$I$89,3,0)*VLOOKUP('Données projet'!$B$16,Paramètres!$A$1:$I$89,5,0)</f>
        <v>227.29200000000003</v>
      </c>
      <c r="FG61" s="13">
        <f t="shared" si="47"/>
        <v>55.6967456174837</v>
      </c>
      <c r="FH61" s="20">
        <f t="shared" si="22"/>
        <v>492.87206528378414</v>
      </c>
      <c r="FI61" s="59">
        <f t="shared" si="23"/>
        <v>735.71066006045714</v>
      </c>
      <c r="FJ61" s="59">
        <f ca="1">AVERAGE(OFFSET($FI$3,0,0,'Données projet'!$E$16+1,1))-AVERAGE(OFFSET($H$3,0,0,'Données projet'!$E$16+1,1))</f>
        <v>525.22234644068908</v>
      </c>
      <c r="FK61" s="59">
        <f t="shared" si="48"/>
        <v>311.5550296132094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10.457035094266072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10.457035094266072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5.2</v>
      </c>
      <c r="FZ61" s="12">
        <f>IF('Données projet'!$A$244&gt;35,FZ60+FY61-GH60,IF(A61&lt;'Données projet'!$A$244,$FW$205^A61,IF(A61='Données projet'!$A$244,'Données projet'!$B$244,FZ60+FY61-GH60)))</f>
        <v>234.59999999999985</v>
      </c>
      <c r="GA61" s="17">
        <f>FZ61*VLOOKUP('Données projet'!$B$17,Paramètres!$A$1:$I$89,3,0)*VLOOKUP('Données projet'!$B$17,Paramètres!$A$1:$I$89,5,0)</f>
        <v>153.7099199999999</v>
      </c>
      <c r="GB61" s="13">
        <f t="shared" si="49"/>
        <v>39.420475690379796</v>
      </c>
      <c r="GC61" s="20">
        <f t="shared" si="25"/>
        <v>336.36877249407797</v>
      </c>
      <c r="GD61" s="59">
        <f t="shared" si="26"/>
        <v>579.20736727075098</v>
      </c>
      <c r="GE61" s="59">
        <f ca="1">AVERAGE(OFFSET($GD$3,0,0,'Données projet'!$E$17+1,1))-AVERAGE(OFFSET($H$3,0,0,'Données projet'!$E$17+1,1))</f>
        <v>298.45881427802874</v>
      </c>
      <c r="GF61" s="59">
        <f t="shared" si="50"/>
        <v>287.00279305562356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5.4628821866323731</v>
      </c>
      <c r="GM61" s="21">
        <f>EXP(-LN(2)/25)*GM60+(1-EXP(-LN(2)/25))/(LN(2)/25)*Calculateur!GH61*Calculateur!GJ61*VLOOKUP('Données projet'!$B$17,Paramètres!$A$1:$I$89,3,0)*0.475*44/12</f>
        <v>3.4866029828224869</v>
      </c>
      <c r="GN61" s="21">
        <f>EXP(-LN(2)/2)*GN60+(1-EXP(-LN(2)/2))/(LN(2)/2)*GH61*GK61*VLOOKUP('Données projet'!$B$17,Paramètres!$A$1:$I$89,3,0)*0.475*44/12</f>
        <v>1.1877816754773387</v>
      </c>
      <c r="GO61" s="21">
        <f t="shared" si="27"/>
        <v>10.137266844932199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135.66666666666666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10.125</v>
      </c>
      <c r="N62" s="13">
        <f>IF('Données projet'!$A$36&gt;35,N61+M62-V61,IF(A62&lt;'Données projet'!$A$36,$K$205^A62,IF(A62='Données projet'!$A$36,'Données projet'!$B$36,N61+M62-V61)))</f>
        <v>239.875</v>
      </c>
      <c r="O62" s="13">
        <f>N62*VLOOKUP('Données projet'!$B$9,Paramètres!$A$1:$I$89,3,0)*VLOOKUP('Données projet'!$B$9,Paramètres!$A$1:$I$89,5,0)</f>
        <v>217.03890000000001</v>
      </c>
      <c r="P62" s="13">
        <f t="shared" si="33"/>
        <v>53.470798576660421</v>
      </c>
      <c r="Q62" s="20">
        <f t="shared" si="53"/>
        <v>471.13772502101688</v>
      </c>
      <c r="R62" s="59">
        <f t="shared" si="0"/>
        <v>714.85229062232452</v>
      </c>
      <c r="S62" s="59">
        <f ca="1">AVERAGE(OFFSET($R$3,0,0,'Données projet'!$E$9+1,1))-AVERAGE(OFFSET($H$3,0,0,'Données projet'!$E$9+1,1))</f>
        <v>600.52384738314299</v>
      </c>
      <c r="T62" s="59">
        <f t="shared" si="34"/>
        <v>314.84650287986256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17.614935505281181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17.614935505281181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6.6</v>
      </c>
      <c r="AI62" s="13">
        <f>IF('Données projet'!$A$62&gt;35,AI61+AH62-AQ61,IF(A62&lt;'Données projet'!$A$62,$AF$205^A62,IF(A62='Données projet'!$A$62,'Données projet'!$B$62,AI61+AH62-AQ61)))</f>
        <v>239.40000000000009</v>
      </c>
      <c r="AJ62" s="13">
        <f>AI62*VLOOKUP('Données projet'!$B$10,Paramètres!$A$1:$I$89,3,0)*VLOOKUP('Données projet'!$B$10,Paramètres!$A$1:$I$89,5,0)</f>
        <v>209.13984000000008</v>
      </c>
      <c r="AK62" s="13">
        <f t="shared" si="35"/>
        <v>51.747574219710266</v>
      </c>
      <c r="AL62" s="20">
        <f t="shared" si="4"/>
        <v>454.37891309932888</v>
      </c>
      <c r="AM62" s="59">
        <f t="shared" si="5"/>
        <v>698.09347870063652</v>
      </c>
      <c r="AN62" s="59">
        <f ca="1">AVERAGE(OFFSET($AM$3,0,0,'Données projet'!$E$10+1,1))-AVERAGE(OFFSET($H$3,0,0,'Données projet'!$E$10+1,1))</f>
        <v>436.77894860279537</v>
      </c>
      <c r="AO62" s="59">
        <f t="shared" si="36"/>
        <v>398.63561969573072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30.365582784510661</v>
      </c>
      <c r="AV62" s="21">
        <f>EXP(-LN(2)/25)*AV61+(1-EXP(-LN(2)/25))/(LN(2)/25)*Calculateur!AQ62*Calculateur!AS62*VLOOKUP('Données projet'!$B$10,Paramètres!$A$1:$I$89,3,0)*0.475*44/12</f>
        <v>14.504225761609332</v>
      </c>
      <c r="AW62" s="21">
        <f>EXP(-LN(2)/2)*AW61+(1-EXP(-LN(2)/2))/(LN(2)/2)*AQ62*AT62*VLOOKUP('Données projet'!$B$10,Paramètres!$A$1:$I$89,3,0)*0.475*44/12</f>
        <v>6.8156052034451146E-5</v>
      </c>
      <c r="AX62" s="21">
        <f t="shared" si="6"/>
        <v>44.869876702172029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190.78487999999987</v>
      </c>
      <c r="BF62" s="13">
        <f t="shared" si="37"/>
        <v>47.713437020051622</v>
      </c>
      <c r="BG62" s="20">
        <f t="shared" si="7"/>
        <v>415.384568809923</v>
      </c>
      <c r="BH62" s="59">
        <f t="shared" si="8"/>
        <v>659.09913441123069</v>
      </c>
      <c r="BI62" s="59">
        <f ca="1">AVERAGE(OFFSET($BH$3,0,0,'Données projet'!$E$11+1,1))-AVERAGE(OFFSET($H$3,0,0,'Données projet'!$E$11+1,1))</f>
        <v>344.97546176735341</v>
      </c>
      <c r="BJ62" s="59">
        <f t="shared" si="38"/>
        <v>331.15461126257492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8.0158443812000915</v>
      </c>
      <c r="BQ62" s="21">
        <f>EXP(-LN(2)/25)*BQ61+(1-EXP(-LN(2)/25))/(LN(2)/25)*Calculateur!BL62*Calculateur!BN62*VLOOKUP('Données projet'!$B$11,Paramètres!$A$1:$I$89,3,0)*0.475*44/12</f>
        <v>5.0756258113873018</v>
      </c>
      <c r="BR62" s="21">
        <f>EXP(-LN(2)/2)*BR61+(1-EXP(-LN(2)/2))/(LN(2)/2)*BL62*BO62*VLOOKUP('Données projet'!$B$11,Paramètres!$A$1:$I$89,3,0)*0.475*44/12</f>
        <v>1.0198645795775334</v>
      </c>
      <c r="BS62" s="22">
        <f t="shared" si="9"/>
        <v>14.111334772164927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659.09913441123069</v>
      </c>
      <c r="CD62" s="59">
        <f ca="1">AVERAGE(OFFSET($CC$3,0,0,'Données projet'!$E$12+1,1))-AVERAGE(OFFSET($H$3,0,0,'Données projet'!$E$12+1,1))</f>
        <v>344.97546176735341</v>
      </c>
      <c r="CE62" s="59">
        <f t="shared" si="40"/>
        <v>331.15461126257492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8.0158443812000915</v>
      </c>
      <c r="CL62" s="21">
        <f>EXP(-LN(2)/25)*CL61+(1-EXP(-LN(2)/25))/(LN(2)/25)*Calculateur!CG62*Calculateur!CI62*VLOOKUP('Données projet'!$B$12,Paramètres!$A$1:$I$89,3,0)*0.475*44/12</f>
        <v>5.0756258113873018</v>
      </c>
      <c r="CM62" s="21">
        <f>EXP(-LN(2)/2)*CM61+(1-EXP(-LN(2)/2))/(LN(2)/2)*CG62*CJ62*VLOOKUP('Données projet'!$B$12,Paramètres!$A$1:$I$89,3,0)*0.475*44/12</f>
        <v>1.0198645795775334</v>
      </c>
      <c r="CN62" s="22">
        <f t="shared" si="12"/>
        <v>14.111334772164927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227.19465047672969</v>
      </c>
      <c r="CZ62" s="59">
        <f t="shared" si="42"/>
        <v>529.77979244134417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55.465599111264368</v>
      </c>
      <c r="DG62" s="21">
        <f>EXP(-LN(2)/25)*DG61+(1-EXP(-LN(2)/25))/(LN(2)/25)*Calculateur!DB62*Calculateur!DD62*VLOOKUP('Données projet'!$B$13,Paramètres!$A$1:$I$89,3,0)*0.475*44/12</f>
        <v>14.179397674055492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69.644996785319861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240.09151195692266</v>
      </c>
      <c r="DU62" s="59">
        <f t="shared" si="44"/>
        <v>559.47775134103165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59.090801667556107</v>
      </c>
      <c r="EB62" s="21">
        <f>EXP(-LN(2)/25)*EB61+(1-EXP(-LN(2)/25))/(LN(2)/25)*Calculateur!DW62*Calculateur!DY62*VLOOKUP('Données projet'!$B$14,Paramètres!$A$1:$I$89,3,0)*0.475*44/12</f>
        <v>15.106155691967615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74.196957359523722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9.375</v>
      </c>
      <c r="EJ62" s="12">
        <f>IF('Données projet'!$A$192&gt;35,EJ61+EI62-ER61,IF(A62&lt;'Données projet'!$A$192,$EG$205^A62,IF(A62='Données projet'!$A$192,'Données projet'!$B$192,EJ61+EI62-ER61)))</f>
        <v>287.62499999999989</v>
      </c>
      <c r="EK62" s="17">
        <f>EJ62*VLOOKUP('Données projet'!$B$15,Paramètres!$A$1:$I$89,3,0)*VLOOKUP('Données projet'!$B$15,Paramètres!$A$1:$I$89,5,0)</f>
        <v>224.34749999999991</v>
      </c>
      <c r="EL62" s="13">
        <f t="shared" si="45"/>
        <v>55.058714525680429</v>
      </c>
      <c r="EM62" s="20">
        <f t="shared" si="19"/>
        <v>486.63249029889329</v>
      </c>
      <c r="EN62" s="59">
        <f t="shared" si="20"/>
        <v>730.34705590020098</v>
      </c>
      <c r="EO62" s="59">
        <f ca="1">AVERAGE(OFFSET($EN$3,0,0,'Données projet'!$E$15+1,1))-AVERAGE(OFFSET($H$3,0,0,'Données projet'!$E$15+1,1))</f>
        <v>328.79469965518484</v>
      </c>
      <c r="EP62" s="59">
        <f t="shared" si="46"/>
        <v>322.06400652269735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1.5493352677625107</v>
      </c>
      <c r="EW62" s="21">
        <f>EXP(-LN(2)/25)*EW61+(1-EXP(-LN(2)/25))/(LN(2)/25)*Calculateur!ER62*Calculateur!ET62*VLOOKUP('Données projet'!$B$15,Paramètres!$A$1:$I$89,3,0)*0.475*44/12</f>
        <v>8.9831316036446029</v>
      </c>
      <c r="EX62" s="21">
        <f>EXP(-LN(2)/2)*EX61+(1-EXP(-LN(2)/2))/(LN(2)/2)*ER62*EU62*VLOOKUP('Données projet'!$B$15,Paramètres!$A$1:$I$89,3,0)*0.475*44/12</f>
        <v>1.0066408926627659</v>
      </c>
      <c r="EY62" s="22">
        <f t="shared" si="21"/>
        <v>11.539107764069879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13</v>
      </c>
      <c r="FE62" s="12">
        <f>IF('Données projet'!$A$218&gt;35,FE61+FD62-FM61,IF(A62&lt;'Données projet'!$A$218,$FB$205^A62,IF(A62='Données projet'!$A$218,'Données projet'!$B$218,FE61+FD62-FM61)))</f>
        <v>323.00000000000006</v>
      </c>
      <c r="FF62" s="17">
        <f>FE62*VLOOKUP('Données projet'!$B$16,Paramètres!$A$1:$I$89,3,0)*VLOOKUP('Données projet'!$B$16,Paramètres!$A$1:$I$89,5,0)</f>
        <v>236.82360000000006</v>
      </c>
      <c r="FG62" s="13">
        <f t="shared" si="47"/>
        <v>57.755583516581098</v>
      </c>
      <c r="FH62" s="20">
        <f t="shared" si="22"/>
        <v>513.05874462471218</v>
      </c>
      <c r="FI62" s="59">
        <f t="shared" si="23"/>
        <v>756.77331022601982</v>
      </c>
      <c r="FJ62" s="59">
        <f ca="1">AVERAGE(OFFSET($FI$3,0,0,'Données projet'!$E$16+1,1))-AVERAGE(OFFSET($H$3,0,0,'Données projet'!$E$16+1,1))</f>
        <v>525.22234644068908</v>
      </c>
      <c r="FK62" s="59">
        <f t="shared" si="48"/>
        <v>311.5550296132094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10.171086919701791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10.171086919701791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5.2</v>
      </c>
      <c r="FZ62" s="12">
        <f>IF('Données projet'!$A$244&gt;35,FZ61+FY62-GH61,IF(A62&lt;'Données projet'!$A$244,$FW$205^A62,IF(A62='Données projet'!$A$244,'Données projet'!$B$244,FZ61+FY62-GH61)))</f>
        <v>239.79999999999984</v>
      </c>
      <c r="GA62" s="17">
        <f>FZ62*VLOOKUP('Données projet'!$B$17,Paramètres!$A$1:$I$89,3,0)*VLOOKUP('Données projet'!$B$17,Paramètres!$A$1:$I$89,5,0)</f>
        <v>157.11695999999989</v>
      </c>
      <c r="GB62" s="13">
        <f t="shared" si="49"/>
        <v>40.191551120265821</v>
      </c>
      <c r="GC62" s="20">
        <f t="shared" si="25"/>
        <v>343.64565686779611</v>
      </c>
      <c r="GD62" s="59">
        <f t="shared" si="26"/>
        <v>587.36022246910375</v>
      </c>
      <c r="GE62" s="59">
        <f ca="1">AVERAGE(OFFSET($GD$3,0,0,'Données projet'!$E$17+1,1))-AVERAGE(OFFSET($H$3,0,0,'Données projet'!$E$17+1,1))</f>
        <v>298.45881427802874</v>
      </c>
      <c r="GF62" s="59">
        <f t="shared" si="50"/>
        <v>287.00279305562356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5.355758398981636</v>
      </c>
      <c r="GM62" s="21">
        <f>EXP(-LN(2)/25)*GM61+(1-EXP(-LN(2)/25))/(LN(2)/25)*Calculateur!GH62*Calculateur!GJ62*VLOOKUP('Données projet'!$B$17,Paramètres!$A$1:$I$89,3,0)*0.475*44/12</f>
        <v>3.391261640904724</v>
      </c>
      <c r="GN62" s="21">
        <f>EXP(-LN(2)/2)*GN61+(1-EXP(-LN(2)/2))/(LN(2)/2)*GH62*GK62*VLOOKUP('Données projet'!$B$17,Paramètres!$A$1:$I$89,3,0)*0.475*44/12</f>
        <v>0.8398884772991454</v>
      </c>
      <c r="GO62" s="21">
        <f t="shared" si="27"/>
        <v>9.5869085171855062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135.66666666666666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250</v>
      </c>
      <c r="L63" s="12">
        <f>VLOOKUP(A63,'Données projet'!$A$35:$I$55,9,0)</f>
        <v>10.125</v>
      </c>
      <c r="M63" s="12">
        <f t="array" ref="M63">INDEX(L:L,MIN(IF(ISNUMBER(L63:L259),ROW(L63:L259),"")))</f>
        <v>10.125</v>
      </c>
      <c r="N63" s="13">
        <f>IF('Données projet'!$A$36&gt;35,N62+M63-V62,IF(A63&lt;'Données projet'!$A$36,$K$205^A63,IF(A63='Données projet'!$A$36,'Données projet'!$B$36,N62+M63-V62)))</f>
        <v>250</v>
      </c>
      <c r="O63" s="13">
        <f>N63*VLOOKUP('Données projet'!$B$9,Paramètres!$A$1:$I$89,3,0)*VLOOKUP('Données projet'!$B$9,Paramètres!$A$1:$I$89,5,0)</f>
        <v>226.20000000000002</v>
      </c>
      <c r="P63" s="13">
        <f t="shared" si="33"/>
        <v>55.460237717698156</v>
      </c>
      <c r="Q63" s="20">
        <f t="shared" si="53"/>
        <v>490.55824735832431</v>
      </c>
      <c r="R63" s="59">
        <f t="shared" si="0"/>
        <v>735.13358764883674</v>
      </c>
      <c r="S63" s="59">
        <f ca="1">AVERAGE(OFFSET($R$3,0,0,'Données projet'!$E$9+1,1))-AVERAGE(OFFSET($H$3,0,0,'Données projet'!$E$9+1,1))</f>
        <v>600.52384738314299</v>
      </c>
      <c r="T63" s="59">
        <f t="shared" si="34"/>
        <v>314.84650287986256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54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0.215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28.700196327177657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28.700196327177657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246</v>
      </c>
      <c r="AG63" s="12">
        <f>VLOOKUP(A63,'Données projet'!$A$61:$I$81,9,0)</f>
        <v>6.6</v>
      </c>
      <c r="AH63" s="12">
        <f t="array" ref="AH63">INDEX(AG:AG,MIN(IF(ISNUMBER(AG63:AG259),ROW(AG63:AG259),"")))</f>
        <v>6.6</v>
      </c>
      <c r="AI63" s="13">
        <f>IF('Données projet'!$A$62&gt;35,AI62+AH63-AQ62,IF(A63&lt;'Données projet'!$A$62,$AF$205^A63,IF(A63='Données projet'!$A$62,'Données projet'!$B$62,AI62+AH63-AQ62)))</f>
        <v>246.00000000000009</v>
      </c>
      <c r="AJ63" s="13">
        <f>AI63*VLOOKUP('Données projet'!$B$10,Paramètres!$A$1:$I$89,3,0)*VLOOKUP('Données projet'!$B$10,Paramètres!$A$1:$I$89,5,0)</f>
        <v>214.90560000000008</v>
      </c>
      <c r="AK63" s="13">
        <f t="shared" si="35"/>
        <v>53.006137800892326</v>
      </c>
      <c r="AL63" s="20">
        <f t="shared" si="4"/>
        <v>466.61294333655428</v>
      </c>
      <c r="AM63" s="59">
        <f t="shared" si="5"/>
        <v>711.18828362706665</v>
      </c>
      <c r="AN63" s="59">
        <f ca="1">AVERAGE(OFFSET($AM$3,0,0,'Données projet'!$E$10+1,1))-AVERAGE(OFFSET($H$3,0,0,'Données projet'!$E$10+1,1))</f>
        <v>436.77894860279537</v>
      </c>
      <c r="AO63" s="59">
        <f t="shared" si="36"/>
        <v>398.63561969573072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24</v>
      </c>
      <c r="AR63" s="16">
        <f>IF(ISNA(VLOOKUP(A63,'Données projet'!$A$61:$I$81,5,0)),0%,VLOOKUP(A63,'Données projet'!$A$61:$I$81,5,0)*VLOOKUP('Données projet'!$B$10,Paramètres!$A$1:$I$89,7,0))</f>
        <v>0.30099999999999999</v>
      </c>
      <c r="AS63" s="16">
        <f>IF(ISNA(VLOOKUP(A63,'Données projet'!$A$61:$I$81,6,0)),0%,VLOOKUP(A63,'Données projet'!$A$61:$I$81,6,0)*VLOOKUP('Données projet'!$B$10,Paramètres!$A$1:$I$89,7,0))</f>
        <v>4.3000000000000003E-2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36.746630211080429</v>
      </c>
      <c r="AV63" s="21">
        <f>EXP(-LN(2)/25)*AV62+(1-EXP(-LN(2)/25))/(LN(2)/25)*Calculateur!AQ63*Calculateur!AS63*VLOOKUP('Données projet'!$B$10,Paramètres!$A$1:$I$89,3,0)*0.475*44/12</f>
        <v>15.100325352982756</v>
      </c>
      <c r="AW63" s="21">
        <f>EXP(-LN(2)/2)*AW62+(1-EXP(-LN(2)/2))/(LN(2)/2)*AQ63*AT63*VLOOKUP('Données projet'!$B$10,Paramètres!$A$1:$I$89,3,0)*0.475*44/12</f>
        <v>4.8193606572463594E-5</v>
      </c>
      <c r="AX63" s="21">
        <f t="shared" si="6"/>
        <v>51.847003757669761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194.92199999999988</v>
      </c>
      <c r="BF63" s="13">
        <f t="shared" si="37"/>
        <v>48.626512129794925</v>
      </c>
      <c r="BG63" s="20">
        <f t="shared" si="7"/>
        <v>424.18032529272591</v>
      </c>
      <c r="BH63" s="59">
        <f t="shared" si="8"/>
        <v>668.75566558323828</v>
      </c>
      <c r="BI63" s="59">
        <f ca="1">AVERAGE(OFFSET($BH$3,0,0,'Données projet'!$E$11+1,1))-AVERAGE(OFFSET($H$3,0,0,'Données projet'!$E$11+1,1))</f>
        <v>344.97546176735341</v>
      </c>
      <c r="BJ63" s="59">
        <f t="shared" si="38"/>
        <v>331.15461126257492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0.26500000000000001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0.3</v>
      </c>
      <c r="BP63" s="21">
        <f>EXP(-LN(2)/35)*BP62+(1-EXP(-LN(2)/35))/(LN(2)/35)*BL63*BM63*VLOOKUP('Données projet'!$B$11,Paramètres!$A$1:$I$89,3,0)*0.475*44/12</f>
        <v>10.655507466048464</v>
      </c>
      <c r="BQ63" s="21">
        <f>EXP(-LN(2)/25)*BQ62+(1-EXP(-LN(2)/25))/(LN(2)/25)*Calculateur!BL63*Calculateur!BN63*VLOOKUP('Données projet'!$B$11,Paramètres!$A$1:$I$89,3,0)*0.475*44/12</f>
        <v>4.9368325566593549</v>
      </c>
      <c r="BR63" s="21">
        <f>EXP(-LN(2)/2)*BR62+(1-EXP(-LN(2)/2))/(LN(2)/2)*BL63*BO63*VLOOKUP('Données projet'!$B$11,Paramètres!$A$1:$I$89,3,0)*0.475*44/12</f>
        <v>3.4235652078474095</v>
      </c>
      <c r="BS63" s="22">
        <f t="shared" si="9"/>
        <v>19.01590523055523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668.75566558323828</v>
      </c>
      <c r="CD63" s="59">
        <f ca="1">AVERAGE(OFFSET($CC$3,0,0,'Données projet'!$E$12+1,1))-AVERAGE(OFFSET($H$3,0,0,'Données projet'!$E$12+1,1))</f>
        <v>344.97546176735341</v>
      </c>
      <c r="CE63" s="59">
        <f t="shared" si="40"/>
        <v>331.15461126257492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0.26500000000000001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0.3</v>
      </c>
      <c r="CK63" s="21">
        <f>EXP(-LN(2)/35)*CK62+(1-EXP(-LN(2)/35))/(LN(2)/35)*CG63*CH63*VLOOKUP('Données projet'!$B$12,Paramètres!$A$1:$I$89,3,0)*0.475*44/12</f>
        <v>10.655507466048464</v>
      </c>
      <c r="CL63" s="21">
        <f>EXP(-LN(2)/25)*CL62+(1-EXP(-LN(2)/25))/(LN(2)/25)*Calculateur!CG63*Calculateur!CI63*VLOOKUP('Données projet'!$B$12,Paramètres!$A$1:$I$89,3,0)*0.475*44/12</f>
        <v>4.9368325566593549</v>
      </c>
      <c r="CM63" s="21">
        <f>EXP(-LN(2)/2)*CM62+(1-EXP(-LN(2)/2))/(LN(2)/2)*CG63*CJ63*VLOOKUP('Données projet'!$B$12,Paramètres!$A$1:$I$89,3,0)*0.475*44/12</f>
        <v>3.4235652078474095</v>
      </c>
      <c r="CN63" s="22">
        <f t="shared" si="12"/>
        <v>19.01590523055523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227.19465047672969</v>
      </c>
      <c r="CZ63" s="59">
        <f t="shared" si="42"/>
        <v>529.77979244134417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54.377952543367428</v>
      </c>
      <c r="DG63" s="21">
        <f>EXP(-LN(2)/25)*DG62+(1-EXP(-LN(2)/25))/(LN(2)/25)*Calculateur!DB63*Calculateur!DD63*VLOOKUP('Données projet'!$B$13,Paramètres!$A$1:$I$89,3,0)*0.475*44/12</f>
        <v>13.791661298996328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68.169613842363759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240.09151195692266</v>
      </c>
      <c r="DU63" s="59">
        <f t="shared" si="44"/>
        <v>559.47775134103165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57.932067088685514</v>
      </c>
      <c r="EB63" s="21">
        <f>EXP(-LN(2)/25)*EB62+(1-EXP(-LN(2)/25))/(LN(2)/25)*Calculateur!DW63*Calculateur!DY63*VLOOKUP('Données projet'!$B$14,Paramètres!$A$1:$I$89,3,0)*0.475*44/12</f>
        <v>14.693077070172558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72.625144158858078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297</v>
      </c>
      <c r="EH63" s="12">
        <f>VLOOKUP(A63,'Données projet'!$A$191:$I$211,9,0)</f>
        <v>9.375</v>
      </c>
      <c r="EI63" s="12">
        <f t="array" ref="EI63">INDEX(EH:EH,MIN(IF(ISNUMBER(EH63:EH259),ROW(EH63:EH259),"")))</f>
        <v>9.375</v>
      </c>
      <c r="EJ63" s="12">
        <f>IF('Données projet'!$A$192&gt;35,EJ62+EI63-ER62,IF(A63&lt;'Données projet'!$A$192,$EG$205^A63,IF(A63='Données projet'!$A$192,'Données projet'!$B$192,EJ62+EI63-ER62)))</f>
        <v>296.99999999999989</v>
      </c>
      <c r="EK63" s="17">
        <f>EJ63*VLOOKUP('Données projet'!$B$15,Paramètres!$A$1:$I$89,3,0)*VLOOKUP('Données projet'!$B$15,Paramètres!$A$1:$I$89,5,0)</f>
        <v>231.65999999999991</v>
      </c>
      <c r="EL63" s="13">
        <f t="shared" si="45"/>
        <v>56.641461975682766</v>
      </c>
      <c r="EM63" s="20">
        <f t="shared" si="19"/>
        <v>502.125046274314</v>
      </c>
      <c r="EN63" s="59">
        <f t="shared" si="20"/>
        <v>746.70038656482643</v>
      </c>
      <c r="EO63" s="59">
        <f ca="1">AVERAGE(OFFSET($EN$3,0,0,'Données projet'!$E$15+1,1))-AVERAGE(OFFSET($H$3,0,0,'Données projet'!$E$15+1,1))</f>
        <v>328.79469965518484</v>
      </c>
      <c r="EP63" s="59">
        <f t="shared" si="46"/>
        <v>322.06400652269735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47</v>
      </c>
      <c r="ES63" s="16">
        <f>IF(ISNA(VLOOKUP(A63,'Données projet'!$A$191:$I$211,5,0)),0%,VLOOKUP(A63,'Données projet'!$A$191:$I$211,5,0)*VLOOKUP('Données projet'!$B$15,Paramètres!$A$1:$I$89,7,0))</f>
        <v>0.129</v>
      </c>
      <c r="ET63" s="16">
        <f>IF(ISNA(VLOOKUP(A63,'Données projet'!$A$191:$I$211,6,0)),0%,VLOOKUP(A63,'Données projet'!$A$191:$I$211,6,0)*VLOOKUP('Données projet'!$B$15,Paramètres!$A$1:$I$89,7,0))</f>
        <v>8.6000000000000007E-2</v>
      </c>
      <c r="EU63" s="16">
        <f>IF(ISNA(VLOOKUP(A63,'Données projet'!$A$191:$I$211,7,0)),0%,VLOOKUP(A63,'Données projet'!$A$191:$I$211,7,0))</f>
        <v>0.3</v>
      </c>
      <c r="EV63" s="21">
        <f>EXP(-LN(2)/35)*EV62+(1-EXP(-LN(2)/35))/(LN(2)/35)*ER63*ES63*VLOOKUP('Données projet'!$B$15,Paramètres!$A$1:$I$89,3,0)*0.475*44/12</f>
        <v>6.7468779388273461</v>
      </c>
      <c r="EW63" s="21">
        <f>EXP(-LN(2)/25)*EW62+(1-EXP(-LN(2)/25))/(LN(2)/25)*Calculateur!ER63*Calculateur!ET63*VLOOKUP('Données projet'!$B$15,Paramètres!$A$1:$I$89,3,0)*0.475*44/12</f>
        <v>12.209047304960931</v>
      </c>
      <c r="EX63" s="21">
        <f>EXP(-LN(2)/2)*EX62+(1-EXP(-LN(2)/2))/(LN(2)/2)*ER63*EU63*VLOOKUP('Données projet'!$B$15,Paramètres!$A$1:$I$89,3,0)*0.475*44/12</f>
        <v>11.088711608251581</v>
      </c>
      <c r="EY63" s="22">
        <f t="shared" si="21"/>
        <v>30.044636852039858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336</v>
      </c>
      <c r="FC63" s="12">
        <f>VLOOKUP(A63,'Données projet'!$A$217:$I$237,9,0)</f>
        <v>13</v>
      </c>
      <c r="FD63" s="12">
        <f t="array" ref="FD63">INDEX(FC:FC,MIN(IF(ISNUMBER(FC63:FC259),ROW(FC63:FC259),"")))</f>
        <v>13</v>
      </c>
      <c r="FE63" s="12">
        <f>IF('Données projet'!$A$218&gt;35,FE62+FD63-FM62,IF(A63&lt;'Données projet'!$A$218,$FB$205^A63,IF(A63='Données projet'!$A$218,'Données projet'!$B$218,FE62+FD63-FM62)))</f>
        <v>336.00000000000006</v>
      </c>
      <c r="FF63" s="17">
        <f>FE63*VLOOKUP('Données projet'!$B$16,Paramètres!$A$1:$I$89,3,0)*VLOOKUP('Données projet'!$B$16,Paramètres!$A$1:$I$89,5,0)</f>
        <v>246.35520000000002</v>
      </c>
      <c r="FG63" s="13">
        <f t="shared" si="47"/>
        <v>59.804795924194437</v>
      </c>
      <c r="FH63" s="20">
        <f t="shared" si="22"/>
        <v>533.22865956797193</v>
      </c>
      <c r="FI63" s="59">
        <f t="shared" si="23"/>
        <v>777.8039998584843</v>
      </c>
      <c r="FJ63" s="59">
        <f ca="1">AVERAGE(OFFSET($FI$3,0,0,'Données projet'!$E$16+1,1))-AVERAGE(OFFSET($H$3,0,0,'Données projet'!$E$16+1,1))</f>
        <v>525.22234644068908</v>
      </c>
      <c r="FK63" s="59">
        <f t="shared" si="48"/>
        <v>311.5550296132094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35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0.215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15.968187850993941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15.968187850993941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245</v>
      </c>
      <c r="FX63" s="12">
        <f>VLOOKUP(A63,'Données projet'!$A$243:$I$263,9,0)</f>
        <v>5.2</v>
      </c>
      <c r="FY63" s="12">
        <f t="array" ref="FY63">INDEX(FX:FX,MIN(IF(ISNUMBER(FX63:FX259),ROW(FX63:FX259),"")))</f>
        <v>5.2</v>
      </c>
      <c r="FZ63" s="12">
        <f>IF('Données projet'!$A$244&gt;35,FZ62+FY63-GH62,IF(A63&lt;'Données projet'!$A$244,$FW$205^A63,IF(A63='Données projet'!$A$244,'Données projet'!$B$244,FZ62+FY63-GH62)))</f>
        <v>244.99999999999983</v>
      </c>
      <c r="GA63" s="17">
        <f>FZ63*VLOOKUP('Données projet'!$B$17,Paramètres!$A$1:$I$89,3,0)*VLOOKUP('Données projet'!$B$17,Paramètres!$A$1:$I$89,5,0)</f>
        <v>160.52399999999989</v>
      </c>
      <c r="GB63" s="13">
        <f t="shared" si="49"/>
        <v>40.960682569221547</v>
      </c>
      <c r="GC63" s="20">
        <f t="shared" si="25"/>
        <v>350.91915547472735</v>
      </c>
      <c r="GD63" s="59">
        <f t="shared" si="26"/>
        <v>595.49449576523966</v>
      </c>
      <c r="GE63" s="59">
        <f ca="1">AVERAGE(OFFSET($GD$3,0,0,'Données projet'!$E$17+1,1))-AVERAGE(OFFSET($H$3,0,0,'Données projet'!$E$17+1,1))</f>
        <v>298.45881427802874</v>
      </c>
      <c r="GF63" s="59">
        <f t="shared" si="50"/>
        <v>287.00279305562356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12</v>
      </c>
      <c r="GI63" s="16">
        <f>IF(ISNA(VLOOKUP(A63,'Données projet'!$A$243:$I$263,5,0)),0%,VLOOKUP(A63,'Données projet'!$A$243:$I$263,5,0)*VLOOKUP('Données projet'!$B$17,Paramètres!$A$1:$I$89,7,0))</f>
        <v>0.215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0.3</v>
      </c>
      <c r="GL63" s="21">
        <f>EXP(-LN(2)/35)*GL62+(1-EXP(-LN(2)/35))/(LN(2)/35)*GH63*GI63*VLOOKUP('Données projet'!$B$17,Paramètres!$A$1:$I$89,3,0)*0.475*44/12</f>
        <v>7.1194400605562418</v>
      </c>
      <c r="GM63" s="21">
        <f>EXP(-LN(2)/25)*GM62+(1-EXP(-LN(2)/25))/(LN(2)/25)*Calculateur!GH63*Calculateur!GJ63*VLOOKUP('Données projet'!$B$17,Paramètres!$A$1:$I$89,3,0)*0.475*44/12</f>
        <v>3.2985274129954854</v>
      </c>
      <c r="GN63" s="21">
        <f>EXP(-LN(2)/2)*GN62+(1-EXP(-LN(2)/2))/(LN(2)/2)*GH63*GK63*VLOOKUP('Données projet'!$B$17,Paramètres!$A$1:$I$89,3,0)*0.475*44/12</f>
        <v>2.8194066417566908</v>
      </c>
      <c r="GO63" s="21">
        <f t="shared" si="27"/>
        <v>13.237374115308418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135.66666666666666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8.6666666666666661</v>
      </c>
      <c r="N64" s="13">
        <f>IF('Données projet'!$A$36&gt;35,N63+M64-V63,IF(A64&lt;'Données projet'!$A$36,$K$205^A64,IF(A64='Données projet'!$A$36,'Données projet'!$B$36,N63+M64-V63)))</f>
        <v>204.66666666666669</v>
      </c>
      <c r="O64" s="13">
        <f>N64*VLOOKUP('Données projet'!$B$9,Paramètres!$A$1:$I$89,3,0)*VLOOKUP('Données projet'!$B$9,Paramètres!$A$1:$I$89,5,0)</f>
        <v>185.1824</v>
      </c>
      <c r="P64" s="13">
        <f t="shared" si="33"/>
        <v>46.473263079642983</v>
      </c>
      <c r="Q64" s="20">
        <f t="shared" si="53"/>
        <v>403.46694653037821</v>
      </c>
      <c r="R64" s="59">
        <f t="shared" si="0"/>
        <v>648.88812899364143</v>
      </c>
      <c r="S64" s="59">
        <f ca="1">AVERAGE(OFFSET($R$3,0,0,'Données projet'!$E$9+1,1))-AVERAGE(OFFSET($H$3,0,0,'Données projet'!$E$9+1,1))</f>
        <v>600.52384738314299</v>
      </c>
      <c r="T64" s="59">
        <f t="shared" si="34"/>
        <v>314.84650287986256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27.915387949333255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27.915387949333255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228.00000000000009</v>
      </c>
      <c r="AJ64" s="13">
        <f>AI64*VLOOKUP('Données projet'!$B$10,Paramètres!$A$1:$I$89,3,0)*VLOOKUP('Données projet'!$B$10,Paramètres!$A$1:$I$89,5,0)</f>
        <v>199.18080000000012</v>
      </c>
      <c r="AK64" s="13">
        <f t="shared" si="35"/>
        <v>49.564089376413726</v>
      </c>
      <c r="AL64" s="20">
        <f t="shared" si="4"/>
        <v>433.2306823305874</v>
      </c>
      <c r="AM64" s="59">
        <f t="shared" si="5"/>
        <v>678.65186479385056</v>
      </c>
      <c r="AN64" s="59">
        <f ca="1">AVERAGE(OFFSET($AM$3,0,0,'Données projet'!$E$10+1,1))-AVERAGE(OFFSET($H$3,0,0,'Données projet'!$E$10+1,1))</f>
        <v>436.77894860279537</v>
      </c>
      <c r="AO64" s="59">
        <f t="shared" si="36"/>
        <v>398.63561969573072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36.026051205872449</v>
      </c>
      <c r="AV64" s="21">
        <f>EXP(-LN(2)/25)*AV63+(1-EXP(-LN(2)/25))/(LN(2)/25)*Calculateur!AQ64*Calculateur!AS64*VLOOKUP('Données projet'!$B$10,Paramètres!$A$1:$I$89,3,0)*0.475*44/12</f>
        <v>14.687406162113843</v>
      </c>
      <c r="AW64" s="21">
        <f>EXP(-LN(2)/2)*AW63+(1-EXP(-LN(2)/2))/(LN(2)/2)*AQ64*AT64*VLOOKUP('Données projet'!$B$10,Paramètres!$A$1:$I$89,3,0)*0.475*44/12</f>
        <v>3.4078026017225573E-5</v>
      </c>
      <c r="AX64" s="21">
        <f t="shared" si="6"/>
        <v>50.713491446012313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188.87543999999988</v>
      </c>
      <c r="BF64" s="13">
        <f t="shared" si="37"/>
        <v>47.291242769027726</v>
      </c>
      <c r="BG64" s="20">
        <f t="shared" si="7"/>
        <v>411.32363915605634</v>
      </c>
      <c r="BH64" s="59">
        <f t="shared" si="8"/>
        <v>656.74482161931951</v>
      </c>
      <c r="BI64" s="59">
        <f ca="1">AVERAGE(OFFSET($BH$3,0,0,'Données projet'!$E$11+1,1))-AVERAGE(OFFSET($H$3,0,0,'Données projet'!$E$11+1,1))</f>
        <v>344.97546176735341</v>
      </c>
      <c r="BJ64" s="59">
        <f t="shared" si="38"/>
        <v>331.15461126257492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10.446559463857064</v>
      </c>
      <c r="BQ64" s="21">
        <f>EXP(-LN(2)/25)*BQ63+(1-EXP(-LN(2)/25))/(LN(2)/25)*Calculateur!BL64*Calculateur!BN64*VLOOKUP('Données projet'!$B$11,Paramètres!$A$1:$I$89,3,0)*0.475*44/12</f>
        <v>4.8018346107807641</v>
      </c>
      <c r="BR64" s="21">
        <f>EXP(-LN(2)/2)*BR63+(1-EXP(-LN(2)/2))/(LN(2)/2)*BL64*BO64*VLOOKUP('Données projet'!$B$11,Paramètres!$A$1:$I$89,3,0)*0.475*44/12</f>
        <v>2.4208261743032353</v>
      </c>
      <c r="BS64" s="22">
        <f t="shared" si="9"/>
        <v>17.669220248941063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656.74482161931951</v>
      </c>
      <c r="CD64" s="59">
        <f ca="1">AVERAGE(OFFSET($CC$3,0,0,'Données projet'!$E$12+1,1))-AVERAGE(OFFSET($H$3,0,0,'Données projet'!$E$12+1,1))</f>
        <v>344.97546176735341</v>
      </c>
      <c r="CE64" s="59">
        <f t="shared" si="40"/>
        <v>331.15461126257492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10.446559463857064</v>
      </c>
      <c r="CL64" s="21">
        <f>EXP(-LN(2)/25)*CL63+(1-EXP(-LN(2)/25))/(LN(2)/25)*Calculateur!CG64*Calculateur!CI64*VLOOKUP('Données projet'!$B$12,Paramètres!$A$1:$I$89,3,0)*0.475*44/12</f>
        <v>4.8018346107807641</v>
      </c>
      <c r="CM64" s="21">
        <f>EXP(-LN(2)/2)*CM63+(1-EXP(-LN(2)/2))/(LN(2)/2)*CG64*CJ64*VLOOKUP('Données projet'!$B$12,Paramètres!$A$1:$I$89,3,0)*0.475*44/12</f>
        <v>2.4208261743032353</v>
      </c>
      <c r="CN64" s="22">
        <f t="shared" si="12"/>
        <v>17.669220248941063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227.19465047672969</v>
      </c>
      <c r="CZ64" s="59">
        <f t="shared" si="42"/>
        <v>529.77979244134417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53.311634061268045</v>
      </c>
      <c r="DG64" s="21">
        <f>EXP(-LN(2)/25)*DG63+(1-EXP(-LN(2)/25))/(LN(2)/25)*Calculateur!DB64*Calculateur!DD64*VLOOKUP('Données projet'!$B$13,Paramètres!$A$1:$I$89,3,0)*0.475*44/12</f>
        <v>13.414527595503326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66.726161656771367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240.09151195692266</v>
      </c>
      <c r="DU64" s="59">
        <f t="shared" si="44"/>
        <v>559.47775134103165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56.796054588148266</v>
      </c>
      <c r="EB64" s="21">
        <f>EXP(-LN(2)/25)*EB63+(1-EXP(-LN(2)/25))/(LN(2)/25)*Calculateur!DW64*Calculateur!DY64*VLOOKUP('Données projet'!$B$14,Paramètres!$A$1:$I$89,3,0)*0.475*44/12</f>
        <v>14.291294105013348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71.087348693161616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8.6666666666666661</v>
      </c>
      <c r="EJ64" s="12">
        <f>IF('Données projet'!$A$192&gt;35,EJ63+EI64-ER63,IF(A64&lt;'Données projet'!$A$192,$EG$205^A64,IF(A64='Données projet'!$A$192,'Données projet'!$B$192,EJ63+EI64-ER63)))</f>
        <v>258.66666666666657</v>
      </c>
      <c r="EK64" s="17">
        <f>EJ64*VLOOKUP('Données projet'!$B$15,Paramètres!$A$1:$I$89,3,0)*VLOOKUP('Données projet'!$B$15,Paramètres!$A$1:$I$89,5,0)</f>
        <v>201.75999999999993</v>
      </c>
      <c r="EL64" s="13">
        <f t="shared" si="45"/>
        <v>50.130765000424169</v>
      </c>
      <c r="EM64" s="20">
        <f t="shared" si="19"/>
        <v>438.70974904240529</v>
      </c>
      <c r="EN64" s="59">
        <f t="shared" si="20"/>
        <v>684.13093150566851</v>
      </c>
      <c r="EO64" s="59">
        <f ca="1">AVERAGE(OFFSET($EN$3,0,0,'Données projet'!$E$15+1,1))-AVERAGE(OFFSET($H$3,0,0,'Données projet'!$E$15+1,1))</f>
        <v>328.79469965518484</v>
      </c>
      <c r="EP64" s="59">
        <f t="shared" si="46"/>
        <v>322.06400652269735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6.6145757776361433</v>
      </c>
      <c r="EW64" s="21">
        <f>EXP(-LN(2)/25)*EW63+(1-EXP(-LN(2)/25))/(LN(2)/25)*Calculateur!ER64*Calculateur!ET64*VLOOKUP('Données projet'!$B$15,Paramètres!$A$1:$I$89,3,0)*0.475*44/12</f>
        <v>11.875190264360882</v>
      </c>
      <c r="EX64" s="21">
        <f>EXP(-LN(2)/2)*EX63+(1-EXP(-LN(2)/2))/(LN(2)/2)*ER64*EU64*VLOOKUP('Données projet'!$B$15,Paramètres!$A$1:$I$89,3,0)*0.475*44/12</f>
        <v>7.84090317281668</v>
      </c>
      <c r="EY64" s="22">
        <f t="shared" si="21"/>
        <v>26.330669214813707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12.4</v>
      </c>
      <c r="FE64" s="12">
        <f>IF('Données projet'!$A$218&gt;35,FE63+FD64-FM63,IF(A64&lt;'Données projet'!$A$218,$FB$205^A64,IF(A64='Données projet'!$A$218,'Données projet'!$B$218,FE63+FD64-FM63)))</f>
        <v>313.40000000000003</v>
      </c>
      <c r="FF64" s="17">
        <f>FE64*VLOOKUP('Données projet'!$B$16,Paramètres!$A$1:$I$89,3,0)*VLOOKUP('Données projet'!$B$16,Paramètres!$A$1:$I$89,5,0)</f>
        <v>229.78488000000002</v>
      </c>
      <c r="FG64" s="13">
        <f t="shared" si="47"/>
        <v>56.236165024778025</v>
      </c>
      <c r="FH64" s="20">
        <f t="shared" si="22"/>
        <v>498.15332008482181</v>
      </c>
      <c r="FI64" s="59">
        <f t="shared" si="23"/>
        <v>743.57450254808509</v>
      </c>
      <c r="FJ64" s="59">
        <f ca="1">AVERAGE(OFFSET($FI$3,0,0,'Données projet'!$E$16+1,1))-AVERAGE(OFFSET($H$3,0,0,'Données projet'!$E$16+1,1))</f>
        <v>525.22234644068908</v>
      </c>
      <c r="FK64" s="59">
        <f t="shared" si="48"/>
        <v>311.5550296132094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15.531536914478007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15.531536914478007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4.4000000000000004</v>
      </c>
      <c r="FZ64" s="12">
        <f>IF('Données projet'!$A$244&gt;35,FZ63+FY64-GH63,IF(A64&lt;'Données projet'!$A$244,$FW$205^A64,IF(A64='Données projet'!$A$244,'Données projet'!$B$244,FZ63+FY64-GH63)))</f>
        <v>237.39999999999984</v>
      </c>
      <c r="GA64" s="17">
        <f>FZ64*VLOOKUP('Données projet'!$B$17,Paramètres!$A$1:$I$89,3,0)*VLOOKUP('Données projet'!$B$17,Paramètres!$A$1:$I$89,5,0)</f>
        <v>155.54447999999988</v>
      </c>
      <c r="GB64" s="13">
        <f t="shared" si="49"/>
        <v>39.835914576715631</v>
      </c>
      <c r="GC64" s="20">
        <f t="shared" si="25"/>
        <v>340.28752055444613</v>
      </c>
      <c r="GD64" s="59">
        <f t="shared" si="26"/>
        <v>585.70870301770935</v>
      </c>
      <c r="GE64" s="59">
        <f ca="1">AVERAGE(OFFSET($GD$3,0,0,'Données projet'!$E$17+1,1))-AVERAGE(OFFSET($H$3,0,0,'Données projet'!$E$17+1,1))</f>
        <v>298.45881427802874</v>
      </c>
      <c r="GF64" s="59">
        <f t="shared" si="50"/>
        <v>287.00279305562356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6.9798321833983916</v>
      </c>
      <c r="GM64" s="21">
        <f>EXP(-LN(2)/25)*GM63+(1-EXP(-LN(2)/25))/(LN(2)/25)*Calculateur!GH64*Calculateur!GJ64*VLOOKUP('Données projet'!$B$17,Paramètres!$A$1:$I$89,3,0)*0.475*44/12</f>
        <v>3.2083290074251058</v>
      </c>
      <c r="GN64" s="21">
        <f>EXP(-LN(2)/2)*GN63+(1-EXP(-LN(2)/2))/(LN(2)/2)*GH64*GK64*VLOOKUP('Données projet'!$B$17,Paramètres!$A$1:$I$89,3,0)*0.475*44/12</f>
        <v>1.9936215553085472</v>
      </c>
      <c r="GO64" s="21">
        <f t="shared" si="27"/>
        <v>12.181782746132043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135.66666666666666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8.6666666666666661</v>
      </c>
      <c r="N65" s="13">
        <f>IF('Données projet'!$A$36&gt;35,N64+M65-V64,IF(A65&lt;'Données projet'!$A$36,$K$205^A65,IF(A65='Données projet'!$A$36,'Données projet'!$B$36,N64+M65-V64)))</f>
        <v>213.33333333333334</v>
      </c>
      <c r="O65" s="13">
        <f>N65*VLOOKUP('Données projet'!$B$9,Paramètres!$A$1:$I$89,3,0)*VLOOKUP('Données projet'!$B$9,Paramètres!$A$1:$I$89,5,0)</f>
        <v>193.024</v>
      </c>
      <c r="P65" s="13">
        <f t="shared" si="33"/>
        <v>48.207900663536861</v>
      </c>
      <c r="Q65" s="20">
        <f t="shared" si="53"/>
        <v>420.14556032232667</v>
      </c>
      <c r="R65" s="59">
        <f t="shared" si="0"/>
        <v>666.39791148766335</v>
      </c>
      <c r="S65" s="59">
        <f ca="1">AVERAGE(OFFSET($R$3,0,0,'Données projet'!$E$9+1,1))-AVERAGE(OFFSET($H$3,0,0,'Données projet'!$E$9+1,1))</f>
        <v>600.52384738314299</v>
      </c>
      <c r="T65" s="59">
        <f t="shared" si="34"/>
        <v>314.84650287986256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27.152040197852287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27.152040197852287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234.00000000000009</v>
      </c>
      <c r="AJ65" s="13">
        <f>AI65*VLOOKUP('Données projet'!$B$10,Paramètres!$A$1:$I$89,3,0)*VLOOKUP('Données projet'!$B$10,Paramètres!$A$1:$I$89,5,0)</f>
        <v>204.4224000000001</v>
      </c>
      <c r="AK65" s="13">
        <f t="shared" si="35"/>
        <v>50.714836797527312</v>
      </c>
      <c r="AL65" s="20">
        <f t="shared" si="4"/>
        <v>444.3640207556935</v>
      </c>
      <c r="AM65" s="59">
        <f t="shared" si="5"/>
        <v>690.61637192103012</v>
      </c>
      <c r="AN65" s="59">
        <f ca="1">AVERAGE(OFFSET($AM$3,0,0,'Données projet'!$E$10+1,1))-AVERAGE(OFFSET($H$3,0,0,'Données projet'!$E$10+1,1))</f>
        <v>436.77894860279537</v>
      </c>
      <c r="AO65" s="59">
        <f t="shared" si="36"/>
        <v>398.63561969573072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35.319602315446801</v>
      </c>
      <c r="AV65" s="21">
        <f>EXP(-LN(2)/25)*AV64+(1-EXP(-LN(2)/25))/(LN(2)/25)*Calculateur!AQ65*Calculateur!AS65*VLOOKUP('Données projet'!$B$10,Paramètres!$A$1:$I$89,3,0)*0.475*44/12</f>
        <v>14.285778268233718</v>
      </c>
      <c r="AW65" s="21">
        <f>EXP(-LN(2)/2)*AW64+(1-EXP(-LN(2)/2))/(LN(2)/2)*AQ65*AT65*VLOOKUP('Données projet'!$B$10,Paramètres!$A$1:$I$89,3,0)*0.475*44/12</f>
        <v>2.4096803286231797E-5</v>
      </c>
      <c r="AX65" s="21">
        <f t="shared" si="6"/>
        <v>49.605404680483808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192.37607999999989</v>
      </c>
      <c r="BF65" s="13">
        <f t="shared" si="37"/>
        <v>48.064889828485896</v>
      </c>
      <c r="BG65" s="20">
        <f t="shared" si="7"/>
        <v>418.76802245127936</v>
      </c>
      <c r="BH65" s="59">
        <f t="shared" si="8"/>
        <v>665.0203736166161</v>
      </c>
      <c r="BI65" s="59">
        <f ca="1">AVERAGE(OFFSET($BH$3,0,0,'Données projet'!$E$11+1,1))-AVERAGE(OFFSET($H$3,0,0,'Données projet'!$E$11+1,1))</f>
        <v>344.97546176735341</v>
      </c>
      <c r="BJ65" s="59">
        <f t="shared" si="38"/>
        <v>331.15461126257492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10.24170880454294</v>
      </c>
      <c r="BQ65" s="21">
        <f>EXP(-LN(2)/25)*BQ64+(1-EXP(-LN(2)/25))/(LN(2)/25)*Calculateur!BL65*Calculateur!BN65*VLOOKUP('Données projet'!$B$11,Paramètres!$A$1:$I$89,3,0)*0.475*44/12</f>
        <v>4.6705281908314564</v>
      </c>
      <c r="BR65" s="21">
        <f>EXP(-LN(2)/2)*BR64+(1-EXP(-LN(2)/2))/(LN(2)/2)*BL65*BO65*VLOOKUP('Données projet'!$B$11,Paramètres!$A$1:$I$89,3,0)*0.475*44/12</f>
        <v>1.711782603923705</v>
      </c>
      <c r="BS65" s="22">
        <f t="shared" si="9"/>
        <v>16.624019599298101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665.0203736166161</v>
      </c>
      <c r="CD65" s="59">
        <f ca="1">AVERAGE(OFFSET($CC$3,0,0,'Données projet'!$E$12+1,1))-AVERAGE(OFFSET($H$3,0,0,'Données projet'!$E$12+1,1))</f>
        <v>344.97546176735341</v>
      </c>
      <c r="CE65" s="59">
        <f t="shared" si="40"/>
        <v>331.15461126257492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10.24170880454294</v>
      </c>
      <c r="CL65" s="21">
        <f>EXP(-LN(2)/25)*CL64+(1-EXP(-LN(2)/25))/(LN(2)/25)*Calculateur!CG65*Calculateur!CI65*VLOOKUP('Données projet'!$B$12,Paramètres!$A$1:$I$89,3,0)*0.475*44/12</f>
        <v>4.6705281908314564</v>
      </c>
      <c r="CM65" s="21">
        <f>EXP(-LN(2)/2)*CM64+(1-EXP(-LN(2)/2))/(LN(2)/2)*CG65*CJ65*VLOOKUP('Données projet'!$B$12,Paramètres!$A$1:$I$89,3,0)*0.475*44/12</f>
        <v>1.711782603923705</v>
      </c>
      <c r="CN65" s="22">
        <f t="shared" si="12"/>
        <v>16.624019599298101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227.19465047672969</v>
      </c>
      <c r="CZ65" s="59">
        <f t="shared" si="42"/>
        <v>529.77979244134417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52.266225434212579</v>
      </c>
      <c r="DG65" s="21">
        <f>EXP(-LN(2)/25)*DG64+(1-EXP(-LN(2)/25))/(LN(2)/25)*Calculateur!DB65*Calculateur!DD65*VLOOKUP('Données projet'!$B$13,Paramètres!$A$1:$I$89,3,0)*0.475*44/12</f>
        <v>13.047706632964941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65.313932067177518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240.09151195692266</v>
      </c>
      <c r="DU65" s="59">
        <f t="shared" si="44"/>
        <v>559.47775134103165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55.682318599847349</v>
      </c>
      <c r="EB65" s="21">
        <f>EXP(-LN(2)/25)*EB64+(1-EXP(-LN(2)/25))/(LN(2)/25)*Calculateur!DW65*Calculateur!DY65*VLOOKUP('Données projet'!$B$14,Paramètres!$A$1:$I$89,3,0)*0.475*44/12</f>
        <v>13.900497916165264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69.582816516012613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8.6666666666666661</v>
      </c>
      <c r="EJ65" s="12">
        <f>IF('Données projet'!$A$192&gt;35,EJ64+EI65-ER64,IF(A65&lt;'Données projet'!$A$192,$EG$205^A65,IF(A65='Données projet'!$A$192,'Données projet'!$B$192,EJ64+EI65-ER64)))</f>
        <v>267.33333333333326</v>
      </c>
      <c r="EK65" s="17">
        <f>EJ65*VLOOKUP('Données projet'!$B$15,Paramètres!$A$1:$I$89,3,0)*VLOOKUP('Données projet'!$B$15,Paramètres!$A$1:$I$89,5,0)</f>
        <v>208.51999999999995</v>
      </c>
      <c r="EL65" s="13">
        <f t="shared" si="45"/>
        <v>51.612035456318459</v>
      </c>
      <c r="EM65" s="20">
        <f t="shared" si="19"/>
        <v>453.06329508642119</v>
      </c>
      <c r="EN65" s="59">
        <f t="shared" si="20"/>
        <v>699.31564625175793</v>
      </c>
      <c r="EO65" s="59">
        <f ca="1">AVERAGE(OFFSET($EN$3,0,0,'Données projet'!$E$15+1,1))-AVERAGE(OFFSET($H$3,0,0,'Données projet'!$E$15+1,1))</f>
        <v>328.79469965518484</v>
      </c>
      <c r="EP65" s="59">
        <f t="shared" si="46"/>
        <v>322.06400652269735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6.4848679811295495</v>
      </c>
      <c r="EW65" s="21">
        <f>EXP(-LN(2)/25)*EW64+(1-EXP(-LN(2)/25))/(LN(2)/25)*Calculateur!ER65*Calculateur!ET65*VLOOKUP('Données projet'!$B$15,Paramètres!$A$1:$I$89,3,0)*0.475*44/12</f>
        <v>11.550462562092818</v>
      </c>
      <c r="EX65" s="21">
        <f>EXP(-LN(2)/2)*EX64+(1-EXP(-LN(2)/2))/(LN(2)/2)*ER65*EU65*VLOOKUP('Données projet'!$B$15,Paramètres!$A$1:$I$89,3,0)*0.475*44/12</f>
        <v>5.5443558041257912</v>
      </c>
      <c r="EY65" s="22">
        <f t="shared" si="21"/>
        <v>23.579686347348158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12.4</v>
      </c>
      <c r="FE65" s="12">
        <f>IF('Données projet'!$A$218&gt;35,FE64+FD65-FM64,IF(A65&lt;'Données projet'!$A$218,$FB$205^A65,IF(A65='Données projet'!$A$218,'Données projet'!$B$218,FE64+FD65-FM64)))</f>
        <v>325.8</v>
      </c>
      <c r="FF65" s="17">
        <f>FE65*VLOOKUP('Données projet'!$B$16,Paramètres!$A$1:$I$89,3,0)*VLOOKUP('Données projet'!$B$16,Paramètres!$A$1:$I$89,5,0)</f>
        <v>238.87656000000001</v>
      </c>
      <c r="FG65" s="13">
        <f t="shared" si="47"/>
        <v>58.197750927455104</v>
      </c>
      <c r="FH65" s="20">
        <f t="shared" si="22"/>
        <v>517.40442486531765</v>
      </c>
      <c r="FI65" s="59">
        <f t="shared" si="23"/>
        <v>763.65677603065433</v>
      </c>
      <c r="FJ65" s="59">
        <f ca="1">AVERAGE(OFFSET($FI$3,0,0,'Données projet'!$E$16+1,1))-AVERAGE(OFFSET($H$3,0,0,'Données projet'!$E$16+1,1))</f>
        <v>525.22234644068908</v>
      </c>
      <c r="FK65" s="59">
        <f t="shared" si="48"/>
        <v>311.5550296132094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15.106826220783578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15.106826220783578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4.4000000000000004</v>
      </c>
      <c r="FZ65" s="12">
        <f>IF('Données projet'!$A$244&gt;35,FZ64+FY65-GH64,IF(A65&lt;'Données projet'!$A$244,$FW$205^A65,IF(A65='Données projet'!$A$244,'Données projet'!$B$244,FZ64+FY65-GH64)))</f>
        <v>241.79999999999984</v>
      </c>
      <c r="GA65" s="17">
        <f>FZ65*VLOOKUP('Données projet'!$B$17,Paramètres!$A$1:$I$89,3,0)*VLOOKUP('Données projet'!$B$17,Paramètres!$A$1:$I$89,5,0)</f>
        <v>158.42735999999988</v>
      </c>
      <c r="GB65" s="13">
        <f t="shared" si="49"/>
        <v>40.487598405868212</v>
      </c>
      <c r="GC65" s="20">
        <f t="shared" si="25"/>
        <v>346.44355255688691</v>
      </c>
      <c r="GD65" s="59">
        <f t="shared" si="26"/>
        <v>592.69590372222365</v>
      </c>
      <c r="GE65" s="59">
        <f ca="1">AVERAGE(OFFSET($GD$3,0,0,'Données projet'!$E$17+1,1))-AVERAGE(OFFSET($H$3,0,0,'Données projet'!$E$17+1,1))</f>
        <v>298.45881427802874</v>
      </c>
      <c r="GF65" s="59">
        <f t="shared" si="50"/>
        <v>287.00279305562356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6.8429619315592101</v>
      </c>
      <c r="GM65" s="21">
        <f>EXP(-LN(2)/25)*GM64+(1-EXP(-LN(2)/25))/(LN(2)/25)*Calculateur!GH65*Calculateur!GJ65*VLOOKUP('Données projet'!$B$17,Paramètres!$A$1:$I$89,3,0)*0.475*44/12</f>
        <v>3.1205970819983766</v>
      </c>
      <c r="GN65" s="21">
        <f>EXP(-LN(2)/2)*GN64+(1-EXP(-LN(2)/2))/(LN(2)/2)*GH65*GK65*VLOOKUP('Données projet'!$B$17,Paramètres!$A$1:$I$89,3,0)*0.475*44/12</f>
        <v>1.4097033208783456</v>
      </c>
      <c r="GO65" s="21">
        <f t="shared" si="27"/>
        <v>11.373262334435932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135.66666666666666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8.6666666666666661</v>
      </c>
      <c r="N66" s="13">
        <f>IF('Données projet'!$A$36&gt;35,N65+M66-V65,IF(A66&lt;'Données projet'!$A$36,$K$205^A66,IF(A66='Données projet'!$A$36,'Données projet'!$B$36,N65+M66-V65)))</f>
        <v>222</v>
      </c>
      <c r="O66" s="13">
        <f>N66*VLOOKUP('Données projet'!$B$9,Paramètres!$A$1:$I$89,3,0)*VLOOKUP('Données projet'!$B$9,Paramètres!$A$1:$I$89,5,0)</f>
        <v>200.8656</v>
      </c>
      <c r="P66" s="13">
        <f t="shared" si="33"/>
        <v>49.934352565642911</v>
      </c>
      <c r="Q66" s="20">
        <f t="shared" si="53"/>
        <v>436.80991738516144</v>
      </c>
      <c r="R66" s="59">
        <f t="shared" si="0"/>
        <v>683.87901833380545</v>
      </c>
      <c r="S66" s="59">
        <f ca="1">AVERAGE(OFFSET($R$3,0,0,'Données projet'!$E$9+1,1))-AVERAGE(OFFSET($H$3,0,0,'Données projet'!$E$9+1,1))</f>
        <v>600.52384738314299</v>
      </c>
      <c r="T66" s="59">
        <f t="shared" si="34"/>
        <v>314.84650287986256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26.409566230778278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26.409566230778278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240.00000000000009</v>
      </c>
      <c r="AJ66" s="13">
        <f>AI66*VLOOKUP('Données projet'!$B$10,Paramètres!$A$1:$I$89,3,0)*VLOOKUP('Données projet'!$B$10,Paramètres!$A$1:$I$89,5,0)</f>
        <v>209.6640000000001</v>
      </c>
      <c r="AK66" s="13">
        <f t="shared" si="35"/>
        <v>51.862154403304537</v>
      </c>
      <c r="AL66" s="20">
        <f t="shared" si="4"/>
        <v>455.49138558575561</v>
      </c>
      <c r="AM66" s="59">
        <f t="shared" si="5"/>
        <v>702.56048653439962</v>
      </c>
      <c r="AN66" s="59">
        <f ca="1">AVERAGE(OFFSET($AM$3,0,0,'Données projet'!$E$10+1,1))-AVERAGE(OFFSET($H$3,0,0,'Données projet'!$E$10+1,1))</f>
        <v>436.77894860279537</v>
      </c>
      <c r="AO66" s="59">
        <f t="shared" si="36"/>
        <v>398.63561969573072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34.627006456871122</v>
      </c>
      <c r="AV66" s="21">
        <f>EXP(-LN(2)/25)*AV65+(1-EXP(-LN(2)/25))/(LN(2)/25)*Calculateur!AQ66*Calculateur!AS66*VLOOKUP('Données projet'!$B$10,Paramètres!$A$1:$I$89,3,0)*0.475*44/12</f>
        <v>13.895132910232439</v>
      </c>
      <c r="AW66" s="21">
        <f>EXP(-LN(2)/2)*AW65+(1-EXP(-LN(2)/2))/(LN(2)/2)*AQ66*AT66*VLOOKUP('Données projet'!$B$10,Paramètres!$A$1:$I$89,3,0)*0.475*44/12</f>
        <v>1.7039013008612786E-5</v>
      </c>
      <c r="AX66" s="21">
        <f t="shared" si="6"/>
        <v>48.522156406116572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195.87671999999989</v>
      </c>
      <c r="BF66" s="13">
        <f t="shared" si="37"/>
        <v>48.836899853879942</v>
      </c>
      <c r="BG66" s="20">
        <f t="shared" si="7"/>
        <v>426.20955457884071</v>
      </c>
      <c r="BH66" s="59">
        <f t="shared" si="8"/>
        <v>673.27865552748472</v>
      </c>
      <c r="BI66" s="59">
        <f ca="1">AVERAGE(OFFSET($BH$3,0,0,'Données projet'!$E$11+1,1))-AVERAGE(OFFSET($H$3,0,0,'Données projet'!$E$11+1,1))</f>
        <v>344.97546176735341</v>
      </c>
      <c r="BJ66" s="59">
        <f t="shared" si="38"/>
        <v>331.15461126257492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10.040875141711401</v>
      </c>
      <c r="BQ66" s="21">
        <f>EXP(-LN(2)/25)*BQ65+(1-EXP(-LN(2)/25))/(LN(2)/25)*Calculateur!BL66*Calculateur!BN66*VLOOKUP('Données projet'!$B$11,Paramètres!$A$1:$I$89,3,0)*0.475*44/12</f>
        <v>4.5428123518407677</v>
      </c>
      <c r="BR66" s="21">
        <f>EXP(-LN(2)/2)*BR65+(1-EXP(-LN(2)/2))/(LN(2)/2)*BL66*BO66*VLOOKUP('Données projet'!$B$11,Paramètres!$A$1:$I$89,3,0)*0.475*44/12</f>
        <v>1.2104130871516179</v>
      </c>
      <c r="BS66" s="22">
        <f t="shared" si="9"/>
        <v>15.794100580703788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673.27865552748472</v>
      </c>
      <c r="CD66" s="59">
        <f ca="1">AVERAGE(OFFSET($CC$3,0,0,'Données projet'!$E$12+1,1))-AVERAGE(OFFSET($H$3,0,0,'Données projet'!$E$12+1,1))</f>
        <v>344.97546176735341</v>
      </c>
      <c r="CE66" s="59">
        <f t="shared" si="40"/>
        <v>331.15461126257492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10.040875141711401</v>
      </c>
      <c r="CL66" s="21">
        <f>EXP(-LN(2)/25)*CL65+(1-EXP(-LN(2)/25))/(LN(2)/25)*Calculateur!CG66*Calculateur!CI66*VLOOKUP('Données projet'!$B$12,Paramètres!$A$1:$I$89,3,0)*0.475*44/12</f>
        <v>4.5428123518407677</v>
      </c>
      <c r="CM66" s="21">
        <f>EXP(-LN(2)/2)*CM65+(1-EXP(-LN(2)/2))/(LN(2)/2)*CG66*CJ66*VLOOKUP('Données projet'!$B$12,Paramètres!$A$1:$I$89,3,0)*0.475*44/12</f>
        <v>1.2104130871516179</v>
      </c>
      <c r="CN66" s="22">
        <f t="shared" si="12"/>
        <v>15.794100580703788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227.19465047672969</v>
      </c>
      <c r="CZ66" s="59">
        <f t="shared" si="42"/>
        <v>529.77979244134417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51.241316632697369</v>
      </c>
      <c r="DG66" s="21">
        <f>EXP(-LN(2)/25)*DG65+(1-EXP(-LN(2)/25))/(LN(2)/25)*Calculateur!DB66*Calculateur!DD66*VLOOKUP('Données projet'!$B$13,Paramètres!$A$1:$I$89,3,0)*0.475*44/12</f>
        <v>12.690916408937444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63.932233041634817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240.09151195692266</v>
      </c>
      <c r="DU66" s="59">
        <f t="shared" si="44"/>
        <v>559.47775134103165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54.590422294965137</v>
      </c>
      <c r="EB66" s="21">
        <f>EXP(-LN(2)/25)*EB65+(1-EXP(-LN(2)/25))/(LN(2)/25)*Calculateur!DW66*Calculateur!DY66*VLOOKUP('Données projet'!$B$14,Paramètres!$A$1:$I$89,3,0)*0.475*44/12</f>
        <v>13.520388069652309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68.11081036461745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8.6666666666666661</v>
      </c>
      <c r="EJ66" s="12">
        <f>IF('Données projet'!$A$192&gt;35,EJ65+EI66-ER65,IF(A66&lt;'Données projet'!$A$192,$EG$205^A66,IF(A66='Données projet'!$A$192,'Données projet'!$B$192,EJ65+EI66-ER65)))</f>
        <v>275.99999999999994</v>
      </c>
      <c r="EK66" s="17">
        <f>EJ66*VLOOKUP('Données projet'!$B$15,Paramètres!$A$1:$I$89,3,0)*VLOOKUP('Données projet'!$B$15,Paramètres!$A$1:$I$89,5,0)</f>
        <v>215.27999999999997</v>
      </c>
      <c r="EL66" s="13">
        <f t="shared" si="45"/>
        <v>53.087725740853138</v>
      </c>
      <c r="EM66" s="20">
        <f t="shared" si="19"/>
        <v>467.40712233198587</v>
      </c>
      <c r="EN66" s="59">
        <f t="shared" si="20"/>
        <v>714.47622328062982</v>
      </c>
      <c r="EO66" s="59">
        <f ca="1">AVERAGE(OFFSET($EN$3,0,0,'Données projet'!$E$15+1,1))-AVERAGE(OFFSET($H$3,0,0,'Données projet'!$E$15+1,1))</f>
        <v>328.79469965518484</v>
      </c>
      <c r="EP66" s="59">
        <f t="shared" si="46"/>
        <v>322.06400652269735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6.3577036753985059</v>
      </c>
      <c r="EW66" s="21">
        <f>EXP(-LN(2)/25)*EW65+(1-EXP(-LN(2)/25))/(LN(2)/25)*Calculateur!ER66*Calculateur!ET66*VLOOKUP('Données projet'!$B$15,Paramètres!$A$1:$I$89,3,0)*0.475*44/12</f>
        <v>11.234614555919963</v>
      </c>
      <c r="EX66" s="21">
        <f>EXP(-LN(2)/2)*EX65+(1-EXP(-LN(2)/2))/(LN(2)/2)*ER66*EU66*VLOOKUP('Données projet'!$B$15,Paramètres!$A$1:$I$89,3,0)*0.475*44/12</f>
        <v>3.9204515864083409</v>
      </c>
      <c r="EY66" s="22">
        <f t="shared" si="21"/>
        <v>21.512769817726809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12.4</v>
      </c>
      <c r="FE66" s="12">
        <f>IF('Données projet'!$A$218&gt;35,FE65+FD66-FM65,IF(A66&lt;'Données projet'!$A$218,$FB$205^A66,IF(A66='Données projet'!$A$218,'Données projet'!$B$218,FE65+FD66-FM65)))</f>
        <v>338.2</v>
      </c>
      <c r="FF66" s="17">
        <f>FE66*VLOOKUP('Données projet'!$B$16,Paramètres!$A$1:$I$89,3,0)*VLOOKUP('Données projet'!$B$16,Paramètres!$A$1:$I$89,5,0)</f>
        <v>247.96823999999998</v>
      </c>
      <c r="FG66" s="13">
        <f t="shared" si="47"/>
        <v>60.150663616828652</v>
      </c>
      <c r="FH66" s="20">
        <f t="shared" si="22"/>
        <v>536.64042379930981</v>
      </c>
      <c r="FI66" s="59">
        <f t="shared" si="23"/>
        <v>783.70952474795376</v>
      </c>
      <c r="FJ66" s="59">
        <f ca="1">AVERAGE(OFFSET($FI$3,0,0,'Données projet'!$E$16+1,1))-AVERAGE(OFFSET($H$3,0,0,'Données projet'!$E$16+1,1))</f>
        <v>525.22234644068908</v>
      </c>
      <c r="FK66" s="59">
        <f t="shared" si="48"/>
        <v>311.5550296132094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14.693729263342787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14.693729263342787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4.4000000000000004</v>
      </c>
      <c r="FZ66" s="12">
        <f>IF('Données projet'!$A$244&gt;35,FZ65+FY66-GH65,IF(A66&lt;'Données projet'!$A$244,$FW$205^A66,IF(A66='Données projet'!$A$244,'Données projet'!$B$244,FZ65+FY66-GH65)))</f>
        <v>246.19999999999985</v>
      </c>
      <c r="GA66" s="17">
        <f>FZ66*VLOOKUP('Données projet'!$B$17,Paramètres!$A$1:$I$89,3,0)*VLOOKUP('Données projet'!$B$17,Paramètres!$A$1:$I$89,5,0)</f>
        <v>161.31023999999988</v>
      </c>
      <c r="GB66" s="13">
        <f t="shared" si="49"/>
        <v>41.137903274661063</v>
      </c>
      <c r="GC66" s="20">
        <f t="shared" si="25"/>
        <v>352.59718287003443</v>
      </c>
      <c r="GD66" s="59">
        <f t="shared" si="26"/>
        <v>599.66628381867838</v>
      </c>
      <c r="GE66" s="59">
        <f ca="1">AVERAGE(OFFSET($GD$3,0,0,'Données projet'!$E$17+1,1))-AVERAGE(OFFSET($H$3,0,0,'Données projet'!$E$17+1,1))</f>
        <v>298.45881427802874</v>
      </c>
      <c r="GF66" s="59">
        <f t="shared" si="50"/>
        <v>287.00279305562356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6.7087756218759846</v>
      </c>
      <c r="GM66" s="21">
        <f>EXP(-LN(2)/25)*GM65+(1-EXP(-LN(2)/25))/(LN(2)/25)*Calculateur!GH66*Calculateur!GJ66*VLOOKUP('Données projet'!$B$17,Paramètres!$A$1:$I$89,3,0)*0.475*44/12</f>
        <v>3.0352641906860627</v>
      </c>
      <c r="GN66" s="21">
        <f>EXP(-LN(2)/2)*GN65+(1-EXP(-LN(2)/2))/(LN(2)/2)*GH66*GK66*VLOOKUP('Données projet'!$B$17,Paramètres!$A$1:$I$89,3,0)*0.475*44/12</f>
        <v>0.99681077765427373</v>
      </c>
      <c r="GO66" s="21">
        <f t="shared" si="27"/>
        <v>10.74085059021632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135.66666666666666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8.6666666666666661</v>
      </c>
      <c r="N67" s="13">
        <f>IF('Données projet'!$A$36&gt;35,N66+M67-V66,IF(A67&lt;'Données projet'!$A$36,$K$205^A67,IF(A67='Données projet'!$A$36,'Données projet'!$B$36,N66+M67-V66)))</f>
        <v>230.66666666666666</v>
      </c>
      <c r="O67" s="13">
        <f>N67*VLOOKUP('Données projet'!$B$9,Paramètres!$A$1:$I$89,3,0)*VLOOKUP('Données projet'!$B$9,Paramètres!$A$1:$I$89,5,0)</f>
        <v>208.7072</v>
      </c>
      <c r="P67" s="13">
        <f t="shared" si="33"/>
        <v>51.652974918933275</v>
      </c>
      <c r="Q67" s="20">
        <f t="shared" ref="Q67:Q98" si="54">(O67+P67)*0.475*44/12</f>
        <v>453.46063798380879</v>
      </c>
      <c r="R67" s="59">
        <f t="shared" ref="R67:R130" si="55">Q67+(I67+J67)*44/12</f>
        <v>701.33231993299864</v>
      </c>
      <c r="S67" s="59">
        <f ca="1">AVERAGE(OFFSET($R$3,0,0,'Données projet'!$E$9+1,1))-AVERAGE(OFFSET($H$3,0,0,'Données projet'!$E$9+1,1))</f>
        <v>600.52384738314299</v>
      </c>
      <c r="T67" s="59">
        <f t="shared" si="34"/>
        <v>314.84650287986256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25.687395253378916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25.687395253378916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246.00000000000009</v>
      </c>
      <c r="AJ67" s="13">
        <f>AI67*VLOOKUP('Données projet'!$B$10,Paramètres!$A$1:$I$89,3,0)*VLOOKUP('Données projet'!$B$10,Paramètres!$A$1:$I$89,5,0)</f>
        <v>214.90560000000008</v>
      </c>
      <c r="AK67" s="13">
        <f t="shared" si="35"/>
        <v>53.006137800892326</v>
      </c>
      <c r="AL67" s="20">
        <f t="shared" si="4"/>
        <v>466.61294333655428</v>
      </c>
      <c r="AM67" s="59">
        <f t="shared" si="5"/>
        <v>714.48462528574407</v>
      </c>
      <c r="AN67" s="59">
        <f ca="1">AVERAGE(OFFSET($AM$3,0,0,'Données projet'!$E$10+1,1))-AVERAGE(OFFSET($H$3,0,0,'Données projet'!$E$10+1,1))</f>
        <v>436.77894860279537</v>
      </c>
      <c r="AO67" s="59">
        <f t="shared" si="36"/>
        <v>398.63561969573072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33.947991980640353</v>
      </c>
      <c r="AV67" s="21">
        <f>EXP(-LN(2)/25)*AV66+(1-EXP(-LN(2)/25))/(LN(2)/25)*Calculateur!AQ67*Calculateur!AS67*VLOOKUP('Données projet'!$B$10,Paramètres!$A$1:$I$89,3,0)*0.475*44/12</f>
        <v>13.515169770088852</v>
      </c>
      <c r="AW67" s="21">
        <f>EXP(-LN(2)/2)*AW66+(1-EXP(-LN(2)/2))/(LN(2)/2)*AQ67*AT67*VLOOKUP('Données projet'!$B$10,Paramètres!$A$1:$I$89,3,0)*0.475*44/12</f>
        <v>1.2048401643115899E-5</v>
      </c>
      <c r="AX67" s="21">
        <f t="shared" si="6"/>
        <v>47.46317379913085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199.3773599999999</v>
      </c>
      <c r="BF67" s="13">
        <f t="shared" si="37"/>
        <v>49.607305476717762</v>
      </c>
      <c r="BG67" s="20">
        <f t="shared" si="7"/>
        <v>433.64829237194994</v>
      </c>
      <c r="BH67" s="59">
        <f t="shared" si="8"/>
        <v>681.51997432113978</v>
      </c>
      <c r="BI67" s="59">
        <f ca="1">AVERAGE(OFFSET($BH$3,0,0,'Données projet'!$E$11+1,1))-AVERAGE(OFFSET($H$3,0,0,'Données projet'!$E$11+1,1))</f>
        <v>344.97546176735341</v>
      </c>
      <c r="BJ67" s="59">
        <f t="shared" si="38"/>
        <v>331.15461126257492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9.8439797045115505</v>
      </c>
      <c r="BQ67" s="21">
        <f>EXP(-LN(2)/25)*BQ66+(1-EXP(-LN(2)/25))/(LN(2)/25)*Calculateur!BL67*Calculateur!BN67*VLOOKUP('Données projet'!$B$11,Paramètres!$A$1:$I$89,3,0)*0.475*44/12</f>
        <v>4.4185889091835628</v>
      </c>
      <c r="BR67" s="21">
        <f>EXP(-LN(2)/2)*BR66+(1-EXP(-LN(2)/2))/(LN(2)/2)*BL67*BO67*VLOOKUP('Données projet'!$B$11,Paramètres!$A$1:$I$89,3,0)*0.475*44/12</f>
        <v>0.85589130196185259</v>
      </c>
      <c r="BS67" s="22">
        <f t="shared" si="9"/>
        <v>15.118459915656965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681.51997432113978</v>
      </c>
      <c r="CD67" s="59">
        <f ca="1">AVERAGE(OFFSET($CC$3,0,0,'Données projet'!$E$12+1,1))-AVERAGE(OFFSET($H$3,0,0,'Données projet'!$E$12+1,1))</f>
        <v>344.97546176735341</v>
      </c>
      <c r="CE67" s="59">
        <f t="shared" si="40"/>
        <v>331.15461126257492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9.8439797045115505</v>
      </c>
      <c r="CL67" s="21">
        <f>EXP(-LN(2)/25)*CL66+(1-EXP(-LN(2)/25))/(LN(2)/25)*Calculateur!CG67*Calculateur!CI67*VLOOKUP('Données projet'!$B$12,Paramètres!$A$1:$I$89,3,0)*0.475*44/12</f>
        <v>4.4185889091835628</v>
      </c>
      <c r="CM67" s="21">
        <f>EXP(-LN(2)/2)*CM66+(1-EXP(-LN(2)/2))/(LN(2)/2)*CG67*CJ67*VLOOKUP('Données projet'!$B$12,Paramètres!$A$1:$I$89,3,0)*0.475*44/12</f>
        <v>0.85589130196185259</v>
      </c>
      <c r="CN67" s="22">
        <f t="shared" si="12"/>
        <v>15.118459915656965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227.19465047672969</v>
      </c>
      <c r="CZ67" s="59">
        <f t="shared" si="42"/>
        <v>529.77979244134417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50.236505667647229</v>
      </c>
      <c r="DG67" s="21">
        <f>EXP(-LN(2)/25)*DG66+(1-EXP(-LN(2)/25))/(LN(2)/25)*Calculateur!DB67*Calculateur!DD67*VLOOKUP('Données projet'!$B$13,Paramètres!$A$1:$I$89,3,0)*0.475*44/12</f>
        <v>12.343882632348761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62.580388299995988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240.09151195692266</v>
      </c>
      <c r="DU67" s="59">
        <f t="shared" si="44"/>
        <v>559.47775134103165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53.519937410630675</v>
      </c>
      <c r="EB67" s="21">
        <f>EXP(-LN(2)/25)*EB66+(1-EXP(-LN(2)/25))/(LN(2)/25)*Calculateur!DW67*Calculateur!DY67*VLOOKUP('Données projet'!$B$14,Paramètres!$A$1:$I$89,3,0)*0.475*44/12</f>
        <v>13.150672346881359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66.67060975751204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8.6666666666666661</v>
      </c>
      <c r="EJ67" s="12">
        <f>IF('Données projet'!$A$192&gt;35,EJ66+EI67-ER66,IF(A67&lt;'Données projet'!$A$192,$EG$205^A67,IF(A67='Données projet'!$A$192,'Données projet'!$B$192,EJ66+EI67-ER66)))</f>
        <v>284.66666666666663</v>
      </c>
      <c r="EK67" s="17">
        <f>EJ67*VLOOKUP('Données projet'!$B$15,Paramètres!$A$1:$I$89,3,0)*VLOOKUP('Données projet'!$B$15,Paramètres!$A$1:$I$89,5,0)</f>
        <v>222.04</v>
      </c>
      <c r="EL67" s="13">
        <f t="shared" si="45"/>
        <v>54.558031180803546</v>
      </c>
      <c r="EM67" s="20">
        <f t="shared" si="19"/>
        <v>481.74157097323285</v>
      </c>
      <c r="EN67" s="59">
        <f t="shared" si="20"/>
        <v>729.6132529224227</v>
      </c>
      <c r="EO67" s="59">
        <f ca="1">AVERAGE(OFFSET($EN$3,0,0,'Données projet'!$E$15+1,1))-AVERAGE(OFFSET($H$3,0,0,'Données projet'!$E$15+1,1))</f>
        <v>328.79469965518484</v>
      </c>
      <c r="EP67" s="59">
        <f t="shared" si="46"/>
        <v>322.06400652269735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6.233032984140281</v>
      </c>
      <c r="EW67" s="21">
        <f>EXP(-LN(2)/25)*EW66+(1-EXP(-LN(2)/25))/(LN(2)/25)*Calculateur!ER67*Calculateur!ET67*VLOOKUP('Données projet'!$B$15,Paramètres!$A$1:$I$89,3,0)*0.475*44/12</f>
        <v>10.927403430085629</v>
      </c>
      <c r="EX67" s="21">
        <f>EXP(-LN(2)/2)*EX66+(1-EXP(-LN(2)/2))/(LN(2)/2)*ER67*EU67*VLOOKUP('Données projet'!$B$15,Paramètres!$A$1:$I$89,3,0)*0.475*44/12</f>
        <v>2.772177902062896</v>
      </c>
      <c r="EY67" s="22">
        <f t="shared" si="21"/>
        <v>19.932614316288806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12.4</v>
      </c>
      <c r="FE67" s="12">
        <f>IF('Données projet'!$A$218&gt;35,FE66+FD67-FM66,IF(A67&lt;'Données projet'!$A$218,$FB$205^A67,IF(A67='Données projet'!$A$218,'Données projet'!$B$218,FE66+FD67-FM66)))</f>
        <v>350.59999999999997</v>
      </c>
      <c r="FF67" s="17">
        <f>FE67*VLOOKUP('Données projet'!$B$16,Paramètres!$A$1:$I$89,3,0)*VLOOKUP('Données projet'!$B$16,Paramètres!$A$1:$I$89,5,0)</f>
        <v>257.05991999999998</v>
      </c>
      <c r="FG67" s="13">
        <f t="shared" si="47"/>
        <v>62.095257513974488</v>
      </c>
      <c r="FH67" s="20">
        <f t="shared" si="22"/>
        <v>555.86193417017216</v>
      </c>
      <c r="FI67" s="59">
        <f t="shared" si="23"/>
        <v>803.73361611936195</v>
      </c>
      <c r="FJ67" s="59">
        <f ca="1">AVERAGE(OFFSET($FI$3,0,0,'Données projet'!$E$16+1,1))-AVERAGE(OFFSET($H$3,0,0,'Données projet'!$E$16+1,1))</f>
        <v>525.22234644068908</v>
      </c>
      <c r="FK67" s="59">
        <f t="shared" si="48"/>
        <v>311.5550296132094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14.291928463927039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14.291928463927039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4.4000000000000004</v>
      </c>
      <c r="FZ67" s="12">
        <f>IF('Données projet'!$A$244&gt;35,FZ66+FY67-GH66,IF(A67&lt;'Données projet'!$A$244,$FW$205^A67,IF(A67='Données projet'!$A$244,'Données projet'!$B$244,FZ66+FY67-GH66)))</f>
        <v>250.59999999999985</v>
      </c>
      <c r="GA67" s="17">
        <f>FZ67*VLOOKUP('Données projet'!$B$17,Paramètres!$A$1:$I$89,3,0)*VLOOKUP('Données projet'!$B$17,Paramètres!$A$1:$I$89,5,0)</f>
        <v>164.19311999999991</v>
      </c>
      <c r="GB67" s="13">
        <f t="shared" si="49"/>
        <v>41.786856670339013</v>
      </c>
      <c r="GC67" s="20">
        <f t="shared" si="25"/>
        <v>358.74845936750694</v>
      </c>
      <c r="GD67" s="59">
        <f t="shared" si="26"/>
        <v>606.62014131669673</v>
      </c>
      <c r="GE67" s="59">
        <f ca="1">AVERAGE(OFFSET($GD$3,0,0,'Données projet'!$E$17+1,1))-AVERAGE(OFFSET($H$3,0,0,'Données projet'!$E$17+1,1))</f>
        <v>298.45881427802874</v>
      </c>
      <c r="GF67" s="59">
        <f t="shared" si="50"/>
        <v>287.00279305562356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6.5772206238800797</v>
      </c>
      <c r="GM67" s="21">
        <f>EXP(-LN(2)/25)*GM66+(1-EXP(-LN(2)/25))/(LN(2)/25)*Calculateur!GH67*Calculateur!GJ67*VLOOKUP('Données projet'!$B$17,Paramètres!$A$1:$I$89,3,0)*0.475*44/12</f>
        <v>2.9522647317741457</v>
      </c>
      <c r="GN67" s="21">
        <f>EXP(-LN(2)/2)*GN66+(1-EXP(-LN(2)/2))/(LN(2)/2)*GH67*GK67*VLOOKUP('Données projet'!$B$17,Paramètres!$A$1:$I$89,3,0)*0.475*44/12</f>
        <v>0.70485166043917291</v>
      </c>
      <c r="GO67" s="21">
        <f t="shared" si="27"/>
        <v>10.234337016093399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135.66666666666666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8.6666666666666661</v>
      </c>
      <c r="N68" s="13">
        <f>IF('Données projet'!$A$36&gt;35,N67+M68-V67,IF(A68&lt;'Données projet'!$A$36,$K$205^A68,IF(A68='Données projet'!$A$36,'Données projet'!$B$36,N67+M68-V67)))</f>
        <v>239.33333333333331</v>
      </c>
      <c r="O68" s="13">
        <f>N68*VLOOKUP('Données projet'!$B$9,Paramètres!$A$1:$I$89,3,0)*VLOOKUP('Données projet'!$B$9,Paramètres!$A$1:$I$89,5,0)</f>
        <v>216.54879999999997</v>
      </c>
      <c r="P68" s="13">
        <f t="shared" si="33"/>
        <v>53.364095578940479</v>
      </c>
      <c r="Q68" s="20">
        <f t="shared" si="54"/>
        <v>470.09829313332119</v>
      </c>
      <c r="R68" s="59">
        <f t="shared" si="55"/>
        <v>718.7586330969998</v>
      </c>
      <c r="S68" s="59">
        <f ca="1">AVERAGE(OFFSET($R$3,0,0,'Données projet'!$E$9+1,1))-AVERAGE(OFFSET($H$3,0,0,'Données projet'!$E$9+1,1))</f>
        <v>600.52384738314299</v>
      </c>
      <c r="T68" s="59">
        <f t="shared" si="34"/>
        <v>314.84650287986256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24.984972079333861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24.984972079333861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252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252.00000000000009</v>
      </c>
      <c r="AJ68" s="13">
        <f>AI68*VLOOKUP('Données projet'!$B$10,Paramètres!$A$1:$I$89,3,0)*VLOOKUP('Données projet'!$B$10,Paramètres!$A$1:$I$89,5,0)</f>
        <v>220.14720000000011</v>
      </c>
      <c r="AK68" s="13">
        <f t="shared" si="35"/>
        <v>54.146877667769687</v>
      </c>
      <c r="AL68" s="20">
        <f t="shared" ref="AL68:AL131" si="58">(AJ68+AK68)*0.475*44/12</f>
        <v>477.72885193803239</v>
      </c>
      <c r="AM68" s="59">
        <f t="shared" ref="AM68:AM131" si="59">AL68+(AD68+AE68)*44/12</f>
        <v>726.389191901711</v>
      </c>
      <c r="AN68" s="59">
        <f ca="1">AVERAGE(OFFSET($AM$3,0,0,'Données projet'!$E$10+1,1))-AVERAGE(OFFSET($H$3,0,0,'Données projet'!$E$10+1,1))</f>
        <v>436.77894860279537</v>
      </c>
      <c r="AO68" s="59">
        <f t="shared" si="36"/>
        <v>398.63561969573072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22</v>
      </c>
      <c r="AR68" s="16">
        <f>IF(ISNA(VLOOKUP(A68,'Données projet'!$A$61:$I$81,5,0)),0%,VLOOKUP(A68,'Données projet'!$A$61:$I$81,5,0)*VLOOKUP('Données projet'!$B$10,Paramètres!$A$1:$I$89,7,0))</f>
        <v>0.30099999999999999</v>
      </c>
      <c r="AS68" s="16">
        <f>IF(ISNA(VLOOKUP(A68,'Données projet'!$A$61:$I$81,6,0)),0%,VLOOKUP(A68,'Données projet'!$A$61:$I$81,6,0)*VLOOKUP('Données projet'!$B$10,Paramètres!$A$1:$I$89,7,0))</f>
        <v>4.3000000000000003E-2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39.677415715944761</v>
      </c>
      <c r="AV68" s="21">
        <f>EXP(-LN(2)/25)*AV67+(1-EXP(-LN(2)/25))/(LN(2)/25)*Calculateur!AQ68*Calculateur!AS68*VLOOKUP('Données projet'!$B$10,Paramètres!$A$1:$I$89,3,0)*0.475*44/12</f>
        <v>14.055588615598536</v>
      </c>
      <c r="AW68" s="21">
        <f>EXP(-LN(2)/2)*AW67+(1-EXP(-LN(2)/2))/(LN(2)/2)*AQ68*AT68*VLOOKUP('Données projet'!$B$10,Paramètres!$A$1:$I$89,3,0)*0.475*44/12</f>
        <v>8.5195065043063932E-6</v>
      </c>
      <c r="AX68" s="21">
        <f t="shared" ref="AX68:AX131" si="60">SUM(AU68:AW68)</f>
        <v>53.7330128510498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202.8779999999999</v>
      </c>
      <c r="BF68" s="13">
        <f t="shared" si="37"/>
        <v>50.376138116990084</v>
      </c>
      <c r="BG68" s="20">
        <f t="shared" ref="BG68:BG131" si="61">(BE68+BF68)*0.475*44/12</f>
        <v>441.08429055375751</v>
      </c>
      <c r="BH68" s="59">
        <f t="shared" ref="BH68:BH131" si="62">BG68+(AY68+AZ68)*44/12</f>
        <v>689.74463051743601</v>
      </c>
      <c r="BI68" s="59">
        <f ca="1">AVERAGE(OFFSET($BH$3,0,0,'Données projet'!$E$11+1,1))-AVERAGE(OFFSET($H$3,0,0,'Données projet'!$E$11+1,1))</f>
        <v>344.97546176735341</v>
      </c>
      <c r="BJ68" s="59">
        <f t="shared" si="38"/>
        <v>331.15461126257492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0.26500000000000001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0.3</v>
      </c>
      <c r="BP68" s="21">
        <f>EXP(-LN(2)/35)*BP67+(1-EXP(-LN(2)/35))/(LN(2)/35)*BL68*BM68*VLOOKUP('Données projet'!$B$11,Paramètres!$A$1:$I$89,3,0)*0.475*44/12</f>
        <v>12.214723428723781</v>
      </c>
      <c r="BQ68" s="21">
        <f>EXP(-LN(2)/25)*BQ67+(1-EXP(-LN(2)/25))/(LN(2)/25)*Calculateur!BL68*Calculateur!BN68*VLOOKUP('Données projet'!$B$11,Paramètres!$A$1:$I$89,3,0)*0.475*44/12</f>
        <v>4.2977623630984461</v>
      </c>
      <c r="BR68" s="21">
        <f>EXP(-LN(2)/2)*BR67+(1-EXP(-LN(2)/2))/(LN(2)/2)*BL68*BO68*VLOOKUP('Données projet'!$B$11,Paramètres!$A$1:$I$89,3,0)*0.475*44/12</f>
        <v>3.0824175873339641</v>
      </c>
      <c r="BS68" s="22">
        <f t="shared" ref="BS68:BS131" si="63">SUM(BP68:BR68)</f>
        <v>19.594903379156193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689.74463051743601</v>
      </c>
      <c r="CD68" s="59">
        <f ca="1">AVERAGE(OFFSET($CC$3,0,0,'Données projet'!$E$12+1,1))-AVERAGE(OFFSET($H$3,0,0,'Données projet'!$E$12+1,1))</f>
        <v>344.97546176735341</v>
      </c>
      <c r="CE68" s="59">
        <f t="shared" si="40"/>
        <v>331.15461126257492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0.26500000000000001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0.3</v>
      </c>
      <c r="CK68" s="21">
        <f>EXP(-LN(2)/35)*CK67+(1-EXP(-LN(2)/35))/(LN(2)/35)*CG68*CH68*VLOOKUP('Données projet'!$B$12,Paramètres!$A$1:$I$89,3,0)*0.475*44/12</f>
        <v>12.214723428723781</v>
      </c>
      <c r="CL68" s="21">
        <f>EXP(-LN(2)/25)*CL67+(1-EXP(-LN(2)/25))/(LN(2)/25)*Calculateur!CG68*Calculateur!CI68*VLOOKUP('Données projet'!$B$12,Paramètres!$A$1:$I$89,3,0)*0.475*44/12</f>
        <v>4.2977623630984461</v>
      </c>
      <c r="CM68" s="21">
        <f>EXP(-LN(2)/2)*CM67+(1-EXP(-LN(2)/2))/(LN(2)/2)*CG68*CJ68*VLOOKUP('Données projet'!$B$12,Paramètres!$A$1:$I$89,3,0)*0.475*44/12</f>
        <v>3.0824175873339641</v>
      </c>
      <c r="CN68" s="22">
        <f t="shared" ref="CN68:CN131" si="66">SUM(CK68:CM68)</f>
        <v>19.594903379156193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227.19465047672969</v>
      </c>
      <c r="CZ68" s="59">
        <f t="shared" si="42"/>
        <v>529.77979244134417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49.25139843274755</v>
      </c>
      <c r="DG68" s="21">
        <f>EXP(-LN(2)/25)*DG67+(1-EXP(-LN(2)/25))/(LN(2)/25)*Calculateur!DB68*Calculateur!DD68*VLOOKUP('Données projet'!$B$13,Paramètres!$A$1:$I$89,3,0)*0.475*44/12</f>
        <v>12.006338512630608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61.257736945378156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240.09151195692266</v>
      </c>
      <c r="DU68" s="59">
        <f t="shared" si="44"/>
        <v>559.47775134103165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52.47044408194671</v>
      </c>
      <c r="EB68" s="21">
        <f>EXP(-LN(2)/25)*EB67+(1-EXP(-LN(2)/25))/(LN(2)/25)*Calculateur!DW68*Calculateur!DY68*VLOOKUP('Données projet'!$B$14,Paramètres!$A$1:$I$89,3,0)*0.475*44/12</f>
        <v>12.791066519992086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65.261510601938795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8.6666666666666661</v>
      </c>
      <c r="EJ68" s="12">
        <f>IF('Données projet'!$A$192&gt;35,EJ67+EI68-ER67,IF(A68&lt;'Données projet'!$A$192,$EG$205^A68,IF(A68='Données projet'!$A$192,'Données projet'!$B$192,EJ67+EI68-ER67)))</f>
        <v>293.33333333333331</v>
      </c>
      <c r="EK68" s="17">
        <f>EJ68*VLOOKUP('Données projet'!$B$15,Paramètres!$A$1:$I$89,3,0)*VLOOKUP('Données projet'!$B$15,Paramètres!$A$1:$I$89,5,0)</f>
        <v>228.79999999999998</v>
      </c>
      <c r="EL68" s="13">
        <f t="shared" si="45"/>
        <v>56.023134533701196</v>
      </c>
      <c r="EM68" s="20">
        <f t="shared" ref="EM68:EM131" si="73">(EK68+EL68)*0.475*44/12</f>
        <v>496.06695931286293</v>
      </c>
      <c r="EN68" s="59">
        <f t="shared" ref="EN68:EN131" si="74">EM68+(EE68+EF68)*44/12</f>
        <v>744.72729927654154</v>
      </c>
      <c r="EO68" s="59">
        <f ca="1">AVERAGE(OFFSET($EN$3,0,0,'Données projet'!$E$15+1,1))-AVERAGE(OFFSET($H$3,0,0,'Données projet'!$E$15+1,1))</f>
        <v>328.79469965518484</v>
      </c>
      <c r="EP68" s="59">
        <f t="shared" si="46"/>
        <v>322.06400652269735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6.1108070090960167</v>
      </c>
      <c r="EW68" s="21">
        <f>EXP(-LN(2)/25)*EW67+(1-EXP(-LN(2)/25))/(LN(2)/25)*Calculateur!ER68*Calculateur!ET68*VLOOKUP('Données projet'!$B$15,Paramètres!$A$1:$I$89,3,0)*0.475*44/12</f>
        <v>10.628593008642767</v>
      </c>
      <c r="EX68" s="21">
        <f>EXP(-LN(2)/2)*EX67+(1-EXP(-LN(2)/2))/(LN(2)/2)*ER68*EU68*VLOOKUP('Données projet'!$B$15,Paramètres!$A$1:$I$89,3,0)*0.475*44/12</f>
        <v>1.9602257932041707</v>
      </c>
      <c r="EY68" s="22">
        <f t="shared" ref="EY68:EY131" si="75">SUM(EV68:EX68)</f>
        <v>18.699625810942955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363</v>
      </c>
      <c r="FC68" s="12">
        <f>VLOOKUP(A68,'Données projet'!$A$217:$I$237,9,0)</f>
        <v>12.4</v>
      </c>
      <c r="FD68" s="12">
        <f t="array" ref="FD68">INDEX(FC:FC,MIN(IF(ISNUMBER(FC68:FC264),ROW(FC68:FC264),"")))</f>
        <v>12.4</v>
      </c>
      <c r="FE68" s="12">
        <f>IF('Données projet'!$A$218&gt;35,FE67+FD68-FM67,IF(A68&lt;'Données projet'!$A$218,$FB$205^A68,IF(A68='Données projet'!$A$218,'Données projet'!$B$218,FE67+FD68-FM67)))</f>
        <v>362.99999999999994</v>
      </c>
      <c r="FF68" s="17">
        <f>FE68*VLOOKUP('Données projet'!$B$16,Paramètres!$A$1:$I$89,3,0)*VLOOKUP('Données projet'!$B$16,Paramètres!$A$1:$I$89,5,0)</f>
        <v>266.15159999999992</v>
      </c>
      <c r="FG68" s="13">
        <f t="shared" si="47"/>
        <v>64.031860548293878</v>
      </c>
      <c r="FH68" s="20">
        <f t="shared" ref="FH68:FH131" si="76">(FF68+FG68)*0.475*44/12</f>
        <v>575.06952712161171</v>
      </c>
      <c r="FI68" s="59">
        <f t="shared" ref="FI68:FI131" si="77">FH68+(EZ68+FA68)*44/12</f>
        <v>823.72986708529027</v>
      </c>
      <c r="FJ68" s="59">
        <f ca="1">AVERAGE(OFFSET($FI$3,0,0,'Données projet'!$E$16+1,1))-AVERAGE(OFFSET($H$3,0,0,'Données projet'!$E$16+1,1))</f>
        <v>525.22234644068908</v>
      </c>
      <c r="FK68" s="59">
        <f t="shared" si="48"/>
        <v>311.5550296132094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35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0.215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19.976344766486712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19.976344766486712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255</v>
      </c>
      <c r="FX68" s="12">
        <f>VLOOKUP(A68,'Données projet'!$A$243:$I$263,9,0)</f>
        <v>4.4000000000000004</v>
      </c>
      <c r="FY68" s="12">
        <f t="array" ref="FY68">INDEX(FX:FX,MIN(IF(ISNUMBER(FX68:FX264),ROW(FX68:FX264),"")))</f>
        <v>4.4000000000000004</v>
      </c>
      <c r="FZ68" s="12">
        <f>IF('Données projet'!$A$244&gt;35,FZ67+FY68-GH67,IF(A68&lt;'Données projet'!$A$244,$FW$205^A68,IF(A68='Données projet'!$A$244,'Données projet'!$B$244,FZ67+FY68-GH67)))</f>
        <v>254.99999999999986</v>
      </c>
      <c r="GA68" s="17">
        <f>FZ68*VLOOKUP('Données projet'!$B$17,Paramètres!$A$1:$I$89,3,0)*VLOOKUP('Données projet'!$B$17,Paramètres!$A$1:$I$89,5,0)</f>
        <v>167.07599999999991</v>
      </c>
      <c r="GB68" s="13">
        <f t="shared" si="49"/>
        <v>42.434485059621636</v>
      </c>
      <c r="GC68" s="20">
        <f t="shared" ref="GC68:GC131" si="79">(GA68+GB68)*0.475*44/12</f>
        <v>364.89742814550755</v>
      </c>
      <c r="GD68" s="59">
        <f t="shared" ref="GD68:GD131" si="80">GC68+(FU68+FV68)*44/12</f>
        <v>613.5577681091861</v>
      </c>
      <c r="GE68" s="59">
        <f ca="1">AVERAGE(OFFSET($GD$3,0,0,'Données projet'!$E$17+1,1))-AVERAGE(OFFSET($H$3,0,0,'Données projet'!$E$17+1,1))</f>
        <v>298.45881427802874</v>
      </c>
      <c r="GF68" s="59">
        <f t="shared" si="50"/>
        <v>287.00279305562356</v>
      </c>
      <c r="GG68" s="15">
        <f>IF(ISNA(VLOOKUP(A68,'Données projet'!$A$243:$I$263,3,0)),0,VLOOKUP(A68,'Données projet'!$A$243:$I$263,3,0))</f>
        <v>11</v>
      </c>
      <c r="GH68" s="15">
        <f>IF(ISNA(VLOOKUP(A68,'Données projet'!$A$243:$I$263,4,0)),0,VLOOKUP(A68,'Données projet'!$A$243:$I$263,4,0))</f>
        <v>11</v>
      </c>
      <c r="GI68" s="16">
        <f>IF(ISNA(VLOOKUP(A68,'Données projet'!$A$243:$I$263,5,0)),0%,VLOOKUP(A68,'Données projet'!$A$243:$I$263,5,0)*VLOOKUP('Données projet'!$B$17,Paramètres!$A$1:$I$89,7,0))</f>
        <v>0.215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0.3</v>
      </c>
      <c r="GL68" s="21">
        <f>EXP(-LN(2)/35)*GL67+(1-EXP(-LN(2)/35))/(LN(2)/35)*GH68*GI68*VLOOKUP('Données projet'!$B$17,Paramètres!$A$1:$I$89,3,0)*0.475*44/12</f>
        <v>8.1612247548187717</v>
      </c>
      <c r="GM68" s="21">
        <f>EXP(-LN(2)/25)*GM67+(1-EXP(-LN(2)/25))/(LN(2)/25)*Calculateur!GH68*Calculateur!GJ68*VLOOKUP('Données projet'!$B$17,Paramètres!$A$1:$I$89,3,0)*0.475*44/12</f>
        <v>2.8715348974309269</v>
      </c>
      <c r="GN68" s="21">
        <f>EXP(-LN(2)/2)*GN67+(1-EXP(-LN(2)/2))/(LN(2)/2)*GH68*GK68*VLOOKUP('Données projet'!$B$17,Paramètres!$A$1:$I$89,3,0)*0.475*44/12</f>
        <v>2.5384615425103232</v>
      </c>
      <c r="GO68" s="21">
        <f t="shared" ref="GO68:GO131" si="81">SUM(GL68:GN68)</f>
        <v>13.571221194760021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135.66666666666666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8.6666666666666661</v>
      </c>
      <c r="N69" s="13">
        <f>IF('Données projet'!$A$36&gt;35,N68+M69-V68,IF(A69&lt;'Données projet'!$A$36,$K$205^A69,IF(A69='Données projet'!$A$36,'Données projet'!$B$36,N68+M69-V68)))</f>
        <v>247.99999999999997</v>
      </c>
      <c r="O69" s="13">
        <f>N69*VLOOKUP('Données projet'!$B$9,Paramètres!$A$1:$I$89,3,0)*VLOOKUP('Données projet'!$B$9,Paramètres!$A$1:$I$89,5,0)</f>
        <v>224.39039999999997</v>
      </c>
      <c r="P69" s="13">
        <f t="shared" ref="P69:P132" si="87">EXP(-1.0587+0.8836*LN(O69)+0.284)</f>
        <v>55.068017311015858</v>
      </c>
      <c r="Q69" s="20">
        <f t="shared" si="54"/>
        <v>486.72341015001916</v>
      </c>
      <c r="R69" s="59">
        <f t="shared" si="55"/>
        <v>736.15872667481028</v>
      </c>
      <c r="S69" s="59">
        <f ca="1">AVERAGE(OFFSET($R$3,0,0,'Données projet'!$E$9+1,1))-AVERAGE(OFFSET($H$3,0,0,'Données projet'!$E$9+1,1))</f>
        <v>600.52384738314299</v>
      </c>
      <c r="T69" s="59">
        <f t="shared" ref="T69:T132" si="88">$T$3</f>
        <v>314.84650287986256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24.3017567039219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24.3017567039219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5.4</v>
      </c>
      <c r="AI69" s="13">
        <f>IF('Données projet'!$A$62&gt;35,AI68+AH69-AQ68,IF(A69&lt;'Données projet'!$A$62,$AF$205^A69,IF(A69='Données projet'!$A$62,'Données projet'!$B$62,AI68+AH69-AQ68)))</f>
        <v>235.40000000000009</v>
      </c>
      <c r="AJ69" s="13">
        <f>AI69*VLOOKUP('Données projet'!$B$10,Paramètres!$A$1:$I$89,3,0)*VLOOKUP('Données projet'!$B$10,Paramètres!$A$1:$I$89,5,0)</f>
        <v>205.64544000000012</v>
      </c>
      <c r="AK69" s="13">
        <f t="shared" ref="AK69:AK132" si="89">EXP(-1.0587+0.8836*LN(AJ69)+0.284)</f>
        <v>50.982847417614401</v>
      </c>
      <c r="AL69" s="20">
        <f t="shared" si="58"/>
        <v>446.96093391901189</v>
      </c>
      <c r="AM69" s="59">
        <f t="shared" si="59"/>
        <v>696.39625044380296</v>
      </c>
      <c r="AN69" s="59">
        <f ca="1">AVERAGE(OFFSET($AM$3,0,0,'Données projet'!$E$10+1,1))-AVERAGE(OFFSET($H$3,0,0,'Données projet'!$E$10+1,1))</f>
        <v>436.77894860279537</v>
      </c>
      <c r="AO69" s="59">
        <f t="shared" ref="AO69:AO132" si="90">$AO$3</f>
        <v>398.63561969573072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38.899365794589038</v>
      </c>
      <c r="AV69" s="21">
        <f>EXP(-LN(2)/25)*AV68+(1-EXP(-LN(2)/25))/(LN(2)/25)*Calculateur!AQ69*Calculateur!AS69*VLOOKUP('Données projet'!$B$10,Paramètres!$A$1:$I$89,3,0)*0.475*44/12</f>
        <v>13.671237805753712</v>
      </c>
      <c r="AW69" s="21">
        <f>EXP(-LN(2)/2)*AW68+(1-EXP(-LN(2)/2))/(LN(2)/2)*AQ69*AT69*VLOOKUP('Données projet'!$B$10,Paramètres!$A$1:$I$89,3,0)*0.475*44/12</f>
        <v>6.0242008215579493E-6</v>
      </c>
      <c r="AX69" s="21">
        <f t="shared" si="60"/>
        <v>52.570609624543572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197.14967999999988</v>
      </c>
      <c r="BF69" s="13">
        <f t="shared" ref="BF69:BF132" si="91">EXP(-1.0587+0.8836*LN(BE69)+0.284)</f>
        <v>49.11723130862363</v>
      </c>
      <c r="BG69" s="20">
        <f t="shared" si="61"/>
        <v>428.91487052918592</v>
      </c>
      <c r="BH69" s="59">
        <f t="shared" si="62"/>
        <v>678.35018705397704</v>
      </c>
      <c r="BI69" s="59">
        <f ca="1">AVERAGE(OFFSET($BH$3,0,0,'Données projet'!$E$11+1,1))-AVERAGE(OFFSET($H$3,0,0,'Données projet'!$E$11+1,1))</f>
        <v>344.97546176735341</v>
      </c>
      <c r="BJ69" s="59">
        <f t="shared" ref="BJ69:BJ132" si="92">$BJ$3</f>
        <v>331.15461126257492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11.975200152532148</v>
      </c>
      <c r="BQ69" s="21">
        <f>EXP(-LN(2)/25)*BQ68+(1-EXP(-LN(2)/25))/(LN(2)/25)*Calculateur!BL69*Calculateur!BN69*VLOOKUP('Données projet'!$B$11,Paramètres!$A$1:$I$89,3,0)*0.475*44/12</f>
        <v>4.1802398252700188</v>
      </c>
      <c r="BR69" s="21">
        <f>EXP(-LN(2)/2)*BR68+(1-EXP(-LN(2)/2))/(LN(2)/2)*BL69*BO69*VLOOKUP('Données projet'!$B$11,Paramètres!$A$1:$I$89,3,0)*0.475*44/12</f>
        <v>2.179598378452523</v>
      </c>
      <c r="BS69" s="22">
        <f t="shared" si="63"/>
        <v>18.335038356254692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678.35018705397704</v>
      </c>
      <c r="CD69" s="59">
        <f ca="1">AVERAGE(OFFSET($CC$3,0,0,'Données projet'!$E$12+1,1))-AVERAGE(OFFSET($H$3,0,0,'Données projet'!$E$12+1,1))</f>
        <v>344.97546176735341</v>
      </c>
      <c r="CE69" s="59">
        <f t="shared" ref="CE69:CE132" si="94">$CE$3</f>
        <v>331.15461126257492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11.975200152532148</v>
      </c>
      <c r="CL69" s="21">
        <f>EXP(-LN(2)/25)*CL68+(1-EXP(-LN(2)/25))/(LN(2)/25)*Calculateur!CG69*Calculateur!CI69*VLOOKUP('Données projet'!$B$12,Paramètres!$A$1:$I$89,3,0)*0.475*44/12</f>
        <v>4.1802398252700188</v>
      </c>
      <c r="CM69" s="21">
        <f>EXP(-LN(2)/2)*CM68+(1-EXP(-LN(2)/2))/(LN(2)/2)*CG69*CJ69*VLOOKUP('Données projet'!$B$12,Paramètres!$A$1:$I$89,3,0)*0.475*44/12</f>
        <v>2.179598378452523</v>
      </c>
      <c r="CN69" s="22">
        <f t="shared" si="66"/>
        <v>18.335038356254692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227.19465047672969</v>
      </c>
      <c r="CZ69" s="59">
        <f t="shared" ref="CZ69:CZ132" si="96">$CZ$3</f>
        <v>529.77979244134417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48.285608549868172</v>
      </c>
      <c r="DG69" s="21">
        <f>EXP(-LN(2)/25)*DG68+(1-EXP(-LN(2)/25))/(LN(2)/25)*Calculateur!DB69*Calculateur!DD69*VLOOKUP('Données projet'!$B$13,Paramètres!$A$1:$I$89,3,0)*0.475*44/12</f>
        <v>11.678024554616822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59.963633104484998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240.09151195692266</v>
      </c>
      <c r="DU69" s="59">
        <f t="shared" ref="DU69:DU132" si="98">$DU$3</f>
        <v>559.47775134103165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51.44153067731051</v>
      </c>
      <c r="EB69" s="21">
        <f>EXP(-LN(2)/25)*EB68+(1-EXP(-LN(2)/25))/(LN(2)/25)*Calculateur!DW69*Calculateur!DY69*VLOOKUP('Données projet'!$B$14,Paramètres!$A$1:$I$89,3,0)*0.475*44/12</f>
        <v>12.441294133349949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63.882824810660459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8.6666666666666661</v>
      </c>
      <c r="EJ69" s="12">
        <f>IF('Données projet'!$A$192&gt;35,EJ68+EI69-ER68,IF(A69&lt;'Données projet'!$A$192,$EG$205^A69,IF(A69='Données projet'!$A$192,'Données projet'!$B$192,EJ68+EI69-ER68)))</f>
        <v>302</v>
      </c>
      <c r="EK69" s="17">
        <f>EJ69*VLOOKUP('Données projet'!$B$15,Paramètres!$A$1:$I$89,3,0)*VLOOKUP('Données projet'!$B$15,Paramètres!$A$1:$I$89,5,0)</f>
        <v>235.56</v>
      </c>
      <c r="EL69" s="13">
        <f t="shared" ref="EL69:EL132" si="99">EXP(-1.0587+0.8836*LN(EK69)+0.284)</f>
        <v>57.483207143847721</v>
      </c>
      <c r="EM69" s="20">
        <f t="shared" si="73"/>
        <v>510.38358577553481</v>
      </c>
      <c r="EN69" s="59">
        <f t="shared" si="74"/>
        <v>759.81890230032593</v>
      </c>
      <c r="EO69" s="59">
        <f ca="1">AVERAGE(OFFSET($EN$3,0,0,'Données projet'!$E$15+1,1))-AVERAGE(OFFSET($H$3,0,0,'Données projet'!$E$15+1,1))</f>
        <v>328.79469965518484</v>
      </c>
      <c r="EP69" s="59">
        <f t="shared" ref="EP69:EP132" si="100">$EP$3</f>
        <v>322.06400652269735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5.990977810871887</v>
      </c>
      <c r="EW69" s="21">
        <f>EXP(-LN(2)/25)*EW68+(1-EXP(-LN(2)/25))/(LN(2)/25)*Calculateur!ER69*Calculateur!ET69*VLOOKUP('Données projet'!$B$15,Paramètres!$A$1:$I$89,3,0)*0.475*44/12</f>
        <v>10.337953573888017</v>
      </c>
      <c r="EX69" s="21">
        <f>EXP(-LN(2)/2)*EX68+(1-EXP(-LN(2)/2))/(LN(2)/2)*ER69*EU69*VLOOKUP('Données projet'!$B$15,Paramètres!$A$1:$I$89,3,0)*0.475*44/12</f>
        <v>1.3860889510314482</v>
      </c>
      <c r="EY69" s="22">
        <f t="shared" si="75"/>
        <v>17.715020335791351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11.8</v>
      </c>
      <c r="FE69" s="12">
        <f>IF('Données projet'!$A$218&gt;35,FE68+FD69-FM68,IF(A69&lt;'Données projet'!$A$218,$FB$205^A69,IF(A69='Données projet'!$A$218,'Données projet'!$B$218,FE68+FD69-FM68)))</f>
        <v>339.79999999999995</v>
      </c>
      <c r="FF69" s="17">
        <f>FE69*VLOOKUP('Données projet'!$B$16,Paramètres!$A$1:$I$89,3,0)*VLOOKUP('Données projet'!$B$16,Paramètres!$A$1:$I$89,5,0)</f>
        <v>249.14135999999993</v>
      </c>
      <c r="FG69" s="13">
        <f t="shared" ref="FG69:FG132" si="101">EXP(-1.0587+0.8836*LN(FF69)+0.284)</f>
        <v>60.402039219378615</v>
      </c>
      <c r="FH69" s="20">
        <f t="shared" si="76"/>
        <v>539.12142030708435</v>
      </c>
      <c r="FI69" s="59">
        <f t="shared" si="77"/>
        <v>788.55673683187547</v>
      </c>
      <c r="FJ69" s="59">
        <f ca="1">AVERAGE(OFFSET($FI$3,0,0,'Données projet'!$E$16+1,1))-AVERAGE(OFFSET($H$3,0,0,'Données projet'!$E$16+1,1))</f>
        <v>525.22234644068908</v>
      </c>
      <c r="FK69" s="59">
        <f t="shared" ref="FK69:FK132" si="102">$FK$3</f>
        <v>311.5550296132094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19.430090568336819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19.430090568336819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3.8</v>
      </c>
      <c r="FZ69" s="12">
        <f>IF('Données projet'!$A$244&gt;35,FZ68+FY69-GH68,IF(A69&lt;'Données projet'!$A$244,$FW$205^A69,IF(A69='Données projet'!$A$244,'Données projet'!$B$244,FZ68+FY69-GH68)))</f>
        <v>247.79999999999984</v>
      </c>
      <c r="GA69" s="17">
        <f>FZ69*VLOOKUP('Données projet'!$B$17,Paramètres!$A$1:$I$89,3,0)*VLOOKUP('Données projet'!$B$17,Paramètres!$A$1:$I$89,5,0)</f>
        <v>162.3585599999999</v>
      </c>
      <c r="GB69" s="13">
        <f t="shared" ref="GB69:GB132" si="103">EXP(-1.0587+0.8836*LN(GA69)+0.284)</f>
        <v>41.374041283105406</v>
      </c>
      <c r="GC69" s="20">
        <f t="shared" si="79"/>
        <v>354.83428056807503</v>
      </c>
      <c r="GD69" s="59">
        <f t="shared" si="80"/>
        <v>604.26959709286621</v>
      </c>
      <c r="GE69" s="59">
        <f ca="1">AVERAGE(OFFSET($GD$3,0,0,'Données projet'!$E$17+1,1))-AVERAGE(OFFSET($H$3,0,0,'Données projet'!$E$17+1,1))</f>
        <v>298.45881427802874</v>
      </c>
      <c r="GF69" s="59">
        <f t="shared" ref="GF69:GF132" si="104">$GF$3</f>
        <v>287.00279305562356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8.0011881152323543</v>
      </c>
      <c r="GM69" s="21">
        <f>EXP(-LN(2)/25)*GM68+(1-EXP(-LN(2)/25))/(LN(2)/25)*Calculateur!GH69*Calculateur!GJ69*VLOOKUP('Données projet'!$B$17,Paramètres!$A$1:$I$89,3,0)*0.475*44/12</f>
        <v>2.7930126246532208</v>
      </c>
      <c r="GN69" s="21">
        <f>EXP(-LN(2)/2)*GN68+(1-EXP(-LN(2)/2))/(LN(2)/2)*GH69*GK69*VLOOKUP('Données projet'!$B$17,Paramètres!$A$1:$I$89,3,0)*0.475*44/12</f>
        <v>1.7949633704903132</v>
      </c>
      <c r="GO69" s="21">
        <f t="shared" si="81"/>
        <v>12.589164110375888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135.66666666666666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8.6666666666666661</v>
      </c>
      <c r="N70" s="13">
        <f>IF('Données projet'!$A$36&gt;35,N69+M70-V69,IF(A70&lt;'Données projet'!$A$36,$K$205^A70,IF(A70='Données projet'!$A$36,'Données projet'!$B$36,N69+M70-V69)))</f>
        <v>256.66666666666663</v>
      </c>
      <c r="O70" s="13">
        <f>N70*VLOOKUP('Données projet'!$B$9,Paramètres!$A$1:$I$89,3,0)*VLOOKUP('Données projet'!$B$9,Paramètres!$A$1:$I$89,5,0)</f>
        <v>232.23199999999997</v>
      </c>
      <c r="P70" s="13">
        <f t="shared" si="87"/>
        <v>56.765020519538929</v>
      </c>
      <c r="Q70" s="20">
        <f t="shared" si="54"/>
        <v>503.33647740486361</v>
      </c>
      <c r="R70" s="59">
        <f t="shared" si="55"/>
        <v>753.53332638001996</v>
      </c>
      <c r="S70" s="59">
        <f ca="1">AVERAGE(OFFSET($R$3,0,0,'Données projet'!$E$9+1,1))-AVERAGE(OFFSET($H$3,0,0,'Données projet'!$E$9+1,1))</f>
        <v>600.52384738314299</v>
      </c>
      <c r="T70" s="59">
        <f t="shared" si="88"/>
        <v>314.84650287986256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23.637223888879312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23.637223888879312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5.4</v>
      </c>
      <c r="AI70" s="13">
        <f>IF('Données projet'!$A$62&gt;35,AI69+AH70-AQ69,IF(A70&lt;'Données projet'!$A$62,$AF$205^A70,IF(A70='Données projet'!$A$62,'Données projet'!$B$62,AI69+AH70-AQ69)))</f>
        <v>240.8000000000001</v>
      </c>
      <c r="AJ70" s="13">
        <f>AI70*VLOOKUP('Données projet'!$B$10,Paramètres!$A$1:$I$89,3,0)*VLOOKUP('Données projet'!$B$10,Paramètres!$A$1:$I$89,5,0)</f>
        <v>210.3628800000001</v>
      </c>
      <c r="AK70" s="13">
        <f t="shared" si="89"/>
        <v>52.014876138342963</v>
      </c>
      <c r="AL70" s="20">
        <f t="shared" si="58"/>
        <v>456.97459194094745</v>
      </c>
      <c r="AM70" s="59">
        <f t="shared" si="59"/>
        <v>707.17144091610385</v>
      </c>
      <c r="AN70" s="59">
        <f ca="1">AVERAGE(OFFSET($AM$3,0,0,'Données projet'!$E$10+1,1))-AVERAGE(OFFSET($H$3,0,0,'Données projet'!$E$10+1,1))</f>
        <v>436.77894860279537</v>
      </c>
      <c r="AO70" s="59">
        <f t="shared" si="90"/>
        <v>398.63561969573072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38.136572957627507</v>
      </c>
      <c r="AV70" s="21">
        <f>EXP(-LN(2)/25)*AV69+(1-EXP(-LN(2)/25))/(LN(2)/25)*Calculateur!AQ70*Calculateur!AS70*VLOOKUP('Données projet'!$B$10,Paramètres!$A$1:$I$89,3,0)*0.475*44/12</f>
        <v>13.297397089016227</v>
      </c>
      <c r="AW70" s="21">
        <f>EXP(-LN(2)/2)*AW69+(1-EXP(-LN(2)/2))/(LN(2)/2)*AQ70*AT70*VLOOKUP('Données projet'!$B$10,Paramètres!$A$1:$I$89,3,0)*0.475*44/12</f>
        <v>4.2597532521531966E-6</v>
      </c>
      <c r="AX70" s="21">
        <f t="shared" si="60"/>
        <v>51.433974306396991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200.17295999999988</v>
      </c>
      <c r="BF70" s="13">
        <f t="shared" si="91"/>
        <v>49.782177185855986</v>
      </c>
      <c r="BG70" s="20">
        <f t="shared" si="61"/>
        <v>435.33853059869892</v>
      </c>
      <c r="BH70" s="59">
        <f t="shared" si="62"/>
        <v>685.53537957385527</v>
      </c>
      <c r="BI70" s="59">
        <f ca="1">AVERAGE(OFFSET($BH$3,0,0,'Données projet'!$E$11+1,1))-AVERAGE(OFFSET($H$3,0,0,'Données projet'!$E$11+1,1))</f>
        <v>344.97546176735341</v>
      </c>
      <c r="BJ70" s="59">
        <f t="shared" si="92"/>
        <v>331.15461126257492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11.74037378169186</v>
      </c>
      <c r="BQ70" s="21">
        <f>EXP(-LN(2)/25)*BQ69+(1-EXP(-LN(2)/25))/(LN(2)/25)*Calculateur!BL70*Calculateur!BN70*VLOOKUP('Données projet'!$B$11,Paramètres!$A$1:$I$89,3,0)*0.475*44/12</f>
        <v>4.0659309474187522</v>
      </c>
      <c r="BR70" s="21">
        <f>EXP(-LN(2)/2)*BR69+(1-EXP(-LN(2)/2))/(LN(2)/2)*BL70*BO70*VLOOKUP('Données projet'!$B$11,Paramètres!$A$1:$I$89,3,0)*0.475*44/12</f>
        <v>1.541208793666982</v>
      </c>
      <c r="BS70" s="22">
        <f t="shared" si="63"/>
        <v>17.347513522777593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685.53537957385527</v>
      </c>
      <c r="CD70" s="59">
        <f ca="1">AVERAGE(OFFSET($CC$3,0,0,'Données projet'!$E$12+1,1))-AVERAGE(OFFSET($H$3,0,0,'Données projet'!$E$12+1,1))</f>
        <v>344.97546176735341</v>
      </c>
      <c r="CE70" s="59">
        <f t="shared" si="94"/>
        <v>331.15461126257492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11.74037378169186</v>
      </c>
      <c r="CL70" s="21">
        <f>EXP(-LN(2)/25)*CL69+(1-EXP(-LN(2)/25))/(LN(2)/25)*Calculateur!CG70*Calculateur!CI70*VLOOKUP('Données projet'!$B$12,Paramètres!$A$1:$I$89,3,0)*0.475*44/12</f>
        <v>4.0659309474187522</v>
      </c>
      <c r="CM70" s="21">
        <f>EXP(-LN(2)/2)*CM69+(1-EXP(-LN(2)/2))/(LN(2)/2)*CG70*CJ70*VLOOKUP('Données projet'!$B$12,Paramètres!$A$1:$I$89,3,0)*0.475*44/12</f>
        <v>1.541208793666982</v>
      </c>
      <c r="CN70" s="22">
        <f t="shared" si="66"/>
        <v>17.347513522777593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227.19465047672969</v>
      </c>
      <c r="CZ70" s="59">
        <f t="shared" si="96"/>
        <v>529.77979244134417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47.338757217518399</v>
      </c>
      <c r="DG70" s="21">
        <f>EXP(-LN(2)/25)*DG69+(1-EXP(-LN(2)/25))/(LN(2)/25)*Calculateur!DB70*Calculateur!DD70*VLOOKUP('Données projet'!$B$13,Paramètres!$A$1:$I$89,3,0)*0.475*44/12</f>
        <v>11.358688359050205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58.697445576568605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240.09151195692266</v>
      </c>
      <c r="DU70" s="59">
        <f t="shared" si="98"/>
        <v>559.47775134103165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50.432793636964021</v>
      </c>
      <c r="EB70" s="21">
        <f>EXP(-LN(2)/25)*EB69+(1-EXP(-LN(2)/25))/(LN(2)/25)*Calculateur!DW70*Calculateur!DY70*VLOOKUP('Données projet'!$B$14,Paramètres!$A$1:$I$89,3,0)*0.475*44/12</f>
        <v>12.101086291014271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62.53387992797829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8.6666666666666661</v>
      </c>
      <c r="EJ70" s="12">
        <f>IF('Données projet'!$A$192&gt;35,EJ69+EI70-ER69,IF(A70&lt;'Données projet'!$A$192,$EG$205^A70,IF(A70='Données projet'!$A$192,'Données projet'!$B$192,EJ69+EI70-ER69)))</f>
        <v>310.66666666666669</v>
      </c>
      <c r="EK70" s="17">
        <f>EJ70*VLOOKUP('Données projet'!$B$15,Paramètres!$A$1:$I$89,3,0)*VLOOKUP('Données projet'!$B$15,Paramètres!$A$1:$I$89,5,0)</f>
        <v>242.32000000000002</v>
      </c>
      <c r="EL70" s="13">
        <f t="shared" si="99"/>
        <v>58.938409961900859</v>
      </c>
      <c r="EM70" s="20">
        <f t="shared" si="73"/>
        <v>524.69173068364398</v>
      </c>
      <c r="EN70" s="59">
        <f t="shared" si="74"/>
        <v>774.88857965880038</v>
      </c>
      <c r="EO70" s="59">
        <f ca="1">AVERAGE(OFFSET($EN$3,0,0,'Données projet'!$E$15+1,1))-AVERAGE(OFFSET($H$3,0,0,'Données projet'!$E$15+1,1))</f>
        <v>328.79469965518484</v>
      </c>
      <c r="EP70" s="59">
        <f t="shared" si="100"/>
        <v>322.06400652269735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5.873498390136338</v>
      </c>
      <c r="EW70" s="21">
        <f>EXP(-LN(2)/25)*EW69+(1-EXP(-LN(2)/25))/(LN(2)/25)*Calculateur!ER70*Calculateur!ET70*VLOOKUP('Données projet'!$B$15,Paramètres!$A$1:$I$89,3,0)*0.475*44/12</f>
        <v>10.055261689760698</v>
      </c>
      <c r="EX70" s="21">
        <f>EXP(-LN(2)/2)*EX69+(1-EXP(-LN(2)/2))/(LN(2)/2)*ER70*EU70*VLOOKUP('Données projet'!$B$15,Paramètres!$A$1:$I$89,3,0)*0.475*44/12</f>
        <v>0.98011289660208556</v>
      </c>
      <c r="EY70" s="22">
        <f t="shared" si="75"/>
        <v>16.908872976499122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11.8</v>
      </c>
      <c r="FE70" s="12">
        <f>IF('Données projet'!$A$218&gt;35,FE69+FD70-FM69,IF(A70&lt;'Données projet'!$A$218,$FB$205^A70,IF(A70='Données projet'!$A$218,'Données projet'!$B$218,FE69+FD70-FM69)))</f>
        <v>351.59999999999997</v>
      </c>
      <c r="FF70" s="17">
        <f>FE70*VLOOKUP('Données projet'!$B$16,Paramètres!$A$1:$I$89,3,0)*VLOOKUP('Données projet'!$B$16,Paramètres!$A$1:$I$89,5,0)</f>
        <v>257.79311999999999</v>
      </c>
      <c r="FG70" s="13">
        <f t="shared" si="101"/>
        <v>62.251727197791588</v>
      </c>
      <c r="FH70" s="20">
        <f t="shared" si="76"/>
        <v>557.41144220282024</v>
      </c>
      <c r="FI70" s="59">
        <f t="shared" si="77"/>
        <v>807.60829117797664</v>
      </c>
      <c r="FJ70" s="59">
        <f ca="1">AVERAGE(OFFSET($FI$3,0,0,'Données projet'!$E$16+1,1))-AVERAGE(OFFSET($H$3,0,0,'Données projet'!$E$16+1,1))</f>
        <v>525.22234644068908</v>
      </c>
      <c r="FK70" s="59">
        <f t="shared" si="102"/>
        <v>311.5550296132094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18.898773719961593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18.898773719961593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3.8</v>
      </c>
      <c r="FZ70" s="12">
        <f>IF('Données projet'!$A$244&gt;35,FZ69+FY70-GH69,IF(A70&lt;'Données projet'!$A$244,$FW$205^A70,IF(A70='Données projet'!$A$244,'Données projet'!$B$244,FZ69+FY70-GH69)))</f>
        <v>251.59999999999985</v>
      </c>
      <c r="GA70" s="17">
        <f>FZ70*VLOOKUP('Données projet'!$B$17,Paramètres!$A$1:$I$89,3,0)*VLOOKUP('Données projet'!$B$17,Paramètres!$A$1:$I$89,5,0)</f>
        <v>164.84831999999992</v>
      </c>
      <c r="GB70" s="13">
        <f t="shared" si="103"/>
        <v>41.934160358278397</v>
      </c>
      <c r="GC70" s="20">
        <f t="shared" si="79"/>
        <v>360.14615329066805</v>
      </c>
      <c r="GD70" s="59">
        <f t="shared" si="80"/>
        <v>610.34300226582445</v>
      </c>
      <c r="GE70" s="59">
        <f ca="1">AVERAGE(OFFSET($GD$3,0,0,'Données projet'!$E$17+1,1))-AVERAGE(OFFSET($H$3,0,0,'Données projet'!$E$17+1,1))</f>
        <v>298.45881427802874</v>
      </c>
      <c r="GF70" s="59">
        <f t="shared" si="104"/>
        <v>287.00279305562356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7.8442896965355144</v>
      </c>
      <c r="GM70" s="21">
        <f>EXP(-LN(2)/25)*GM69+(1-EXP(-LN(2)/25))/(LN(2)/25)*Calculateur!GH70*Calculateur!GJ70*VLOOKUP('Données projet'!$B$17,Paramètres!$A$1:$I$89,3,0)*0.475*44/12</f>
        <v>2.7166375475539279</v>
      </c>
      <c r="GN70" s="21">
        <f>EXP(-LN(2)/2)*GN69+(1-EXP(-LN(2)/2))/(LN(2)/2)*GH70*GK70*VLOOKUP('Données projet'!$B$17,Paramètres!$A$1:$I$89,3,0)*0.475*44/12</f>
        <v>1.2692307712551618</v>
      </c>
      <c r="GO70" s="21">
        <f t="shared" si="81"/>
        <v>11.830158015344603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135.66666666666666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8.6666666666666661</v>
      </c>
      <c r="N71" s="13">
        <f>IF('Données projet'!$A$36&gt;35,N70+M71-V70,IF(A71&lt;'Données projet'!$A$36,$K$205^A71,IF(A71='Données projet'!$A$36,'Données projet'!$B$36,N70+M71-V70)))</f>
        <v>265.33333333333331</v>
      </c>
      <c r="O71" s="13">
        <f>N71*VLOOKUP('Données projet'!$B$9,Paramètres!$A$1:$I$89,3,0)*VLOOKUP('Données projet'!$B$9,Paramètres!$A$1:$I$89,5,0)</f>
        <v>240.07359999999997</v>
      </c>
      <c r="P71" s="13">
        <f t="shared" si="87"/>
        <v>58.455365598151033</v>
      </c>
      <c r="Q71" s="20">
        <f t="shared" si="54"/>
        <v>519.93794841677959</v>
      </c>
      <c r="R71" s="59">
        <f t="shared" si="55"/>
        <v>770.88311895681875</v>
      </c>
      <c r="S71" s="59">
        <f ca="1">AVERAGE(OFFSET($R$3,0,0,'Données projet'!$E$9+1,1))-AVERAGE(OFFSET($H$3,0,0,'Données projet'!$E$9+1,1))</f>
        <v>600.52384738314299</v>
      </c>
      <c r="T71" s="59">
        <f t="shared" si="88"/>
        <v>314.84650287986256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22.990862758610326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22.990862758610326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5.4</v>
      </c>
      <c r="AI71" s="13">
        <f>IF('Données projet'!$A$62&gt;35,AI70+AH71-AQ70,IF(A71&lt;'Données projet'!$A$62,$AF$205^A71,IF(A71='Données projet'!$A$62,'Données projet'!$B$62,AI70+AH71-AQ70)))</f>
        <v>246.2000000000001</v>
      </c>
      <c r="AJ71" s="13">
        <f>AI71*VLOOKUP('Données projet'!$B$10,Paramètres!$A$1:$I$89,3,0)*VLOOKUP('Données projet'!$B$10,Paramètres!$A$1:$I$89,5,0)</f>
        <v>215.08032000000011</v>
      </c>
      <c r="AK71" s="13">
        <f t="shared" si="89"/>
        <v>53.044214230061506</v>
      </c>
      <c r="AL71" s="20">
        <f t="shared" si="58"/>
        <v>466.983563784024</v>
      </c>
      <c r="AM71" s="59">
        <f t="shared" si="59"/>
        <v>717.92873432406316</v>
      </c>
      <c r="AN71" s="59">
        <f ca="1">AVERAGE(OFFSET($AM$3,0,0,'Données projet'!$E$10+1,1))-AVERAGE(OFFSET($H$3,0,0,'Données projet'!$E$10+1,1))</f>
        <v>436.77894860279537</v>
      </c>
      <c r="AO71" s="59">
        <f t="shared" si="90"/>
        <v>398.63561969573072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37.388738022941105</v>
      </c>
      <c r="AV71" s="21">
        <f>EXP(-LN(2)/25)*AV70+(1-EXP(-LN(2)/25))/(LN(2)/25)*Calculateur!AQ71*Calculateur!AS71*VLOOKUP('Données projet'!$B$10,Paramètres!$A$1:$I$89,3,0)*0.475*44/12</f>
        <v>12.933779066337358</v>
      </c>
      <c r="AW71" s="21">
        <f>EXP(-LN(2)/2)*AW70+(1-EXP(-LN(2)/2))/(LN(2)/2)*AQ71*AT71*VLOOKUP('Données projet'!$B$10,Paramètres!$A$1:$I$89,3,0)*0.475*44/12</f>
        <v>3.0121004107789746E-6</v>
      </c>
      <c r="AX71" s="21">
        <f t="shared" si="60"/>
        <v>50.322520101378871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203.1962399999999</v>
      </c>
      <c r="BF71" s="13">
        <f t="shared" si="91"/>
        <v>50.445955049216174</v>
      </c>
      <c r="BG71" s="20">
        <f t="shared" si="61"/>
        <v>441.76015637738465</v>
      </c>
      <c r="BH71" s="59">
        <f t="shared" si="62"/>
        <v>692.7053269174238</v>
      </c>
      <c r="BI71" s="59">
        <f ca="1">AVERAGE(OFFSET($BH$3,0,0,'Données projet'!$E$11+1,1))-AVERAGE(OFFSET($H$3,0,0,'Données projet'!$E$11+1,1))</f>
        <v>344.97546176735341</v>
      </c>
      <c r="BJ71" s="59">
        <f t="shared" si="92"/>
        <v>331.15461126257492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11.510152212753807</v>
      </c>
      <c r="BQ71" s="21">
        <f>EXP(-LN(2)/25)*BQ70+(1-EXP(-LN(2)/25))/(LN(2)/25)*Calculateur!BL71*Calculateur!BN71*VLOOKUP('Données projet'!$B$11,Paramètres!$A$1:$I$89,3,0)*0.475*44/12</f>
        <v>3.9547478518435706</v>
      </c>
      <c r="BR71" s="21">
        <f>EXP(-LN(2)/2)*BR70+(1-EXP(-LN(2)/2))/(LN(2)/2)*BL71*BO71*VLOOKUP('Données projet'!$B$11,Paramètres!$A$1:$I$89,3,0)*0.475*44/12</f>
        <v>1.0897991892262615</v>
      </c>
      <c r="BS71" s="22">
        <f t="shared" si="63"/>
        <v>16.554699253823639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692.7053269174238</v>
      </c>
      <c r="CD71" s="59">
        <f ca="1">AVERAGE(OFFSET($CC$3,0,0,'Données projet'!$E$12+1,1))-AVERAGE(OFFSET($H$3,0,0,'Données projet'!$E$12+1,1))</f>
        <v>344.97546176735341</v>
      </c>
      <c r="CE71" s="59">
        <f t="shared" si="94"/>
        <v>331.15461126257492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11.510152212753807</v>
      </c>
      <c r="CL71" s="21">
        <f>EXP(-LN(2)/25)*CL70+(1-EXP(-LN(2)/25))/(LN(2)/25)*Calculateur!CG71*Calculateur!CI71*VLOOKUP('Données projet'!$B$12,Paramètres!$A$1:$I$89,3,0)*0.475*44/12</f>
        <v>3.9547478518435706</v>
      </c>
      <c r="CM71" s="21">
        <f>EXP(-LN(2)/2)*CM70+(1-EXP(-LN(2)/2))/(LN(2)/2)*CG71*CJ71*VLOOKUP('Données projet'!$B$12,Paramètres!$A$1:$I$89,3,0)*0.475*44/12</f>
        <v>1.0897991892262615</v>
      </c>
      <c r="CN71" s="22">
        <f t="shared" si="66"/>
        <v>16.554699253823639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227.19465047672969</v>
      </c>
      <c r="CZ71" s="59">
        <f t="shared" si="96"/>
        <v>529.77979244134417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46.410473062273716</v>
      </c>
      <c r="DG71" s="21">
        <f>EXP(-LN(2)/25)*DG70+(1-EXP(-LN(2)/25))/(LN(2)/25)*Calculateur!DB71*Calculateur!DD71*VLOOKUP('Données projet'!$B$13,Paramètres!$A$1:$I$89,3,0)*0.475*44/12</f>
        <v>11.048084428544517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57.458557490818237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240.09151195692266</v>
      </c>
      <c r="DU71" s="59">
        <f t="shared" si="98"/>
        <v>559.47775134103165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49.443837314709882</v>
      </c>
      <c r="EB71" s="21">
        <f>EXP(-LN(2)/25)*EB70+(1-EXP(-LN(2)/25))/(LN(2)/25)*Calculateur!DW71*Calculateur!DY71*VLOOKUP('Données projet'!$B$14,Paramètres!$A$1:$I$89,3,0)*0.475*44/12</f>
        <v>11.770181450018015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61.214018764727896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8.6666666666666661</v>
      </c>
      <c r="EJ71" s="12">
        <f>IF('Données projet'!$A$192&gt;35,EJ70+EI71-ER70,IF(A71&lt;'Données projet'!$A$192,$EG$205^A71,IF(A71='Données projet'!$A$192,'Données projet'!$B$192,EJ70+EI71-ER70)))</f>
        <v>319.33333333333337</v>
      </c>
      <c r="EK71" s="17">
        <f>EJ71*VLOOKUP('Données projet'!$B$15,Paramètres!$A$1:$I$89,3,0)*VLOOKUP('Données projet'!$B$15,Paramètres!$A$1:$I$89,5,0)</f>
        <v>249.08000000000004</v>
      </c>
      <c r="EL71" s="13">
        <f t="shared" si="99"/>
        <v>60.388894447487807</v>
      </c>
      <c r="EM71" s="20">
        <f t="shared" si="73"/>
        <v>538.99165782937473</v>
      </c>
      <c r="EN71" s="59">
        <f t="shared" si="74"/>
        <v>789.93682836941389</v>
      </c>
      <c r="EO71" s="59">
        <f ca="1">AVERAGE(OFFSET($EN$3,0,0,'Données projet'!$E$15+1,1))-AVERAGE(OFFSET($H$3,0,0,'Données projet'!$E$15+1,1))</f>
        <v>328.79469965518484</v>
      </c>
      <c r="EP71" s="59">
        <f t="shared" si="100"/>
        <v>322.06400652269735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5.7583226691860423</v>
      </c>
      <c r="EW71" s="21">
        <f>EXP(-LN(2)/25)*EW70+(1-EXP(-LN(2)/25))/(LN(2)/25)*Calculateur!ER71*Calculateur!ET71*VLOOKUP('Données projet'!$B$15,Paramètres!$A$1:$I$89,3,0)*0.475*44/12</f>
        <v>9.7803000300709613</v>
      </c>
      <c r="EX71" s="21">
        <f>EXP(-LN(2)/2)*EX70+(1-EXP(-LN(2)/2))/(LN(2)/2)*ER71*EU71*VLOOKUP('Données projet'!$B$15,Paramètres!$A$1:$I$89,3,0)*0.475*44/12</f>
        <v>0.69304447551572423</v>
      </c>
      <c r="EY71" s="22">
        <f t="shared" si="75"/>
        <v>16.231667174772728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11.8</v>
      </c>
      <c r="FE71" s="12">
        <f>IF('Données projet'!$A$218&gt;35,FE70+FD71-FM70,IF(A71&lt;'Données projet'!$A$218,$FB$205^A71,IF(A71='Données projet'!$A$218,'Données projet'!$B$218,FE70+FD71-FM70)))</f>
        <v>363.4</v>
      </c>
      <c r="FF71" s="17">
        <f>FE71*VLOOKUP('Données projet'!$B$16,Paramètres!$A$1:$I$89,3,0)*VLOOKUP('Données projet'!$B$16,Paramètres!$A$1:$I$89,5,0)</f>
        <v>266.44487999999996</v>
      </c>
      <c r="FG71" s="13">
        <f t="shared" si="101"/>
        <v>64.094202063399976</v>
      </c>
      <c r="FH71" s="20">
        <f t="shared" si="76"/>
        <v>575.68890126042152</v>
      </c>
      <c r="FI71" s="59">
        <f t="shared" si="77"/>
        <v>826.63407180046067</v>
      </c>
      <c r="FJ71" s="59">
        <f ca="1">AVERAGE(OFFSET($FI$3,0,0,'Données projet'!$E$16+1,1))-AVERAGE(OFFSET($H$3,0,0,'Données projet'!$E$16+1,1))</f>
        <v>525.22234644068908</v>
      </c>
      <c r="FK71" s="59">
        <f t="shared" si="102"/>
        <v>311.5550296132094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18.381985758745927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18.381985758745927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3.8</v>
      </c>
      <c r="FZ71" s="12">
        <f>IF('Données projet'!$A$244&gt;35,FZ70+FY71-GH70,IF(A71&lt;'Données projet'!$A$244,$FW$205^A71,IF(A71='Données projet'!$A$244,'Données projet'!$B$244,FZ70+FY71-GH70)))</f>
        <v>255.39999999999986</v>
      </c>
      <c r="GA71" s="17">
        <f>FZ71*VLOOKUP('Données projet'!$B$17,Paramètres!$A$1:$I$89,3,0)*VLOOKUP('Données projet'!$B$17,Paramètres!$A$1:$I$89,5,0)</f>
        <v>167.33807999999991</v>
      </c>
      <c r="GB71" s="13">
        <f t="shared" si="103"/>
        <v>42.493295553601477</v>
      </c>
      <c r="GC71" s="20">
        <f t="shared" si="79"/>
        <v>365.45631242252239</v>
      </c>
      <c r="GD71" s="59">
        <f t="shared" si="80"/>
        <v>616.40148296256154</v>
      </c>
      <c r="GE71" s="59">
        <f ca="1">AVERAGE(OFFSET($GD$3,0,0,'Données projet'!$E$17+1,1))-AVERAGE(OFFSET($H$3,0,0,'Données projet'!$E$17+1,1))</f>
        <v>298.45881427802874</v>
      </c>
      <c r="GF71" s="59">
        <f t="shared" si="104"/>
        <v>287.00279305562356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7.6904679601307331</v>
      </c>
      <c r="GM71" s="21">
        <f>EXP(-LN(2)/25)*GM70+(1-EXP(-LN(2)/25))/(LN(2)/25)*Calculateur!GH71*Calculateur!GJ71*VLOOKUP('Données projet'!$B$17,Paramètres!$A$1:$I$89,3,0)*0.475*44/12</f>
        <v>2.6423509509543059</v>
      </c>
      <c r="GN71" s="21">
        <f>EXP(-LN(2)/2)*GN70+(1-EXP(-LN(2)/2))/(LN(2)/2)*GH71*GK71*VLOOKUP('Données projet'!$B$17,Paramètres!$A$1:$I$89,3,0)*0.475*44/12</f>
        <v>0.8974816852451567</v>
      </c>
      <c r="GO71" s="21">
        <f t="shared" si="81"/>
        <v>11.230300596330196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135.66666666666666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274</v>
      </c>
      <c r="L72" s="12">
        <f>VLOOKUP(A72,'Données projet'!$A$35:$I$55,9,0)</f>
        <v>8.6666666666666661</v>
      </c>
      <c r="M72" s="12">
        <f t="array" ref="M72">INDEX(L:L,MIN(IF(ISNUMBER(L72:L268),ROW(L72:L268),"")))</f>
        <v>8.6666666666666661</v>
      </c>
      <c r="N72" s="13">
        <f>IF('Données projet'!$A$36&gt;35,N71+M72-V71,IF(A72&lt;'Données projet'!$A$36,$K$205^A72,IF(A72='Données projet'!$A$36,'Données projet'!$B$36,N71+M72-V71)))</f>
        <v>274</v>
      </c>
      <c r="O72" s="13">
        <f>N72*VLOOKUP('Données projet'!$B$9,Paramètres!$A$1:$I$89,3,0)*VLOOKUP('Données projet'!$B$9,Paramètres!$A$1:$I$89,5,0)</f>
        <v>247.9152</v>
      </c>
      <c r="P72" s="13">
        <f t="shared" si="87"/>
        <v>60.139294964297406</v>
      </c>
      <c r="Q72" s="20">
        <f t="shared" si="54"/>
        <v>536.52824539615131</v>
      </c>
      <c r="R72" s="59">
        <f t="shared" si="55"/>
        <v>788.20875579491917</v>
      </c>
      <c r="S72" s="59">
        <f ca="1">AVERAGE(OFFSET($R$3,0,0,'Données projet'!$E$9+1,1))-AVERAGE(OFFSET($H$3,0,0,'Données projet'!$E$9+1,1))</f>
        <v>600.52384738314299</v>
      </c>
      <c r="T72" s="59">
        <f t="shared" si="88"/>
        <v>314.84650287986256</v>
      </c>
      <c r="U72" s="15">
        <f>IF(ISNA(VLOOKUP(A72,'Données projet'!$A$35:$I$55,3,0)),0,VLOOKUP(A72,'Données projet'!$A$35:$I$55,3,0))</f>
        <v>5</v>
      </c>
      <c r="V72" s="15">
        <f>IF(ISNA(VLOOKUP(A72,'Données projet'!$A$35:$I$55,4,0)),0,VLOOKUP(A72,'Données projet'!$A$35:$I$55,4,0))</f>
        <v>51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0.215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33.286510669300256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33.286510669300256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5.4</v>
      </c>
      <c r="AI72" s="13">
        <f>IF('Données projet'!$A$62&gt;35,AI71+AH72-AQ71,IF(A72&lt;'Données projet'!$A$62,$AF$205^A72,IF(A72='Données projet'!$A$62,'Données projet'!$B$62,AI71+AH72-AQ71)))</f>
        <v>251.60000000000011</v>
      </c>
      <c r="AJ72" s="13">
        <f>AI72*VLOOKUP('Données projet'!$B$10,Paramètres!$A$1:$I$89,3,0)*VLOOKUP('Données projet'!$B$10,Paramètres!$A$1:$I$89,5,0)</f>
        <v>219.79776000000012</v>
      </c>
      <c r="AK72" s="13">
        <f t="shared" si="89"/>
        <v>54.070927503307431</v>
      </c>
      <c r="AL72" s="20">
        <f t="shared" si="58"/>
        <v>476.98796406826068</v>
      </c>
      <c r="AM72" s="59">
        <f t="shared" si="59"/>
        <v>728.66847446702855</v>
      </c>
      <c r="AN72" s="59">
        <f ca="1">AVERAGE(OFFSET($AM$3,0,0,'Données projet'!$E$10+1,1))-AVERAGE(OFFSET($H$3,0,0,'Données projet'!$E$10+1,1))</f>
        <v>436.77894860279537</v>
      </c>
      <c r="AO72" s="59">
        <f t="shared" si="90"/>
        <v>398.63561969573072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36.65556767518963</v>
      </c>
      <c r="AV72" s="21">
        <f>EXP(-LN(2)/25)*AV71+(1-EXP(-LN(2)/25))/(LN(2)/25)*Calculateur!AQ72*Calculateur!AS72*VLOOKUP('Données projet'!$B$10,Paramètres!$A$1:$I$89,3,0)*0.475*44/12</f>
        <v>12.580104197610483</v>
      </c>
      <c r="AW72" s="21">
        <f>EXP(-LN(2)/2)*AW71+(1-EXP(-LN(2)/2))/(LN(2)/2)*AQ72*AT72*VLOOKUP('Données projet'!$B$10,Paramètres!$A$1:$I$89,3,0)*0.475*44/12</f>
        <v>2.1298766260765983E-6</v>
      </c>
      <c r="AX72" s="21">
        <f t="shared" si="60"/>
        <v>49.235674002676738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206.21951999999993</v>
      </c>
      <c r="BF72" s="13">
        <f t="shared" si="91"/>
        <v>51.10858428464028</v>
      </c>
      <c r="BG72" s="20">
        <f t="shared" si="61"/>
        <v>448.17978162908167</v>
      </c>
      <c r="BH72" s="59">
        <f t="shared" si="62"/>
        <v>699.86029202784948</v>
      </c>
      <c r="BI72" s="59">
        <f ca="1">AVERAGE(OFFSET($BH$3,0,0,'Données projet'!$E$11+1,1))-AVERAGE(OFFSET($H$3,0,0,'Données projet'!$E$11+1,1))</f>
        <v>344.97546176735341</v>
      </c>
      <c r="BJ72" s="59">
        <f t="shared" si="92"/>
        <v>331.15461126257492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11.284445148361337</v>
      </c>
      <c r="BQ72" s="21">
        <f>EXP(-LN(2)/25)*BQ71+(1-EXP(-LN(2)/25))/(LN(2)/25)*Calculateur!BL72*Calculateur!BN72*VLOOKUP('Données projet'!$B$11,Paramètres!$A$1:$I$89,3,0)*0.475*44/12</f>
        <v>3.8466050638637572</v>
      </c>
      <c r="BR72" s="21">
        <f>EXP(-LN(2)/2)*BR71+(1-EXP(-LN(2)/2))/(LN(2)/2)*BL72*BO72*VLOOKUP('Données projet'!$B$11,Paramètres!$A$1:$I$89,3,0)*0.475*44/12</f>
        <v>0.77060439683349102</v>
      </c>
      <c r="BS72" s="22">
        <f t="shared" si="63"/>
        <v>15.901654609058586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699.86029202784948</v>
      </c>
      <c r="CD72" s="59">
        <f ca="1">AVERAGE(OFFSET($CC$3,0,0,'Données projet'!$E$12+1,1))-AVERAGE(OFFSET($H$3,0,0,'Données projet'!$E$12+1,1))</f>
        <v>344.97546176735341</v>
      </c>
      <c r="CE72" s="59">
        <f t="shared" si="94"/>
        <v>331.15461126257492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11.284445148361337</v>
      </c>
      <c r="CL72" s="21">
        <f>EXP(-LN(2)/25)*CL71+(1-EXP(-LN(2)/25))/(LN(2)/25)*Calculateur!CG72*Calculateur!CI72*VLOOKUP('Données projet'!$B$12,Paramètres!$A$1:$I$89,3,0)*0.475*44/12</f>
        <v>3.8466050638637572</v>
      </c>
      <c r="CM72" s="21">
        <f>EXP(-LN(2)/2)*CM71+(1-EXP(-LN(2)/2))/(LN(2)/2)*CG72*CJ72*VLOOKUP('Données projet'!$B$12,Paramètres!$A$1:$I$89,3,0)*0.475*44/12</f>
        <v>0.77060439683349102</v>
      </c>
      <c r="CN72" s="22">
        <f t="shared" si="66"/>
        <v>15.901654609058586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227.19465047672969</v>
      </c>
      <c r="CZ72" s="59">
        <f t="shared" si="96"/>
        <v>529.77979244134417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45.500391993115954</v>
      </c>
      <c r="DG72" s="21">
        <f>EXP(-LN(2)/25)*DG71+(1-EXP(-LN(2)/25))/(LN(2)/25)*Calculateur!DB72*Calculateur!DD72*VLOOKUP('Données projet'!$B$13,Paramètres!$A$1:$I$89,3,0)*0.475*44/12</f>
        <v>10.745973978852458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56.246365971968416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240.09151195692266</v>
      </c>
      <c r="DU72" s="59">
        <f t="shared" si="98"/>
        <v>559.47775134103165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48.474273822731348</v>
      </c>
      <c r="EB72" s="21">
        <f>EXP(-LN(2)/25)*EB71+(1-EXP(-LN(2)/25))/(LN(2)/25)*Calculateur!DW72*Calculateur!DY72*VLOOKUP('Données projet'!$B$14,Paramètres!$A$1:$I$89,3,0)*0.475*44/12</f>
        <v>11.448325219300331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59.922599042031678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328</v>
      </c>
      <c r="EH72" s="12">
        <f>VLOOKUP(A72,'Données projet'!$A$191:$I$211,9,0)</f>
        <v>8.6666666666666661</v>
      </c>
      <c r="EI72" s="12">
        <f t="array" ref="EI72">INDEX(EH:EH,MIN(IF(ISNUMBER(EH72:EH268),ROW(EH72:EH268),"")))</f>
        <v>8.6666666666666661</v>
      </c>
      <c r="EJ72" s="12">
        <f>IF('Données projet'!$A$192&gt;35,EJ71+EI72-ER71,IF(A72&lt;'Données projet'!$A$192,$EG$205^A72,IF(A72='Données projet'!$A$192,'Données projet'!$B$192,EJ71+EI72-ER71)))</f>
        <v>328.00000000000006</v>
      </c>
      <c r="EK72" s="17">
        <f>EJ72*VLOOKUP('Données projet'!$B$15,Paramètres!$A$1:$I$89,3,0)*VLOOKUP('Données projet'!$B$15,Paramètres!$A$1:$I$89,5,0)</f>
        <v>255.84000000000006</v>
      </c>
      <c r="EL72" s="13">
        <f t="shared" si="99"/>
        <v>61.834803371075836</v>
      </c>
      <c r="EM72" s="20">
        <f t="shared" si="73"/>
        <v>553.28361587129041</v>
      </c>
      <c r="EN72" s="59">
        <f t="shared" si="74"/>
        <v>804.96412627005827</v>
      </c>
      <c r="EO72" s="59">
        <f ca="1">AVERAGE(OFFSET($EN$3,0,0,'Données projet'!$E$15+1,1))-AVERAGE(OFFSET($H$3,0,0,'Données projet'!$E$15+1,1))</f>
        <v>328.79469965518484</v>
      </c>
      <c r="EP72" s="59">
        <f t="shared" si="100"/>
        <v>322.06400652269735</v>
      </c>
      <c r="EQ72" s="15" t="str">
        <f>IF(ISNA(VLOOKUP(A72,'Données projet'!$A$191:$I$211,3,0)),0,VLOOKUP(A72,'Données projet'!$A$191:$I$211,3,0))</f>
        <v>CR</v>
      </c>
      <c r="ER72" s="15">
        <f>IF(ISNA(VLOOKUP(A72,'Données projet'!$A$191:$I$211,4,0)),0,VLOOKUP(A72,'Données projet'!$A$191:$I$211,4,0))</f>
        <v>328</v>
      </c>
      <c r="ES72" s="16">
        <f>IF(ISNA(VLOOKUP(A72,'Données projet'!$A$191:$I$211,5,0)),0%,VLOOKUP(A72,'Données projet'!$A$191:$I$211,5,0)*VLOOKUP('Données projet'!$B$15,Paramètres!$A$1:$I$89,7,0))</f>
        <v>0.215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0.3</v>
      </c>
      <c r="EV72" s="21">
        <f>EXP(-LN(2)/35)*EV71+(1-EXP(-LN(2)/35))/(LN(2)/35)*ER72*ES72*VLOOKUP('Données projet'!$B$15,Paramètres!$A$1:$I$89,3,0)*0.475*44/12</f>
        <v>66.45246698231098</v>
      </c>
      <c r="EW72" s="21">
        <f>EXP(-LN(2)/25)*EW71+(1-EXP(-LN(2)/25))/(LN(2)/25)*Calculateur!ER72*Calculateur!ET72*VLOOKUP('Données projet'!$B$15,Paramètres!$A$1:$I$89,3,0)*0.475*44/12</f>
        <v>9.5128572114250449</v>
      </c>
      <c r="EX72" s="21">
        <f>EXP(-LN(2)/2)*EX71+(1-EXP(-LN(2)/2))/(LN(2)/2)*ER72*EU72*VLOOKUP('Données projet'!$B$15,Paramètres!$A$1:$I$89,3,0)*0.475*44/12</f>
        <v>72.907634198093803</v>
      </c>
      <c r="EY72" s="22">
        <f t="shared" si="75"/>
        <v>148.87295839182983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11.8</v>
      </c>
      <c r="FE72" s="12">
        <f>IF('Données projet'!$A$218&gt;35,FE71+FD72-FM71,IF(A72&lt;'Données projet'!$A$218,$FB$205^A72,IF(A72='Données projet'!$A$218,'Données projet'!$B$218,FE71+FD72-FM71)))</f>
        <v>375.2</v>
      </c>
      <c r="FF72" s="17">
        <f>FE72*VLOOKUP('Données projet'!$B$16,Paramètres!$A$1:$I$89,3,0)*VLOOKUP('Données projet'!$B$16,Paramètres!$A$1:$I$89,5,0)</f>
        <v>275.09663999999998</v>
      </c>
      <c r="FG72" s="13">
        <f t="shared" si="101"/>
        <v>65.92972489652206</v>
      </c>
      <c r="FH72" s="20">
        <f t="shared" si="76"/>
        <v>593.9542521947759</v>
      </c>
      <c r="FI72" s="59">
        <f t="shared" si="77"/>
        <v>845.63476259354377</v>
      </c>
      <c r="FJ72" s="59">
        <f ca="1">AVERAGE(OFFSET($FI$3,0,0,'Données projet'!$E$16+1,1))-AVERAGE(OFFSET($H$3,0,0,'Données projet'!$E$16+1,1))</f>
        <v>525.22234644068908</v>
      </c>
      <c r="FK72" s="59">
        <f t="shared" si="102"/>
        <v>311.5550296132094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17.879329391506403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17.879329391506403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3.8</v>
      </c>
      <c r="FZ72" s="12">
        <f>IF('Données projet'!$A$244&gt;35,FZ71+FY72-GH71,IF(A72&lt;'Données projet'!$A$244,$FW$205^A72,IF(A72='Données projet'!$A$244,'Données projet'!$B$244,FZ71+FY72-GH71)))</f>
        <v>259.19999999999987</v>
      </c>
      <c r="GA72" s="17">
        <f>FZ72*VLOOKUP('Données projet'!$B$17,Paramètres!$A$1:$I$89,3,0)*VLOOKUP('Données projet'!$B$17,Paramètres!$A$1:$I$89,5,0)</f>
        <v>169.82783999999992</v>
      </c>
      <c r="GB72" s="13">
        <f t="shared" si="103"/>
        <v>43.051463198873776</v>
      </c>
      <c r="GC72" s="20">
        <f t="shared" si="79"/>
        <v>370.76478640470503</v>
      </c>
      <c r="GD72" s="59">
        <f t="shared" si="80"/>
        <v>622.44529680347284</v>
      </c>
      <c r="GE72" s="59">
        <f ca="1">AVERAGE(OFFSET($GD$3,0,0,'Données projet'!$E$17+1,1))-AVERAGE(OFFSET($H$3,0,0,'Données projet'!$E$17+1,1))</f>
        <v>298.45881427802874</v>
      </c>
      <c r="GF72" s="59">
        <f t="shared" si="104"/>
        <v>287.00279305562356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7.5396625741548551</v>
      </c>
      <c r="GM72" s="21">
        <f>EXP(-LN(2)/25)*GM71+(1-EXP(-LN(2)/25))/(LN(2)/25)*Calculateur!GH72*Calculateur!GJ72*VLOOKUP('Données projet'!$B$17,Paramètres!$A$1:$I$89,3,0)*0.475*44/12</f>
        <v>2.5700957252452632</v>
      </c>
      <c r="GN72" s="21">
        <f>EXP(-LN(2)/2)*GN71+(1-EXP(-LN(2)/2))/(LN(2)/2)*GH72*GK72*VLOOKUP('Données projet'!$B$17,Paramètres!$A$1:$I$89,3,0)*0.475*44/12</f>
        <v>0.63461538562758102</v>
      </c>
      <c r="GO72" s="21">
        <f t="shared" si="81"/>
        <v>10.7443736850277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135.66666666666666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8.1111111111111107</v>
      </c>
      <c r="N73" s="13">
        <f>IF('Données projet'!$A$36&gt;35,N72+M73-V72,IF(A73&lt;'Données projet'!$A$36,$K$205^A73,IF(A73='Données projet'!$A$36,'Données projet'!$B$36,N72+M73-V72)))</f>
        <v>231.11111111111109</v>
      </c>
      <c r="O73" s="13">
        <f>N73*VLOOKUP('Données projet'!$B$9,Paramètres!$A$1:$I$89,3,0)*VLOOKUP('Données projet'!$B$9,Paramètres!$A$1:$I$89,5,0)</f>
        <v>209.1093333333333</v>
      </c>
      <c r="P73" s="13">
        <f t="shared" si="87"/>
        <v>51.740904503189689</v>
      </c>
      <c r="Q73" s="20">
        <f t="shared" si="54"/>
        <v>454.31416423194418</v>
      </c>
      <c r="R73" s="59">
        <f t="shared" si="55"/>
        <v>706.71725798686521</v>
      </c>
      <c r="S73" s="59">
        <f ca="1">AVERAGE(OFFSET($R$3,0,0,'Données projet'!$E$9+1,1))-AVERAGE(OFFSET($H$3,0,0,'Données projet'!$E$9+1,1))</f>
        <v>600.52384738314299</v>
      </c>
      <c r="T73" s="59">
        <f t="shared" si="88"/>
        <v>314.84650287986256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32.376289284586719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32.376289284586719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257</v>
      </c>
      <c r="AG73" s="12">
        <f>VLOOKUP(A73,'Données projet'!$A$61:$I$81,9,0)</f>
        <v>5.4</v>
      </c>
      <c r="AH73" s="12">
        <f t="array" ref="AH73">INDEX(AG:AG,MIN(IF(ISNUMBER(AG73:AG269),ROW(AG73:AG269),"")))</f>
        <v>5.4</v>
      </c>
      <c r="AI73" s="13">
        <f>IF('Données projet'!$A$62&gt;35,AI72+AH73-AQ72,IF(A73&lt;'Données projet'!$A$62,$AF$205^A73,IF(A73='Données projet'!$A$62,'Données projet'!$B$62,AI72+AH73-AQ72)))</f>
        <v>257.00000000000011</v>
      </c>
      <c r="AJ73" s="13">
        <f>AI73*VLOOKUP('Données projet'!$B$10,Paramètres!$A$1:$I$89,3,0)*VLOOKUP('Données projet'!$B$10,Paramètres!$A$1:$I$89,5,0)</f>
        <v>224.51520000000014</v>
      </c>
      <c r="AK73" s="13">
        <f t="shared" si="89"/>
        <v>55.095078782313593</v>
      </c>
      <c r="AL73" s="20">
        <f t="shared" si="58"/>
        <v>486.98790221252966</v>
      </c>
      <c r="AM73" s="59">
        <f t="shared" si="59"/>
        <v>739.39099596745075</v>
      </c>
      <c r="AN73" s="59">
        <f ca="1">AVERAGE(OFFSET($AM$3,0,0,'Données projet'!$E$10+1,1))-AVERAGE(OFFSET($H$3,0,0,'Données projet'!$E$10+1,1))</f>
        <v>436.77894860279537</v>
      </c>
      <c r="AO73" s="59">
        <f t="shared" si="90"/>
        <v>398.63561969573072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0.30099999999999999</v>
      </c>
      <c r="AS73" s="16">
        <f>IF(ISNA(VLOOKUP(A73,'Données projet'!$A$61:$I$81,6,0)),0%,VLOOKUP(A73,'Données projet'!$A$61:$I$81,6,0)*VLOOKUP('Données projet'!$B$10,Paramètres!$A$1:$I$89,7,0))</f>
        <v>4.3000000000000003E-2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42.041210086590475</v>
      </c>
      <c r="AV73" s="21">
        <f>EXP(-LN(2)/25)*AV72+(1-EXP(-LN(2)/25))/(LN(2)/25)*Calculateur!AQ73*Calculateur!AS73*VLOOKUP('Données projet'!$B$10,Paramètres!$A$1:$I$89,3,0)*0.475*44/12</f>
        <v>13.10472919339052</v>
      </c>
      <c r="AW73" s="21">
        <f>EXP(-LN(2)/2)*AW72+(1-EXP(-LN(2)/2))/(LN(2)/2)*AQ73*AT73*VLOOKUP('Données projet'!$B$10,Paramètres!$A$1:$I$89,3,0)*0.475*44/12</f>
        <v>1.5060502053894873E-6</v>
      </c>
      <c r="AX73" s="21">
        <f t="shared" si="60"/>
        <v>55.145940786031197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209.2427999999999</v>
      </c>
      <c r="BF73" s="13">
        <f t="shared" si="91"/>
        <v>51.770083677016814</v>
      </c>
      <c r="BG73" s="20">
        <f t="shared" si="61"/>
        <v>454.59743907080406</v>
      </c>
      <c r="BH73" s="59">
        <f t="shared" si="62"/>
        <v>707.00053282572514</v>
      </c>
      <c r="BI73" s="59">
        <f ca="1">AVERAGE(OFFSET($BH$3,0,0,'Données projet'!$E$11+1,1))-AVERAGE(OFFSET($H$3,0,0,'Données projet'!$E$11+1,1))</f>
        <v>344.97546176735341</v>
      </c>
      <c r="BJ73" s="59">
        <f t="shared" si="92"/>
        <v>331.15461126257492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0.26500000000000001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0.3</v>
      </c>
      <c r="BP73" s="21">
        <f>EXP(-LN(2)/35)*BP72+(1-EXP(-LN(2)/35))/(LN(2)/35)*BL73*BM73*VLOOKUP('Données projet'!$B$11,Paramètres!$A$1:$I$89,3,0)*0.475*44/12</f>
        <v>13.39387148181839</v>
      </c>
      <c r="BQ73" s="21">
        <f>EXP(-LN(2)/25)*BQ72+(1-EXP(-LN(2)/25))/(LN(2)/25)*Calculateur!BL73*Calculateur!BN73*VLOOKUP('Données projet'!$B$11,Paramètres!$A$1:$I$89,3,0)*0.475*44/12</f>
        <v>3.741419446108234</v>
      </c>
      <c r="BR73" s="21">
        <f>EXP(-LN(2)/2)*BR72+(1-EXP(-LN(2)/2))/(LN(2)/2)*BL73*BO73*VLOOKUP('Données projet'!$B$11,Paramètres!$A$1:$I$89,3,0)*0.475*44/12</f>
        <v>2.7969096343932711</v>
      </c>
      <c r="BS73" s="22">
        <f t="shared" si="63"/>
        <v>19.932200562319895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707.00053282572514</v>
      </c>
      <c r="CD73" s="59">
        <f ca="1">AVERAGE(OFFSET($CC$3,0,0,'Données projet'!$E$12+1,1))-AVERAGE(OFFSET($H$3,0,0,'Données projet'!$E$12+1,1))</f>
        <v>344.97546176735341</v>
      </c>
      <c r="CE73" s="59">
        <f t="shared" si="94"/>
        <v>331.15461126257492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0.26500000000000001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0.3</v>
      </c>
      <c r="CK73" s="21">
        <f>EXP(-LN(2)/35)*CK72+(1-EXP(-LN(2)/35))/(LN(2)/35)*CG73*CH73*VLOOKUP('Données projet'!$B$12,Paramètres!$A$1:$I$89,3,0)*0.475*44/12</f>
        <v>13.39387148181839</v>
      </c>
      <c r="CL73" s="21">
        <f>EXP(-LN(2)/25)*CL72+(1-EXP(-LN(2)/25))/(LN(2)/25)*Calculateur!CG73*Calculateur!CI73*VLOOKUP('Données projet'!$B$12,Paramètres!$A$1:$I$89,3,0)*0.475*44/12</f>
        <v>3.741419446108234</v>
      </c>
      <c r="CM73" s="21">
        <f>EXP(-LN(2)/2)*CM72+(1-EXP(-LN(2)/2))/(LN(2)/2)*CG73*CJ73*VLOOKUP('Données projet'!$B$12,Paramètres!$A$1:$I$89,3,0)*0.475*44/12</f>
        <v>2.7969096343932711</v>
      </c>
      <c r="CN73" s="22">
        <f t="shared" si="66"/>
        <v>19.932200562319895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227.19465047672969</v>
      </c>
      <c r="CZ73" s="59">
        <f t="shared" si="96"/>
        <v>529.77979244134417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44.608157058629736</v>
      </c>
      <c r="DG73" s="21">
        <f>EXP(-LN(2)/25)*DG72+(1-EXP(-LN(2)/25))/(LN(2)/25)*Calculateur!DB73*Calculateur!DD73*VLOOKUP('Données projet'!$B$13,Paramètres!$A$1:$I$89,3,0)*0.475*44/12</f>
        <v>10.452124755294527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55.060281813924263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240.09151195692266</v>
      </c>
      <c r="DU73" s="59">
        <f t="shared" si="98"/>
        <v>559.47775134103165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47.523722879455178</v>
      </c>
      <c r="EB73" s="21">
        <f>EXP(-LN(2)/25)*EB72+(1-EXP(-LN(2)/25))/(LN(2)/25)*Calculateur!DW73*Calculateur!DY73*VLOOKUP('Données projet'!$B$14,Paramètres!$A$1:$I$89,3,0)*0.475*44/12</f>
        <v>11.135270164137307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58.658993043592488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5.6843418860808015E-14</v>
      </c>
      <c r="EK73" s="17">
        <f>EJ73*VLOOKUP('Données projet'!$B$15,Paramètres!$A$1:$I$89,3,0)*VLOOKUP('Données projet'!$B$15,Paramètres!$A$1:$I$89,5,0)</f>
        <v>4.4337866711430253E-14</v>
      </c>
      <c r="EL73" s="13">
        <f t="shared" si="99"/>
        <v>7.3222115536967035E-13</v>
      </c>
      <c r="EM73" s="20">
        <f t="shared" si="73"/>
        <v>1.3525069634579169E-12</v>
      </c>
      <c r="EN73" s="59">
        <f t="shared" si="74"/>
        <v>252.40309375492242</v>
      </c>
      <c r="EO73" s="59">
        <f ca="1">AVERAGE(OFFSET($EN$3,0,0,'Données projet'!$E$15+1,1))-AVERAGE(OFFSET($H$3,0,0,'Données projet'!$E$15+1,1))</f>
        <v>328.79469965518484</v>
      </c>
      <c r="EP73" s="59">
        <f t="shared" si="100"/>
        <v>322.06400652269735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65.149374636790512</v>
      </c>
      <c r="EW73" s="21">
        <f>EXP(-LN(2)/25)*EW72+(1-EXP(-LN(2)/25))/(LN(2)/25)*Calculateur!ER73*Calculateur!ET73*VLOOKUP('Données projet'!$B$15,Paramètres!$A$1:$I$89,3,0)*0.475*44/12</f>
        <v>9.2527276307192086</v>
      </c>
      <c r="EX73" s="21">
        <f>EXP(-LN(2)/2)*EX72+(1-EXP(-LN(2)/2))/(LN(2)/2)*ER73*EU73*VLOOKUP('Données projet'!$B$15,Paramètres!$A$1:$I$89,3,0)*0.475*44/12</f>
        <v>51.553482541740365</v>
      </c>
      <c r="EY73" s="22">
        <f t="shared" si="75"/>
        <v>125.95558480925008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387</v>
      </c>
      <c r="FC73" s="12">
        <f>VLOOKUP(A73,'Données projet'!$A$217:$I$237,9,0)</f>
        <v>11.8</v>
      </c>
      <c r="FD73" s="12">
        <f t="array" ref="FD73">INDEX(FC:FC,MIN(IF(ISNUMBER(FC73:FC269),ROW(FC73:FC269),"")))</f>
        <v>11.8</v>
      </c>
      <c r="FE73" s="12">
        <f>IF('Données projet'!$A$218&gt;35,FE72+FD73-FM72,IF(A73&lt;'Données projet'!$A$218,$FB$205^A73,IF(A73='Données projet'!$A$218,'Données projet'!$B$218,FE72+FD73-FM72)))</f>
        <v>387</v>
      </c>
      <c r="FF73" s="17">
        <f>FE73*VLOOKUP('Données projet'!$B$16,Paramètres!$A$1:$I$89,3,0)*VLOOKUP('Données projet'!$B$16,Paramètres!$A$1:$I$89,5,0)</f>
        <v>283.7484</v>
      </c>
      <c r="FG73" s="13">
        <f t="shared" si="101"/>
        <v>67.758539422912406</v>
      </c>
      <c r="FH73" s="20">
        <f t="shared" si="76"/>
        <v>612.20791949490581</v>
      </c>
      <c r="FI73" s="59">
        <f t="shared" si="77"/>
        <v>864.6110132498269</v>
      </c>
      <c r="FJ73" s="59">
        <f ca="1">AVERAGE(OFFSET($FI$3,0,0,'Données projet'!$E$16+1,1))-AVERAGE(OFFSET($H$3,0,0,'Données projet'!$E$16+1,1))</f>
        <v>525.22234644068908</v>
      </c>
      <c r="FK73" s="59">
        <f t="shared" si="102"/>
        <v>311.5550296132094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35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0.215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23.4656480270482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23.4656480270482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263</v>
      </c>
      <c r="FX73" s="12">
        <f>VLOOKUP(A73,'Données projet'!$A$243:$I$263,9,0)</f>
        <v>3.8</v>
      </c>
      <c r="FY73" s="12">
        <f t="array" ref="FY73">INDEX(FX:FX,MIN(IF(ISNUMBER(FX73:FX269),ROW(FX73:FX269),"")))</f>
        <v>3.8</v>
      </c>
      <c r="FZ73" s="12">
        <f>IF('Données projet'!$A$244&gt;35,FZ72+FY73-GH72,IF(A73&lt;'Données projet'!$A$244,$FW$205^A73,IF(A73='Données projet'!$A$244,'Données projet'!$B$244,FZ72+FY73-GH72)))</f>
        <v>262.99999999999989</v>
      </c>
      <c r="GA73" s="17">
        <f>FZ73*VLOOKUP('Données projet'!$B$17,Paramètres!$A$1:$I$89,3,0)*VLOOKUP('Données projet'!$B$17,Paramètres!$A$1:$I$89,5,0)</f>
        <v>172.31759999999994</v>
      </c>
      <c r="GB73" s="13">
        <f t="shared" si="103"/>
        <v>43.608679117600254</v>
      </c>
      <c r="GC73" s="20">
        <f t="shared" si="79"/>
        <v>376.07160279648701</v>
      </c>
      <c r="GD73" s="59">
        <f t="shared" si="80"/>
        <v>628.4746965514081</v>
      </c>
      <c r="GE73" s="59">
        <f ca="1">AVERAGE(OFFSET($GD$3,0,0,'Données projet'!$E$17+1,1))-AVERAGE(OFFSET($H$3,0,0,'Données projet'!$E$17+1,1))</f>
        <v>298.45881427802874</v>
      </c>
      <c r="GF73" s="59">
        <f t="shared" si="104"/>
        <v>287.00279305562356</v>
      </c>
      <c r="GG73" s="15">
        <f>IF(ISNA(VLOOKUP(A73,'Données projet'!$A$243:$I$263,3,0)),0,VLOOKUP(A73,'Données projet'!$A$243:$I$263,3,0))</f>
        <v>12</v>
      </c>
      <c r="GH73" s="15">
        <f>IF(ISNA(VLOOKUP(A73,'Données projet'!$A$243:$I$263,4,0)),0,VLOOKUP(A73,'Données projet'!$A$243:$I$263,4,0))</f>
        <v>10</v>
      </c>
      <c r="GI73" s="16">
        <f>IF(ISNA(VLOOKUP(A73,'Données projet'!$A$243:$I$263,5,0)),0%,VLOOKUP(A73,'Données projet'!$A$243:$I$263,5,0)*VLOOKUP('Données projet'!$B$17,Paramètres!$A$1:$I$89,7,0))</f>
        <v>0.215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0.3</v>
      </c>
      <c r="GL73" s="21">
        <f>EXP(-LN(2)/35)*GL72+(1-EXP(-LN(2)/35))/(LN(2)/35)*GH73*GI73*VLOOKUP('Données projet'!$B$17,Paramètres!$A$1:$I$89,3,0)*0.475*44/12</f>
        <v>8.9490684040562378</v>
      </c>
      <c r="GM73" s="21">
        <f>EXP(-LN(2)/25)*GM72+(1-EXP(-LN(2)/25))/(LN(2)/25)*Calculateur!GH73*Calculateur!GJ73*VLOOKUP('Données projet'!$B$17,Paramètres!$A$1:$I$89,3,0)*0.475*44/12</f>
        <v>2.4998163224829715</v>
      </c>
      <c r="GN73" s="21">
        <f>EXP(-LN(2)/2)*GN72+(1-EXP(-LN(2)/2))/(LN(2)/2)*GH73*GK73*VLOOKUP('Données projet'!$B$17,Paramètres!$A$1:$I$89,3,0)*0.475*44/12</f>
        <v>2.3033373459709297</v>
      </c>
      <c r="GO73" s="21">
        <f t="shared" si="81"/>
        <v>13.752222072510138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135.66666666666666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8.1111111111111107</v>
      </c>
      <c r="N74" s="13">
        <f>IF('Données projet'!$A$36&gt;35,N73+M74-V73,IF(A74&lt;'Données projet'!$A$36,$K$205^A74,IF(A74='Données projet'!$A$36,'Données projet'!$B$36,N73+M74-V73)))</f>
        <v>239.2222222222222</v>
      </c>
      <c r="O74" s="13">
        <f>N74*VLOOKUP('Données projet'!$B$9,Paramètres!$A$1:$I$89,3,0)*VLOOKUP('Données projet'!$B$9,Paramètres!$A$1:$I$89,5,0)</f>
        <v>216.44826666666665</v>
      </c>
      <c r="P74" s="13">
        <f t="shared" si="87"/>
        <v>53.342204311943696</v>
      </c>
      <c r="Q74" s="20">
        <f t="shared" si="54"/>
        <v>469.88507028774637</v>
      </c>
      <c r="R74" s="59">
        <f t="shared" si="55"/>
        <v>722.9982121930459</v>
      </c>
      <c r="S74" s="59">
        <f ca="1">AVERAGE(OFFSET($R$3,0,0,'Données projet'!$E$9+1,1))-AVERAGE(OFFSET($H$3,0,0,'Données projet'!$E$9+1,1))</f>
        <v>600.52384738314299</v>
      </c>
      <c r="T74" s="59">
        <f t="shared" si="88"/>
        <v>314.84650287986256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31.490957951504637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31.490957951504637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</v>
      </c>
      <c r="AI74" s="13">
        <f>IF('Données projet'!$A$62&gt;35,AI73+AH74-AQ73,IF(A74&lt;'Données projet'!$A$62,$AF$205^A74,IF(A74='Données projet'!$A$62,'Données projet'!$B$62,AI73+AH74-AQ73)))</f>
        <v>241.00000000000011</v>
      </c>
      <c r="AJ74" s="13">
        <f>AI74*VLOOKUP('Données projet'!$B$10,Paramètres!$A$1:$I$89,3,0)*VLOOKUP('Données projet'!$B$10,Paramètres!$A$1:$I$89,5,0)</f>
        <v>210.53760000000011</v>
      </c>
      <c r="AK74" s="13">
        <f t="shared" si="89"/>
        <v>52.053047337322276</v>
      </c>
      <c r="AL74" s="20">
        <f t="shared" si="58"/>
        <v>457.34537744583645</v>
      </c>
      <c r="AM74" s="59">
        <f t="shared" si="59"/>
        <v>710.45851935113592</v>
      </c>
      <c r="AN74" s="59">
        <f ca="1">AVERAGE(OFFSET($AM$3,0,0,'Données projet'!$E$10+1,1))-AVERAGE(OFFSET($H$3,0,0,'Données projet'!$E$10+1,1))</f>
        <v>436.77894860279537</v>
      </c>
      <c r="AO74" s="59">
        <f t="shared" si="90"/>
        <v>398.63561969573072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41.216807599398592</v>
      </c>
      <c r="AV74" s="21">
        <f>EXP(-LN(2)/25)*AV73+(1-EXP(-LN(2)/25))/(LN(2)/25)*Calculateur!AQ74*Calculateur!AS74*VLOOKUP('Données projet'!$B$10,Paramètres!$A$1:$I$89,3,0)*0.475*44/12</f>
        <v>12.746379684449499</v>
      </c>
      <c r="AW74" s="21">
        <f>EXP(-LN(2)/2)*AW73+(1-EXP(-LN(2)/2))/(LN(2)/2)*AQ74*AT74*VLOOKUP('Données projet'!$B$10,Paramètres!$A$1:$I$89,3,0)*0.475*44/12</f>
        <v>1.0649383130382992E-6</v>
      </c>
      <c r="AX74" s="21">
        <f t="shared" si="60"/>
        <v>53.963188348786403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203.99183999999988</v>
      </c>
      <c r="BF74" s="13">
        <f t="shared" si="91"/>
        <v>50.620441749347997</v>
      </c>
      <c r="BG74" s="20">
        <f t="shared" si="61"/>
        <v>443.44972404678083</v>
      </c>
      <c r="BH74" s="59">
        <f t="shared" si="62"/>
        <v>696.5628659520803</v>
      </c>
      <c r="BI74" s="59">
        <f ca="1">AVERAGE(OFFSET($BH$3,0,0,'Données projet'!$E$11+1,1))-AVERAGE(OFFSET($H$3,0,0,'Données projet'!$E$11+1,1))</f>
        <v>344.97546176735341</v>
      </c>
      <c r="BJ74" s="59">
        <f t="shared" si="92"/>
        <v>331.15461126257492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13.131225831514868</v>
      </c>
      <c r="BQ74" s="21">
        <f>EXP(-LN(2)/25)*BQ73+(1-EXP(-LN(2)/25))/(LN(2)/25)*Calculateur!BL74*Calculateur!BN74*VLOOKUP('Données projet'!$B$11,Paramètres!$A$1:$I$89,3,0)*0.475*44/12</f>
        <v>3.6391101346017067</v>
      </c>
      <c r="BR74" s="21">
        <f>EXP(-LN(2)/2)*BR73+(1-EXP(-LN(2)/2))/(LN(2)/2)*BL74*BO74*VLOOKUP('Données projet'!$B$11,Paramètres!$A$1:$I$89,3,0)*0.475*44/12</f>
        <v>1.9777137688454696</v>
      </c>
      <c r="BS74" s="22">
        <f t="shared" si="63"/>
        <v>18.748049734962045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696.5628659520803</v>
      </c>
      <c r="CD74" s="59">
        <f ca="1">AVERAGE(OFFSET($CC$3,0,0,'Données projet'!$E$12+1,1))-AVERAGE(OFFSET($H$3,0,0,'Données projet'!$E$12+1,1))</f>
        <v>344.97546176735341</v>
      </c>
      <c r="CE74" s="59">
        <f t="shared" si="94"/>
        <v>331.15461126257492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13.131225831514868</v>
      </c>
      <c r="CL74" s="21">
        <f>EXP(-LN(2)/25)*CL73+(1-EXP(-LN(2)/25))/(LN(2)/25)*Calculateur!CG74*Calculateur!CI74*VLOOKUP('Données projet'!$B$12,Paramètres!$A$1:$I$89,3,0)*0.475*44/12</f>
        <v>3.6391101346017067</v>
      </c>
      <c r="CM74" s="21">
        <f>EXP(-LN(2)/2)*CM73+(1-EXP(-LN(2)/2))/(LN(2)/2)*CG74*CJ74*VLOOKUP('Données projet'!$B$12,Paramètres!$A$1:$I$89,3,0)*0.475*44/12</f>
        <v>1.9777137688454696</v>
      </c>
      <c r="CN74" s="22">
        <f t="shared" si="66"/>
        <v>18.748049734962045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227.19465047672969</v>
      </c>
      <c r="CZ74" s="59">
        <f t="shared" si="96"/>
        <v>529.77979244134417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43.733418306999219</v>
      </c>
      <c r="DG74" s="21">
        <f>EXP(-LN(2)/25)*DG73+(1-EXP(-LN(2)/25))/(LN(2)/25)*Calculateur!DB74*Calculateur!DD74*VLOOKUP('Données projet'!$B$13,Paramètres!$A$1:$I$89,3,0)*0.475*44/12</f>
        <v>10.166310854207646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53.899729161206864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240.09151195692266</v>
      </c>
      <c r="DU74" s="59">
        <f t="shared" si="98"/>
        <v>559.47775134103165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46.591811660397831</v>
      </c>
      <c r="EB74" s="21">
        <f>EXP(-LN(2)/25)*EB73+(1-EXP(-LN(2)/25))/(LN(2)/25)*Calculateur!DW74*Calculateur!DY74*VLOOKUP('Données projet'!$B$14,Paramètres!$A$1:$I$89,3,0)*0.475*44/12</f>
        <v>10.830775615920563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57.422587276318396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5.6843418860808015E-14</v>
      </c>
      <c r="EK74" s="17">
        <f>EJ74*VLOOKUP('Données projet'!$B$15,Paramètres!$A$1:$I$89,3,0)*VLOOKUP('Données projet'!$B$15,Paramètres!$A$1:$I$89,5,0)</f>
        <v>4.4337866711430253E-14</v>
      </c>
      <c r="EL74" s="13">
        <f t="shared" si="99"/>
        <v>7.3222115536967035E-13</v>
      </c>
      <c r="EM74" s="20">
        <f t="shared" si="73"/>
        <v>1.3525069634579169E-12</v>
      </c>
      <c r="EN74" s="59">
        <f t="shared" si="74"/>
        <v>253.11314190530084</v>
      </c>
      <c r="EO74" s="59">
        <f ca="1">AVERAGE(OFFSET($EN$3,0,0,'Données projet'!$E$15+1,1))-AVERAGE(OFFSET($H$3,0,0,'Données projet'!$E$15+1,1))</f>
        <v>328.79469965518484</v>
      </c>
      <c r="EP74" s="59">
        <f t="shared" si="100"/>
        <v>322.06400652269735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63.871835137357856</v>
      </c>
      <c r="EW74" s="21">
        <f>EXP(-LN(2)/25)*EW73+(1-EXP(-LN(2)/25))/(LN(2)/25)*Calculateur!ER74*Calculateur!ET74*VLOOKUP('Données projet'!$B$15,Paramètres!$A$1:$I$89,3,0)*0.475*44/12</f>
        <v>8.9997113070773924</v>
      </c>
      <c r="EX74" s="21">
        <f>EXP(-LN(2)/2)*EX73+(1-EXP(-LN(2)/2))/(LN(2)/2)*ER74*EU74*VLOOKUP('Données projet'!$B$15,Paramètres!$A$1:$I$89,3,0)*0.475*44/12</f>
        <v>36.453817099046908</v>
      </c>
      <c r="EY74" s="22">
        <f t="shared" si="75"/>
        <v>109.32536354348215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11</v>
      </c>
      <c r="FE74" s="12">
        <f>IF('Données projet'!$A$218&gt;35,FE73+FD74-FM73,IF(A74&lt;'Données projet'!$A$218,$FB$205^A74,IF(A74='Données projet'!$A$218,'Données projet'!$B$218,FE73+FD74-FM73)))</f>
        <v>363</v>
      </c>
      <c r="FF74" s="17">
        <f>FE74*VLOOKUP('Données projet'!$B$16,Paramètres!$A$1:$I$89,3,0)*VLOOKUP('Données projet'!$B$16,Paramètres!$A$1:$I$89,5,0)</f>
        <v>266.15159999999997</v>
      </c>
      <c r="FG74" s="13">
        <f t="shared" si="101"/>
        <v>64.031860548293878</v>
      </c>
      <c r="FH74" s="20">
        <f t="shared" si="76"/>
        <v>575.06952712161171</v>
      </c>
      <c r="FI74" s="59">
        <f t="shared" si="77"/>
        <v>828.18266902691119</v>
      </c>
      <c r="FJ74" s="59">
        <f ca="1">AVERAGE(OFFSET($FI$3,0,0,'Données projet'!$E$16+1,1))-AVERAGE(OFFSET($H$3,0,0,'Données projet'!$E$16+1,1))</f>
        <v>525.22234644068908</v>
      </c>
      <c r="FK74" s="59">
        <f t="shared" si="102"/>
        <v>311.5550296132094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22.823978647743768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22.823978647743768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3.4</v>
      </c>
      <c r="FZ74" s="12">
        <f>IF('Données projet'!$A$244&gt;35,FZ73+FY74-GH73,IF(A74&lt;'Données projet'!$A$244,$FW$205^A74,IF(A74='Données projet'!$A$244,'Données projet'!$B$244,FZ73+FY74-GH73)))</f>
        <v>256.39999999999986</v>
      </c>
      <c r="GA74" s="17">
        <f>FZ74*VLOOKUP('Données projet'!$B$17,Paramètres!$A$1:$I$89,3,0)*VLOOKUP('Données projet'!$B$17,Paramètres!$A$1:$I$89,5,0)</f>
        <v>167.99327999999991</v>
      </c>
      <c r="GB74" s="13">
        <f t="shared" si="103"/>
        <v>42.640274928095231</v>
      </c>
      <c r="GC74" s="20">
        <f t="shared" si="79"/>
        <v>366.85344149976572</v>
      </c>
      <c r="GD74" s="59">
        <f t="shared" si="80"/>
        <v>619.96658340506519</v>
      </c>
      <c r="GE74" s="59">
        <f ca="1">AVERAGE(OFFSET($GD$3,0,0,'Données projet'!$E$17+1,1))-AVERAGE(OFFSET($H$3,0,0,'Données projet'!$E$17+1,1))</f>
        <v>298.45881427802874</v>
      </c>
      <c r="GF74" s="59">
        <f t="shared" si="104"/>
        <v>287.00279305562356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8.7735826310454499</v>
      </c>
      <c r="GM74" s="21">
        <f>EXP(-LN(2)/25)*GM73+(1-EXP(-LN(2)/25))/(LN(2)/25)*Calculateur!GH74*Calculateur!GJ74*VLOOKUP('Données projet'!$B$17,Paramètres!$A$1:$I$89,3,0)*0.475*44/12</f>
        <v>2.4314587136850476</v>
      </c>
      <c r="GN74" s="21">
        <f>EXP(-LN(2)/2)*GN73+(1-EXP(-LN(2)/2))/(LN(2)/2)*GH74*GK74*VLOOKUP('Données projet'!$B$17,Paramètres!$A$1:$I$89,3,0)*0.475*44/12</f>
        <v>1.6287054566962693</v>
      </c>
      <c r="GO74" s="21">
        <f t="shared" si="81"/>
        <v>12.833746801426766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135.66666666666666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8.1111111111111107</v>
      </c>
      <c r="N75" s="13">
        <f>IF('Données projet'!$A$36&gt;35,N74+M75-V74,IF(A75&lt;'Données projet'!$A$36,$K$205^A75,IF(A75='Données projet'!$A$36,'Données projet'!$B$36,N74+M75-V74)))</f>
        <v>247.33333333333331</v>
      </c>
      <c r="O75" s="13">
        <f>N75*VLOOKUP('Données projet'!$B$9,Paramètres!$A$1:$I$89,3,0)*VLOOKUP('Données projet'!$B$9,Paramètres!$A$1:$I$89,5,0)</f>
        <v>223.78719999999998</v>
      </c>
      <c r="P75" s="13">
        <f t="shared" si="87"/>
        <v>54.937195482089855</v>
      </c>
      <c r="Q75" s="20">
        <f t="shared" si="54"/>
        <v>485.44498879797311</v>
      </c>
      <c r="R75" s="59">
        <f t="shared" si="55"/>
        <v>739.25586110567178</v>
      </c>
      <c r="S75" s="59">
        <f ca="1">AVERAGE(OFFSET($R$3,0,0,'Données projet'!$E$9+1,1))-AVERAGE(OFFSET($H$3,0,0,'Données projet'!$E$9+1,1))</f>
        <v>600.52384738314299</v>
      </c>
      <c r="T75" s="59">
        <f t="shared" si="88"/>
        <v>314.84650287986256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30.629836050283238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30.629836050283238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</v>
      </c>
      <c r="AI75" s="13">
        <f>IF('Données projet'!$A$62&gt;35,AI74+AH75-AQ74,IF(A75&lt;'Données projet'!$A$62,$AF$205^A75,IF(A75='Données projet'!$A$62,'Données projet'!$B$62,AI74+AH75-AQ74)))</f>
        <v>246.00000000000011</v>
      </c>
      <c r="AJ75" s="13">
        <f>AI75*VLOOKUP('Données projet'!$B$10,Paramètres!$A$1:$I$89,3,0)*VLOOKUP('Données projet'!$B$10,Paramètres!$A$1:$I$89,5,0)</f>
        <v>214.90560000000013</v>
      </c>
      <c r="AK75" s="13">
        <f t="shared" si="89"/>
        <v>53.006137800892375</v>
      </c>
      <c r="AL75" s="20">
        <f t="shared" si="58"/>
        <v>466.61294333655451</v>
      </c>
      <c r="AM75" s="59">
        <f t="shared" si="59"/>
        <v>720.42381564425318</v>
      </c>
      <c r="AN75" s="59">
        <f ca="1">AVERAGE(OFFSET($AM$3,0,0,'Données projet'!$E$10+1,1))-AVERAGE(OFFSET($H$3,0,0,'Données projet'!$E$10+1,1))</f>
        <v>436.77894860279537</v>
      </c>
      <c r="AO75" s="59">
        <f t="shared" si="90"/>
        <v>398.63561969573072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40.408571142144673</v>
      </c>
      <c r="AV75" s="21">
        <f>EXP(-LN(2)/25)*AV74+(1-EXP(-LN(2)/25))/(LN(2)/25)*Calculateur!AQ75*Calculateur!AS75*VLOOKUP('Données projet'!$B$10,Paramètres!$A$1:$I$89,3,0)*0.475*44/12</f>
        <v>12.397829261675252</v>
      </c>
      <c r="AW75" s="21">
        <f>EXP(-LN(2)/2)*AW74+(1-EXP(-LN(2)/2))/(LN(2)/2)*AQ75*AT75*VLOOKUP('Données projet'!$B$10,Paramètres!$A$1:$I$89,3,0)*0.475*44/12</f>
        <v>7.5302510269474366E-7</v>
      </c>
      <c r="AX75" s="21">
        <f t="shared" si="60"/>
        <v>52.806401156845027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206.69687999999991</v>
      </c>
      <c r="BF75" s="13">
        <f t="shared" si="91"/>
        <v>51.213106197404436</v>
      </c>
      <c r="BG75" s="20">
        <f t="shared" si="61"/>
        <v>449.1932259604792</v>
      </c>
      <c r="BH75" s="59">
        <f t="shared" si="62"/>
        <v>703.00409826817781</v>
      </c>
      <c r="BI75" s="59">
        <f ca="1">AVERAGE(OFFSET($BH$3,0,0,'Données projet'!$E$11+1,1))-AVERAGE(OFFSET($H$3,0,0,'Données projet'!$E$11+1,1))</f>
        <v>344.97546176735341</v>
      </c>
      <c r="BJ75" s="59">
        <f t="shared" si="92"/>
        <v>331.15461126257492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12.873730502215771</v>
      </c>
      <c r="BQ75" s="21">
        <f>EXP(-LN(2)/25)*BQ74+(1-EXP(-LN(2)/25))/(LN(2)/25)*Calculateur!BL75*Calculateur!BN75*VLOOKUP('Données projet'!$B$11,Paramètres!$A$1:$I$89,3,0)*0.475*44/12</f>
        <v>3.5395984765985382</v>
      </c>
      <c r="BR75" s="21">
        <f>EXP(-LN(2)/2)*BR74+(1-EXP(-LN(2)/2))/(LN(2)/2)*BL75*BO75*VLOOKUP('Données projet'!$B$11,Paramètres!$A$1:$I$89,3,0)*0.475*44/12</f>
        <v>1.3984548171966358</v>
      </c>
      <c r="BS75" s="22">
        <f t="shared" si="63"/>
        <v>17.811783796010946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703.00409826817781</v>
      </c>
      <c r="CD75" s="59">
        <f ca="1">AVERAGE(OFFSET($CC$3,0,0,'Données projet'!$E$12+1,1))-AVERAGE(OFFSET($H$3,0,0,'Données projet'!$E$12+1,1))</f>
        <v>344.97546176735341</v>
      </c>
      <c r="CE75" s="59">
        <f t="shared" si="94"/>
        <v>331.15461126257492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12.873730502215771</v>
      </c>
      <c r="CL75" s="21">
        <f>EXP(-LN(2)/25)*CL74+(1-EXP(-LN(2)/25))/(LN(2)/25)*Calculateur!CG75*Calculateur!CI75*VLOOKUP('Données projet'!$B$12,Paramètres!$A$1:$I$89,3,0)*0.475*44/12</f>
        <v>3.5395984765985382</v>
      </c>
      <c r="CM75" s="21">
        <f>EXP(-LN(2)/2)*CM74+(1-EXP(-LN(2)/2))/(LN(2)/2)*CG75*CJ75*VLOOKUP('Données projet'!$B$12,Paramètres!$A$1:$I$89,3,0)*0.475*44/12</f>
        <v>1.3984548171966358</v>
      </c>
      <c r="CN75" s="22">
        <f t="shared" si="66"/>
        <v>17.811783796010946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227.19465047672969</v>
      </c>
      <c r="CZ75" s="59">
        <f t="shared" si="96"/>
        <v>529.77979244134417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42.875832648750219</v>
      </c>
      <c r="DG75" s="21">
        <f>EXP(-LN(2)/25)*DG74+(1-EXP(-LN(2)/25))/(LN(2)/25)*Calculateur!DB75*Calculateur!DD75*VLOOKUP('Données projet'!$B$13,Paramètres!$A$1:$I$89,3,0)*0.475*44/12</f>
        <v>9.8883125492762858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52.764145198026505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240.09151195692266</v>
      </c>
      <c r="DU75" s="59">
        <f t="shared" si="98"/>
        <v>559.47775134103165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45.67817465193648</v>
      </c>
      <c r="EB75" s="21">
        <f>EXP(-LN(2)/25)*EB74+(1-EXP(-LN(2)/25))/(LN(2)/25)*Calculateur!DW75*Calculateur!DY75*VLOOKUP('Données projet'!$B$14,Paramètres!$A$1:$I$89,3,0)*0.475*44/12</f>
        <v>10.53460748713748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56.212782139073958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5.6843418860808015E-14</v>
      </c>
      <c r="EK75" s="17">
        <f>EJ75*VLOOKUP('Données projet'!$B$15,Paramètres!$A$1:$I$89,3,0)*VLOOKUP('Données projet'!$B$15,Paramètres!$A$1:$I$89,5,0)</f>
        <v>4.4337866711430253E-14</v>
      </c>
      <c r="EL75" s="13">
        <f t="shared" si="99"/>
        <v>7.3222115536967035E-13</v>
      </c>
      <c r="EM75" s="20">
        <f t="shared" si="73"/>
        <v>1.3525069634579169E-12</v>
      </c>
      <c r="EN75" s="59">
        <f t="shared" si="74"/>
        <v>253.81087230770004</v>
      </c>
      <c r="EO75" s="59">
        <f ca="1">AVERAGE(OFFSET($EN$3,0,0,'Données projet'!$E$15+1,1))-AVERAGE(OFFSET($H$3,0,0,'Données projet'!$E$15+1,1))</f>
        <v>328.79469965518484</v>
      </c>
      <c r="EP75" s="59">
        <f t="shared" si="100"/>
        <v>322.06400652269735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62.61934740828692</v>
      </c>
      <c r="EW75" s="21">
        <f>EXP(-LN(2)/25)*EW74+(1-EXP(-LN(2)/25))/(LN(2)/25)*Calculateur!ER75*Calculateur!ET75*VLOOKUP('Données projet'!$B$15,Paramètres!$A$1:$I$89,3,0)*0.475*44/12</f>
        <v>8.7536137281111124</v>
      </c>
      <c r="EX75" s="21">
        <f>EXP(-LN(2)/2)*EX74+(1-EXP(-LN(2)/2))/(LN(2)/2)*ER75*EU75*VLOOKUP('Données projet'!$B$15,Paramètres!$A$1:$I$89,3,0)*0.475*44/12</f>
        <v>25.77674127087019</v>
      </c>
      <c r="EY75" s="22">
        <f t="shared" si="75"/>
        <v>97.149702407268222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11</v>
      </c>
      <c r="FE75" s="12">
        <f>IF('Données projet'!$A$218&gt;35,FE74+FD75-FM74,IF(A75&lt;'Données projet'!$A$218,$FB$205^A75,IF(A75='Données projet'!$A$218,'Données projet'!$B$218,FE74+FD75-FM74)))</f>
        <v>374</v>
      </c>
      <c r="FF75" s="17">
        <f>FE75*VLOOKUP('Données projet'!$B$16,Paramètres!$A$1:$I$89,3,0)*VLOOKUP('Données projet'!$B$16,Paramètres!$A$1:$I$89,5,0)</f>
        <v>274.21680000000003</v>
      </c>
      <c r="FG75" s="13">
        <f t="shared" si="101"/>
        <v>65.743371927752975</v>
      </c>
      <c r="FH75" s="20">
        <f t="shared" si="76"/>
        <v>592.09729944083642</v>
      </c>
      <c r="FI75" s="59">
        <f t="shared" si="77"/>
        <v>845.9081717485351</v>
      </c>
      <c r="FJ75" s="59">
        <f ca="1">AVERAGE(OFFSET($FI$3,0,0,'Données projet'!$E$16+1,1))-AVERAGE(OFFSET($H$3,0,0,'Données projet'!$E$16+1,1))</f>
        <v>525.22234644068908</v>
      </c>
      <c r="FK75" s="59">
        <f t="shared" si="102"/>
        <v>311.5550296132094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22.199855751360342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22.199855751360342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3.4</v>
      </c>
      <c r="FZ75" s="12">
        <f>IF('Données projet'!$A$244&gt;35,FZ74+FY75-GH74,IF(A75&lt;'Données projet'!$A$244,$FW$205^A75,IF(A75='Données projet'!$A$244,'Données projet'!$B$244,FZ74+FY75-GH74)))</f>
        <v>259.79999999999984</v>
      </c>
      <c r="GA75" s="17">
        <f>FZ75*VLOOKUP('Données projet'!$B$17,Paramètres!$A$1:$I$89,3,0)*VLOOKUP('Données projet'!$B$17,Paramètres!$A$1:$I$89,5,0)</f>
        <v>170.22095999999991</v>
      </c>
      <c r="GB75" s="13">
        <f t="shared" si="103"/>
        <v>43.13950753318327</v>
      </c>
      <c r="GC75" s="20">
        <f t="shared" si="79"/>
        <v>371.60281428696067</v>
      </c>
      <c r="GD75" s="59">
        <f t="shared" si="80"/>
        <v>625.41368659465934</v>
      </c>
      <c r="GE75" s="59">
        <f ca="1">AVERAGE(OFFSET($GD$3,0,0,'Données projet'!$E$17+1,1))-AVERAGE(OFFSET($H$3,0,0,'Données projet'!$E$17+1,1))</f>
        <v>298.45881427802874</v>
      </c>
      <c r="GF75" s="59">
        <f t="shared" si="104"/>
        <v>287.00279305562356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8.6015380270076509</v>
      </c>
      <c r="GM75" s="21">
        <f>EXP(-LN(2)/25)*GM74+(1-EXP(-LN(2)/25))/(LN(2)/25)*Calculateur!GH75*Calculateur!GJ75*VLOOKUP('Données projet'!$B$17,Paramètres!$A$1:$I$89,3,0)*0.475*44/12</f>
        <v>2.3649703472944732</v>
      </c>
      <c r="GN75" s="21">
        <f>EXP(-LN(2)/2)*GN74+(1-EXP(-LN(2)/2))/(LN(2)/2)*GH75*GK75*VLOOKUP('Données projet'!$B$17,Paramètres!$A$1:$I$89,3,0)*0.475*44/12</f>
        <v>1.151668672985465</v>
      </c>
      <c r="GO75" s="21">
        <f t="shared" si="81"/>
        <v>12.11817704728759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135.66666666666666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8.1111111111111107</v>
      </c>
      <c r="N76" s="13">
        <f>IF('Données projet'!$A$36&gt;35,N75+M76-V75,IF(A76&lt;'Données projet'!$A$36,$K$205^A76,IF(A76='Données projet'!$A$36,'Données projet'!$B$36,N75+M76-V75)))</f>
        <v>255.44444444444443</v>
      </c>
      <c r="O76" s="13">
        <f>N76*VLOOKUP('Données projet'!$B$9,Paramètres!$A$1:$I$89,3,0)*VLOOKUP('Données projet'!$B$9,Paramètres!$A$1:$I$89,5,0)</f>
        <v>231.12613333333331</v>
      </c>
      <c r="P76" s="13">
        <f t="shared" si="87"/>
        <v>56.526108626018512</v>
      </c>
      <c r="Q76" s="20">
        <f t="shared" si="54"/>
        <v>500.99432141253783</v>
      </c>
      <c r="R76" s="59">
        <f t="shared" si="55"/>
        <v>755.49082006004551</v>
      </c>
      <c r="S76" s="59">
        <f ca="1">AVERAGE(OFFSET($R$3,0,0,'Données projet'!$E$9+1,1))-AVERAGE(OFFSET($H$3,0,0,'Données projet'!$E$9+1,1))</f>
        <v>600.52384738314299</v>
      </c>
      <c r="T76" s="59">
        <f t="shared" si="88"/>
        <v>314.84650287986256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29.792261572735171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29.792261572735171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</v>
      </c>
      <c r="AI76" s="13">
        <f>IF('Données projet'!$A$62&gt;35,AI75+AH76-AQ75,IF(A76&lt;'Données projet'!$A$62,$AF$205^A76,IF(A76='Données projet'!$A$62,'Données projet'!$B$62,AI75+AH76-AQ75)))</f>
        <v>251.00000000000011</v>
      </c>
      <c r="AJ76" s="13">
        <f>AI76*VLOOKUP('Données projet'!$B$10,Paramètres!$A$1:$I$89,3,0)*VLOOKUP('Données projet'!$B$10,Paramètres!$A$1:$I$89,5,0)</f>
        <v>219.27360000000016</v>
      </c>
      <c r="AK76" s="13">
        <f t="shared" si="89"/>
        <v>53.956975893220168</v>
      </c>
      <c r="AL76" s="20">
        <f t="shared" si="58"/>
        <v>475.87658634735868</v>
      </c>
      <c r="AM76" s="59">
        <f t="shared" si="59"/>
        <v>730.3730849948663</v>
      </c>
      <c r="AN76" s="59">
        <f ca="1">AVERAGE(OFFSET($AM$3,0,0,'Données projet'!$E$10+1,1))-AVERAGE(OFFSET($H$3,0,0,'Données projet'!$E$10+1,1))</f>
        <v>436.77894860279537</v>
      </c>
      <c r="AO76" s="59">
        <f t="shared" si="90"/>
        <v>398.63561969573072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39.616183708841945</v>
      </c>
      <c r="AV76" s="21">
        <f>EXP(-LN(2)/25)*AV75+(1-EXP(-LN(2)/25))/(LN(2)/25)*Calculateur!AQ76*Calculateur!AS76*VLOOKUP('Données projet'!$B$10,Paramètres!$A$1:$I$89,3,0)*0.475*44/12</f>
        <v>12.058809968541237</v>
      </c>
      <c r="AW76" s="21">
        <f>EXP(-LN(2)/2)*AW75+(1-EXP(-LN(2)/2))/(LN(2)/2)*AQ76*AT76*VLOOKUP('Données projet'!$B$10,Paramètres!$A$1:$I$89,3,0)*0.475*44/12</f>
        <v>5.3246915651914958E-7</v>
      </c>
      <c r="AX76" s="21">
        <f t="shared" si="60"/>
        <v>51.674994209852343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209.40191999999988</v>
      </c>
      <c r="BF76" s="13">
        <f t="shared" si="91"/>
        <v>51.804868484579039</v>
      </c>
      <c r="BG76" s="20">
        <f t="shared" si="61"/>
        <v>454.93515661064157</v>
      </c>
      <c r="BH76" s="59">
        <f t="shared" si="62"/>
        <v>709.43165525814925</v>
      </c>
      <c r="BI76" s="59">
        <f ca="1">AVERAGE(OFFSET($BH$3,0,0,'Données projet'!$E$11+1,1))-AVERAGE(OFFSET($H$3,0,0,'Données projet'!$E$11+1,1))</f>
        <v>344.97546176735341</v>
      </c>
      <c r="BJ76" s="59">
        <f t="shared" si="92"/>
        <v>331.15461126257492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12.621284499267587</v>
      </c>
      <c r="BQ76" s="21">
        <f>EXP(-LN(2)/25)*BQ75+(1-EXP(-LN(2)/25))/(LN(2)/25)*Calculateur!BL76*Calculateur!BN76*VLOOKUP('Données projet'!$B$11,Paramètres!$A$1:$I$89,3,0)*0.475*44/12</f>
        <v>3.442807970116557</v>
      </c>
      <c r="BR76" s="21">
        <f>EXP(-LN(2)/2)*BR75+(1-EXP(-LN(2)/2))/(LN(2)/2)*BL76*BO76*VLOOKUP('Données projet'!$B$11,Paramètres!$A$1:$I$89,3,0)*0.475*44/12</f>
        <v>0.98885688442273489</v>
      </c>
      <c r="BS76" s="22">
        <f t="shared" si="63"/>
        <v>17.052949353806877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709.43165525814925</v>
      </c>
      <c r="CD76" s="59">
        <f ca="1">AVERAGE(OFFSET($CC$3,0,0,'Données projet'!$E$12+1,1))-AVERAGE(OFFSET($H$3,0,0,'Données projet'!$E$12+1,1))</f>
        <v>344.97546176735341</v>
      </c>
      <c r="CE76" s="59">
        <f t="shared" si="94"/>
        <v>331.15461126257492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12.621284499267587</v>
      </c>
      <c r="CL76" s="21">
        <f>EXP(-LN(2)/25)*CL75+(1-EXP(-LN(2)/25))/(LN(2)/25)*Calculateur!CG76*Calculateur!CI76*VLOOKUP('Données projet'!$B$12,Paramètres!$A$1:$I$89,3,0)*0.475*44/12</f>
        <v>3.442807970116557</v>
      </c>
      <c r="CM76" s="21">
        <f>EXP(-LN(2)/2)*CM75+(1-EXP(-LN(2)/2))/(LN(2)/2)*CG76*CJ76*VLOOKUP('Données projet'!$B$12,Paramètres!$A$1:$I$89,3,0)*0.475*44/12</f>
        <v>0.98885688442273489</v>
      </c>
      <c r="CN76" s="22">
        <f t="shared" si="66"/>
        <v>17.052949353806877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227.19465047672969</v>
      </c>
      <c r="CZ76" s="59">
        <f t="shared" si="96"/>
        <v>529.77979244134417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42.035063722183878</v>
      </c>
      <c r="DG76" s="21">
        <f>EXP(-LN(2)/25)*DG75+(1-EXP(-LN(2)/25))/(LN(2)/25)*Calculateur!DB76*Calculateur!DD76*VLOOKUP('Données projet'!$B$13,Paramètres!$A$1:$I$89,3,0)*0.475*44/12</f>
        <v>9.6179161226125682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51.652979844796448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240.09151195692266</v>
      </c>
      <c r="DU76" s="59">
        <f t="shared" si="98"/>
        <v>559.47775134103165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44.782453507947501</v>
      </c>
      <c r="EB76" s="21">
        <f>EXP(-LN(2)/25)*EB75+(1-EXP(-LN(2)/25))/(LN(2)/25)*Calculateur!DW76*Calculateur!DY76*VLOOKUP('Données projet'!$B$14,Paramètres!$A$1:$I$89,3,0)*0.475*44/12</f>
        <v>10.246538091410775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55.028991599358278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5.6843418860808015E-14</v>
      </c>
      <c r="EK76" s="17">
        <f>EJ76*VLOOKUP('Données projet'!$B$15,Paramètres!$A$1:$I$89,3,0)*VLOOKUP('Données projet'!$B$15,Paramètres!$A$1:$I$89,5,0)</f>
        <v>4.4337866711430253E-14</v>
      </c>
      <c r="EL76" s="13">
        <f t="shared" si="99"/>
        <v>7.3222115536967035E-13</v>
      </c>
      <c r="EM76" s="20">
        <f t="shared" si="73"/>
        <v>1.3525069634579169E-12</v>
      </c>
      <c r="EN76" s="59">
        <f t="shared" si="74"/>
        <v>254.49649864750904</v>
      </c>
      <c r="EO76" s="59">
        <f ca="1">AVERAGE(OFFSET($EN$3,0,0,'Données projet'!$E$15+1,1))-AVERAGE(OFFSET($H$3,0,0,'Données projet'!$E$15+1,1))</f>
        <v>328.79469965518484</v>
      </c>
      <c r="EP76" s="59">
        <f t="shared" si="100"/>
        <v>322.06400652269735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61.391420199640983</v>
      </c>
      <c r="EW76" s="21">
        <f>EXP(-LN(2)/25)*EW75+(1-EXP(-LN(2)/25))/(LN(2)/25)*Calculateur!ER76*Calculateur!ET76*VLOOKUP('Données projet'!$B$15,Paramètres!$A$1:$I$89,3,0)*0.475*44/12</f>
        <v>8.5142457003833751</v>
      </c>
      <c r="EX76" s="21">
        <f>EXP(-LN(2)/2)*EX75+(1-EXP(-LN(2)/2))/(LN(2)/2)*ER76*EU76*VLOOKUP('Données projet'!$B$15,Paramètres!$A$1:$I$89,3,0)*0.475*44/12</f>
        <v>18.226908549523458</v>
      </c>
      <c r="EY76" s="22">
        <f t="shared" si="75"/>
        <v>88.132574449547818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11</v>
      </c>
      <c r="FE76" s="12">
        <f>IF('Données projet'!$A$218&gt;35,FE75+FD76-FM75,IF(A76&lt;'Données projet'!$A$218,$FB$205^A76,IF(A76='Données projet'!$A$218,'Données projet'!$B$218,FE75+FD76-FM75)))</f>
        <v>385</v>
      </c>
      <c r="FF76" s="17">
        <f>FE76*VLOOKUP('Données projet'!$B$16,Paramètres!$A$1:$I$89,3,0)*VLOOKUP('Données projet'!$B$16,Paramètres!$A$1:$I$89,5,0)</f>
        <v>282.28199999999998</v>
      </c>
      <c r="FG76" s="13">
        <f t="shared" si="101"/>
        <v>67.449033024944271</v>
      </c>
      <c r="FH76" s="20">
        <f t="shared" si="76"/>
        <v>609.11488251844457</v>
      </c>
      <c r="FI76" s="59">
        <f t="shared" si="77"/>
        <v>863.61138116595225</v>
      </c>
      <c r="FJ76" s="59">
        <f ca="1">AVERAGE(OFFSET($FI$3,0,0,'Données projet'!$E$16+1,1))-AVERAGE(OFFSET($H$3,0,0,'Données projet'!$E$16+1,1))</f>
        <v>525.22234644068908</v>
      </c>
      <c r="FK76" s="59">
        <f t="shared" si="102"/>
        <v>311.5550296132094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21.59279952839972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21.59279952839972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3.4</v>
      </c>
      <c r="FZ76" s="12">
        <f>IF('Données projet'!$A$244&gt;35,FZ75+FY76-GH75,IF(A76&lt;'Données projet'!$A$244,$FW$205^A76,IF(A76='Données projet'!$A$244,'Données projet'!$B$244,FZ75+FY76-GH75)))</f>
        <v>263.19999999999982</v>
      </c>
      <c r="GA76" s="17">
        <f>FZ76*VLOOKUP('Données projet'!$B$17,Paramètres!$A$1:$I$89,3,0)*VLOOKUP('Données projet'!$B$17,Paramètres!$A$1:$I$89,5,0)</f>
        <v>172.4486399999999</v>
      </c>
      <c r="GB76" s="13">
        <f t="shared" si="103"/>
        <v>43.637980200453676</v>
      </c>
      <c r="GC76" s="20">
        <f t="shared" si="79"/>
        <v>376.35086351579002</v>
      </c>
      <c r="GD76" s="59">
        <f t="shared" si="80"/>
        <v>630.8473621632977</v>
      </c>
      <c r="GE76" s="59">
        <f ca="1">AVERAGE(OFFSET($GD$3,0,0,'Données projet'!$E$17+1,1))-AVERAGE(OFFSET($H$3,0,0,'Données projet'!$E$17+1,1))</f>
        <v>298.45881427802874</v>
      </c>
      <c r="GF76" s="59">
        <f t="shared" si="104"/>
        <v>287.00279305562356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8.4328671127181867</v>
      </c>
      <c r="GM76" s="21">
        <f>EXP(-LN(2)/25)*GM75+(1-EXP(-LN(2)/25))/(LN(2)/25)*Calculateur!GH76*Calculateur!GJ76*VLOOKUP('Données projet'!$B$17,Paramètres!$A$1:$I$89,3,0)*0.475*44/12</f>
        <v>2.3003001087793207</v>
      </c>
      <c r="GN76" s="21">
        <f>EXP(-LN(2)/2)*GN75+(1-EXP(-LN(2)/2))/(LN(2)/2)*GH76*GK76*VLOOKUP('Données projet'!$B$17,Paramètres!$A$1:$I$89,3,0)*0.475*44/12</f>
        <v>0.81435272834813488</v>
      </c>
      <c r="GO76" s="21">
        <f t="shared" si="81"/>
        <v>11.547519949845642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135.66666666666666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8.1111111111111107</v>
      </c>
      <c r="N77" s="13">
        <f>IF('Données projet'!$A$36&gt;35,N76+M77-V76,IF(A77&lt;'Données projet'!$A$36,$K$205^A77,IF(A77='Données projet'!$A$36,'Données projet'!$B$36,N76+M77-V76)))</f>
        <v>263.55555555555554</v>
      </c>
      <c r="O77" s="13">
        <f>N77*VLOOKUP('Données projet'!$B$9,Paramètres!$A$1:$I$89,3,0)*VLOOKUP('Données projet'!$B$9,Paramètres!$A$1:$I$89,5,0)</f>
        <v>238.46506666666667</v>
      </c>
      <c r="P77" s="13">
        <f t="shared" si="87"/>
        <v>58.109158879235501</v>
      </c>
      <c r="Q77" s="20">
        <f t="shared" si="54"/>
        <v>516.53344282577962</v>
      </c>
      <c r="R77" s="59">
        <f t="shared" si="55"/>
        <v>771.70367372893156</v>
      </c>
      <c r="S77" s="59">
        <f ca="1">AVERAGE(OFFSET($R$3,0,0,'Données projet'!$E$9+1,1))-AVERAGE(OFFSET($H$3,0,0,'Données projet'!$E$9+1,1))</f>
        <v>600.52384738314299</v>
      </c>
      <c r="T77" s="59">
        <f t="shared" si="88"/>
        <v>314.84650287986256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28.977590613321784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28.977590613321784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</v>
      </c>
      <c r="AI77" s="13">
        <f>IF('Données projet'!$A$62&gt;35,AI76+AH77-AQ76,IF(A77&lt;'Données projet'!$A$62,$AF$205^A77,IF(A77='Données projet'!$A$62,'Données projet'!$B$62,AI76+AH77-AQ76)))</f>
        <v>256.00000000000011</v>
      </c>
      <c r="AJ77" s="13">
        <f>AI77*VLOOKUP('Données projet'!$B$10,Paramètres!$A$1:$I$89,3,0)*VLOOKUP('Données projet'!$B$10,Paramètres!$A$1:$I$89,5,0)</f>
        <v>223.64160000000012</v>
      </c>
      <c r="AK77" s="13">
        <f t="shared" si="89"/>
        <v>54.905611653539218</v>
      </c>
      <c r="AL77" s="20">
        <f t="shared" si="58"/>
        <v>485.13639362991444</v>
      </c>
      <c r="AM77" s="59">
        <f t="shared" si="59"/>
        <v>740.30662453306638</v>
      </c>
      <c r="AN77" s="59">
        <f ca="1">AVERAGE(OFFSET($AM$3,0,0,'Données projet'!$E$10+1,1))-AVERAGE(OFFSET($H$3,0,0,'Données projet'!$E$10+1,1))</f>
        <v>436.77894860279537</v>
      </c>
      <c r="AO77" s="59">
        <f t="shared" si="90"/>
        <v>398.63561969573072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38.839334509797673</v>
      </c>
      <c r="AV77" s="21">
        <f>EXP(-LN(2)/25)*AV76+(1-EXP(-LN(2)/25))/(LN(2)/25)*Calculateur!AQ77*Calculateur!AS77*VLOOKUP('Données projet'!$B$10,Paramètres!$A$1:$I$89,3,0)*0.475*44/12</f>
        <v>11.729061175806221</v>
      </c>
      <c r="AW77" s="21">
        <f>EXP(-LN(2)/2)*AW76+(1-EXP(-LN(2)/2))/(LN(2)/2)*AQ77*AT77*VLOOKUP('Données projet'!$B$10,Paramètres!$A$1:$I$89,3,0)*0.475*44/12</f>
        <v>3.7651255134737183E-7</v>
      </c>
      <c r="AX77" s="21">
        <f t="shared" si="60"/>
        <v>50.568396062116449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212.10695999999984</v>
      </c>
      <c r="BF77" s="13">
        <f t="shared" si="91"/>
        <v>52.395741612408194</v>
      </c>
      <c r="BG77" s="20">
        <f t="shared" si="61"/>
        <v>460.67553864161067</v>
      </c>
      <c r="BH77" s="59">
        <f t="shared" si="62"/>
        <v>715.84576954476256</v>
      </c>
      <c r="BI77" s="59">
        <f ca="1">AVERAGE(OFFSET($BH$3,0,0,'Données projet'!$E$11+1,1))-AVERAGE(OFFSET($H$3,0,0,'Données projet'!$E$11+1,1))</f>
        <v>344.97546176735341</v>
      </c>
      <c r="BJ77" s="59">
        <f t="shared" si="92"/>
        <v>331.15461126257492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12.373788808460358</v>
      </c>
      <c r="BQ77" s="21">
        <f>EXP(-LN(2)/25)*BQ76+(1-EXP(-LN(2)/25))/(LN(2)/25)*Calculateur!BL77*Calculateur!BN77*VLOOKUP('Données projet'!$B$11,Paramètres!$A$1:$I$89,3,0)*0.475*44/12</f>
        <v>3.3486642051243174</v>
      </c>
      <c r="BR77" s="21">
        <f>EXP(-LN(2)/2)*BR76+(1-EXP(-LN(2)/2))/(LN(2)/2)*BL77*BO77*VLOOKUP('Données projet'!$B$11,Paramètres!$A$1:$I$89,3,0)*0.475*44/12</f>
        <v>0.699227408598318</v>
      </c>
      <c r="BS77" s="22">
        <f t="shared" si="63"/>
        <v>16.421680422182991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715.84576954476256</v>
      </c>
      <c r="CD77" s="59">
        <f ca="1">AVERAGE(OFFSET($CC$3,0,0,'Données projet'!$E$12+1,1))-AVERAGE(OFFSET($H$3,0,0,'Données projet'!$E$12+1,1))</f>
        <v>344.97546176735341</v>
      </c>
      <c r="CE77" s="59">
        <f t="shared" si="94"/>
        <v>331.15461126257492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12.373788808460358</v>
      </c>
      <c r="CL77" s="21">
        <f>EXP(-LN(2)/25)*CL76+(1-EXP(-LN(2)/25))/(LN(2)/25)*Calculateur!CG77*Calculateur!CI77*VLOOKUP('Données projet'!$B$12,Paramètres!$A$1:$I$89,3,0)*0.475*44/12</f>
        <v>3.3486642051243174</v>
      </c>
      <c r="CM77" s="21">
        <f>EXP(-LN(2)/2)*CM76+(1-EXP(-LN(2)/2))/(LN(2)/2)*CG77*CJ77*VLOOKUP('Données projet'!$B$12,Paramètres!$A$1:$I$89,3,0)*0.475*44/12</f>
        <v>0.699227408598318</v>
      </c>
      <c r="CN77" s="22">
        <f t="shared" si="66"/>
        <v>16.421680422182991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227.19465047672969</v>
      </c>
      <c r="CZ77" s="59">
        <f t="shared" si="96"/>
        <v>529.77979244134417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41.210781761449098</v>
      </c>
      <c r="DG77" s="21">
        <f>EXP(-LN(2)/25)*DG76+(1-EXP(-LN(2)/25))/(LN(2)/25)*Calculateur!DB77*Calculateur!DD77*VLOOKUP('Données projet'!$B$13,Paramètres!$A$1:$I$89,3,0)*0.475*44/12</f>
        <v>9.3549137004555014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50.565695461904596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240.09151195692266</v>
      </c>
      <c r="DU77" s="59">
        <f t="shared" si="98"/>
        <v>559.47775134103165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43.904296909256196</v>
      </c>
      <c r="EB77" s="21">
        <f>EXP(-LN(2)/25)*EB76+(1-EXP(-LN(2)/25))/(LN(2)/25)*Calculateur!DW77*Calculateur!DY77*VLOOKUP('Données projet'!$B$14,Paramètres!$A$1:$I$89,3,0)*0.475*44/12</f>
        <v>9.9663459684591285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53.870642877715326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5.6843418860808015E-14</v>
      </c>
      <c r="EK77" s="17">
        <f>EJ77*VLOOKUP('Données projet'!$B$15,Paramètres!$A$1:$I$89,3,0)*VLOOKUP('Données projet'!$B$15,Paramètres!$A$1:$I$89,5,0)</f>
        <v>4.4337866711430253E-14</v>
      </c>
      <c r="EL77" s="13">
        <f t="shared" si="99"/>
        <v>7.3222115536967035E-13</v>
      </c>
      <c r="EM77" s="20">
        <f t="shared" si="73"/>
        <v>1.3525069634579169E-12</v>
      </c>
      <c r="EN77" s="59">
        <f t="shared" si="74"/>
        <v>255.17023090315331</v>
      </c>
      <c r="EO77" s="59">
        <f ca="1">AVERAGE(OFFSET($EN$3,0,0,'Données projet'!$E$15+1,1))-AVERAGE(OFFSET($H$3,0,0,'Données projet'!$E$15+1,1))</f>
        <v>328.79469965518484</v>
      </c>
      <c r="EP77" s="59">
        <f t="shared" si="100"/>
        <v>322.06400652269735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60.187571894594953</v>
      </c>
      <c r="EW77" s="21">
        <f>EXP(-LN(2)/25)*EW76+(1-EXP(-LN(2)/25))/(LN(2)/25)*Calculateur!ER77*Calculateur!ET77*VLOOKUP('Données projet'!$B$15,Paramètres!$A$1:$I$89,3,0)*0.475*44/12</f>
        <v>8.2814232039616691</v>
      </c>
      <c r="EX77" s="21">
        <f>EXP(-LN(2)/2)*EX76+(1-EXP(-LN(2)/2))/(LN(2)/2)*ER77*EU77*VLOOKUP('Données projet'!$B$15,Paramètres!$A$1:$I$89,3,0)*0.475*44/12</f>
        <v>12.888370635435097</v>
      </c>
      <c r="EY77" s="22">
        <f t="shared" si="75"/>
        <v>81.357365733991713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11</v>
      </c>
      <c r="FE77" s="12">
        <f>IF('Données projet'!$A$218&gt;35,FE76+FD77-FM76,IF(A77&lt;'Données projet'!$A$218,$FB$205^A77,IF(A77='Données projet'!$A$218,'Données projet'!$B$218,FE76+FD77-FM76)))</f>
        <v>396</v>
      </c>
      <c r="FF77" s="17">
        <f>FE77*VLOOKUP('Données projet'!$B$16,Paramètres!$A$1:$I$89,3,0)*VLOOKUP('Données projet'!$B$16,Paramètres!$A$1:$I$89,5,0)</f>
        <v>290.34719999999999</v>
      </c>
      <c r="FG77" s="13">
        <f t="shared" si="101"/>
        <v>69.149030188577811</v>
      </c>
      <c r="FH77" s="20">
        <f t="shared" si="76"/>
        <v>626.12260091177302</v>
      </c>
      <c r="FI77" s="59">
        <f t="shared" si="77"/>
        <v>881.29283181492497</v>
      </c>
      <c r="FJ77" s="59">
        <f ca="1">AVERAGE(OFFSET($FI$3,0,0,'Données projet'!$E$16+1,1))-AVERAGE(OFFSET($H$3,0,0,'Données projet'!$E$16+1,1))</f>
        <v>525.22234644068908</v>
      </c>
      <c r="FK77" s="59">
        <f t="shared" si="102"/>
        <v>311.5550296132094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21.002343289779652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21.002343289779652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3.4</v>
      </c>
      <c r="FZ77" s="12">
        <f>IF('Données projet'!$A$244&gt;35,FZ76+FY77-GH76,IF(A77&lt;'Données projet'!$A$244,$FW$205^A77,IF(A77='Données projet'!$A$244,'Données projet'!$B$244,FZ76+FY77-GH76)))</f>
        <v>266.5999999999998</v>
      </c>
      <c r="GA77" s="17">
        <f>FZ77*VLOOKUP('Données projet'!$B$17,Paramètres!$A$1:$I$89,3,0)*VLOOKUP('Données projet'!$B$17,Paramètres!$A$1:$I$89,5,0)</f>
        <v>174.67631999999986</v>
      </c>
      <c r="GB77" s="13">
        <f t="shared" si="103"/>
        <v>44.135703881788075</v>
      </c>
      <c r="GC77" s="20">
        <f t="shared" si="79"/>
        <v>381.09760826078065</v>
      </c>
      <c r="GD77" s="59">
        <f t="shared" si="80"/>
        <v>636.26783916393265</v>
      </c>
      <c r="GE77" s="59">
        <f ca="1">AVERAGE(OFFSET($GD$3,0,0,'Données projet'!$E$17+1,1))-AVERAGE(OFFSET($H$3,0,0,'Données projet'!$E$17+1,1))</f>
        <v>298.45881427802874</v>
      </c>
      <c r="GF77" s="59">
        <f t="shared" si="104"/>
        <v>287.00279305562356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8.2675037321788398</v>
      </c>
      <c r="GM77" s="21">
        <f>EXP(-LN(2)/25)*GM76+(1-EXP(-LN(2)/25))/(LN(2)/25)*Calculateur!GH77*Calculateur!GJ77*VLOOKUP('Données projet'!$B$17,Paramètres!$A$1:$I$89,3,0)*0.475*44/12</f>
        <v>2.2373982813372248</v>
      </c>
      <c r="GN77" s="21">
        <f>EXP(-LN(2)/2)*GN76+(1-EXP(-LN(2)/2))/(LN(2)/2)*GH77*GK77*VLOOKUP('Données projet'!$B$17,Paramètres!$A$1:$I$89,3,0)*0.475*44/12</f>
        <v>0.57583433649273263</v>
      </c>
      <c r="GO77" s="21">
        <f t="shared" si="81"/>
        <v>11.080736350008797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135.66666666666666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8.1111111111111107</v>
      </c>
      <c r="N78" s="13">
        <f>IF('Données projet'!$A$36&gt;35,N77+M78-V77,IF(A78&lt;'Données projet'!$A$36,$K$205^A78,IF(A78='Données projet'!$A$36,'Données projet'!$B$36,N77+M78-V77)))</f>
        <v>271.66666666666663</v>
      </c>
      <c r="O78" s="13">
        <f>N78*VLOOKUP('Données projet'!$B$9,Paramètres!$A$1:$I$89,3,0)*VLOOKUP('Données projet'!$B$9,Paramètres!$A$1:$I$89,5,0)</f>
        <v>245.80399999999995</v>
      </c>
      <c r="P78" s="13">
        <f t="shared" si="87"/>
        <v>59.686547383038381</v>
      </c>
      <c r="Q78" s="20">
        <f t="shared" si="54"/>
        <v>532.06270335879174</v>
      </c>
      <c r="R78" s="59">
        <f t="shared" si="55"/>
        <v>787.89497876919211</v>
      </c>
      <c r="S78" s="59">
        <f ca="1">AVERAGE(OFFSET($R$3,0,0,'Données projet'!$E$9+1,1))-AVERAGE(OFFSET($H$3,0,0,'Données projet'!$E$9+1,1))</f>
        <v>600.52384738314299</v>
      </c>
      <c r="T78" s="59">
        <f t="shared" si="88"/>
        <v>314.84650287986256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28.18519687413524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28.18519687413524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261</v>
      </c>
      <c r="AG78" s="12">
        <f>VLOOKUP(A78,'Données projet'!$A$61:$I$81,9,0)</f>
        <v>5</v>
      </c>
      <c r="AH78" s="12">
        <f t="array" ref="AH78">INDEX(AG:AG,MIN(IF(ISNUMBER(AG78:AG274),ROW(AG78:AG274),"")))</f>
        <v>5</v>
      </c>
      <c r="AI78" s="13">
        <f>IF('Données projet'!$A$62&gt;35,AI77+AH78-AQ77,IF(A78&lt;'Données projet'!$A$62,$AF$205^A78,IF(A78='Données projet'!$A$62,'Données projet'!$B$62,AI77+AH78-AQ77)))</f>
        <v>261.00000000000011</v>
      </c>
      <c r="AJ78" s="13">
        <f>AI78*VLOOKUP('Données projet'!$B$10,Paramètres!$A$1:$I$89,3,0)*VLOOKUP('Données projet'!$B$10,Paramètres!$A$1:$I$89,5,0)</f>
        <v>228.00960000000015</v>
      </c>
      <c r="AK78" s="13">
        <f t="shared" si="89"/>
        <v>55.852093054619878</v>
      </c>
      <c r="AL78" s="20">
        <f t="shared" si="58"/>
        <v>494.39244873679655</v>
      </c>
      <c r="AM78" s="59">
        <f t="shared" si="59"/>
        <v>750.22472414719687</v>
      </c>
      <c r="AN78" s="59">
        <f ca="1">AVERAGE(OFFSET($AM$3,0,0,'Données projet'!$E$10+1,1))-AVERAGE(OFFSET($H$3,0,0,'Données projet'!$E$10+1,1))</f>
        <v>436.77894860279537</v>
      </c>
      <c r="AO78" s="59">
        <f t="shared" si="90"/>
        <v>398.63561969573072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19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4.3000000000000003E-2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43.600779753554988</v>
      </c>
      <c r="AV78" s="21">
        <f>EXP(-LN(2)/25)*AV77+(1-EXP(-LN(2)/25))/(LN(2)/25)*Calculateur!AQ78*Calculateur!AS78*VLOOKUP('Données projet'!$B$10,Paramètres!$A$1:$I$89,3,0)*0.475*44/12</f>
        <v>12.194231453807843</v>
      </c>
      <c r="AW78" s="21">
        <f>EXP(-LN(2)/2)*AW77+(1-EXP(-LN(2)/2))/(LN(2)/2)*AQ78*AT78*VLOOKUP('Données projet'!$B$10,Paramètres!$A$1:$I$89,3,0)*0.475*44/12</f>
        <v>2.6623457825957479E-7</v>
      </c>
      <c r="AX78" s="21">
        <f t="shared" si="60"/>
        <v>55.795011473597413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214.81199999999981</v>
      </c>
      <c r="BF78" s="13">
        <f t="shared" si="91"/>
        <v>52.985738231738011</v>
      </c>
      <c r="BG78" s="20">
        <f t="shared" si="61"/>
        <v>466.41439408694333</v>
      </c>
      <c r="BH78" s="59">
        <f t="shared" si="62"/>
        <v>722.24666949734365</v>
      </c>
      <c r="BI78" s="59">
        <f ca="1">AVERAGE(OFFSET($BH$3,0,0,'Données projet'!$E$11+1,1))-AVERAGE(OFFSET($H$3,0,0,'Données projet'!$E$11+1,1))</f>
        <v>344.97546176735341</v>
      </c>
      <c r="BJ78" s="59">
        <f t="shared" si="92"/>
        <v>331.15461126257492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0.371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15.067837706372863</v>
      </c>
      <c r="BQ78" s="21">
        <f>EXP(-LN(2)/25)*BQ77+(1-EXP(-LN(2)/25))/(LN(2)/25)*Calculateur!BL78*Calculateur!BN78*VLOOKUP('Données projet'!$B$11,Paramètres!$A$1:$I$89,3,0)*0.475*44/12</f>
        <v>3.2570948063365956</v>
      </c>
      <c r="BR78" s="21">
        <f>EXP(-LN(2)/2)*BR77+(1-EXP(-LN(2)/2))/(LN(2)/2)*BL78*BO78*VLOOKUP('Données projet'!$B$11,Paramètres!$A$1:$I$89,3,0)*0.475*44/12</f>
        <v>1.8456344660794521</v>
      </c>
      <c r="BS78" s="22">
        <f t="shared" si="63"/>
        <v>20.170566978788912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722.24666949734365</v>
      </c>
      <c r="CD78" s="59">
        <f ca="1">AVERAGE(OFFSET($CC$3,0,0,'Données projet'!$E$12+1,1))-AVERAGE(OFFSET($H$3,0,0,'Données projet'!$E$12+1,1))</f>
        <v>344.97546176735341</v>
      </c>
      <c r="CE78" s="59">
        <f t="shared" si="94"/>
        <v>331.15461126257492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0.371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0.2</v>
      </c>
      <c r="CK78" s="21">
        <f>EXP(-LN(2)/35)*CK77+(1-EXP(-LN(2)/35))/(LN(2)/35)*CG78*CH78*VLOOKUP('Données projet'!$B$12,Paramètres!$A$1:$I$89,3,0)*0.475*44/12</f>
        <v>15.067837706372863</v>
      </c>
      <c r="CL78" s="21">
        <f>EXP(-LN(2)/25)*CL77+(1-EXP(-LN(2)/25))/(LN(2)/25)*Calculateur!CG78*Calculateur!CI78*VLOOKUP('Données projet'!$B$12,Paramètres!$A$1:$I$89,3,0)*0.475*44/12</f>
        <v>3.2570948063365956</v>
      </c>
      <c r="CM78" s="21">
        <f>EXP(-LN(2)/2)*CM77+(1-EXP(-LN(2)/2))/(LN(2)/2)*CG78*CJ78*VLOOKUP('Données projet'!$B$12,Paramètres!$A$1:$I$89,3,0)*0.475*44/12</f>
        <v>1.8456344660794521</v>
      </c>
      <c r="CN78" s="22">
        <f t="shared" si="66"/>
        <v>20.170566978788912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227.19465047672969</v>
      </c>
      <c r="CZ78" s="59">
        <f t="shared" si="96"/>
        <v>529.77979244134417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40.402663467201975</v>
      </c>
      <c r="DG78" s="21">
        <f>EXP(-LN(2)/25)*DG77+(1-EXP(-LN(2)/25))/(LN(2)/25)*Calculateur!DB78*Calculateur!DD78*VLOOKUP('Données projet'!$B$13,Paramètres!$A$1:$I$89,3,0)*0.475*44/12</f>
        <v>9.0991030933630146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49.501766560564988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240.09151195692266</v>
      </c>
      <c r="DU78" s="59">
        <f t="shared" si="98"/>
        <v>559.47775134103165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43.043360425842593</v>
      </c>
      <c r="EB78" s="21">
        <f>EXP(-LN(2)/25)*EB77+(1-EXP(-LN(2)/25))/(LN(2)/25)*Calculateur!DW78*Calculateur!DY78*VLOOKUP('Données projet'!$B$14,Paramètres!$A$1:$I$89,3,0)*0.475*44/12</f>
        <v>9.6938157138442573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52.737176139686852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5.6843418860808015E-14</v>
      </c>
      <c r="EK78" s="17">
        <f>EJ78*VLOOKUP('Données projet'!$B$15,Paramètres!$A$1:$I$89,3,0)*VLOOKUP('Données projet'!$B$15,Paramètres!$A$1:$I$89,5,0)</f>
        <v>4.4337866711430253E-14</v>
      </c>
      <c r="EL78" s="13">
        <f t="shared" si="99"/>
        <v>7.3222115536967035E-13</v>
      </c>
      <c r="EM78" s="20">
        <f t="shared" si="73"/>
        <v>1.3525069634579169E-12</v>
      </c>
      <c r="EN78" s="59">
        <f t="shared" si="74"/>
        <v>255.83227541040173</v>
      </c>
      <c r="EO78" s="59">
        <f ca="1">AVERAGE(OFFSET($EN$3,0,0,'Données projet'!$E$15+1,1))-AVERAGE(OFFSET($H$3,0,0,'Données projet'!$E$15+1,1))</f>
        <v>328.79469965518484</v>
      </c>
      <c r="EP78" s="59">
        <f t="shared" si="100"/>
        <v>322.06400652269735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59.007330320535914</v>
      </c>
      <c r="EW78" s="21">
        <f>EXP(-LN(2)/25)*EW77+(1-EXP(-LN(2)/25))/(LN(2)/25)*Calculateur!ER78*Calculateur!ET78*VLOOKUP('Données projet'!$B$15,Paramètres!$A$1:$I$89,3,0)*0.475*44/12</f>
        <v>8.0549672509482182</v>
      </c>
      <c r="EX78" s="21">
        <f>EXP(-LN(2)/2)*EX77+(1-EXP(-LN(2)/2))/(LN(2)/2)*ER78*EU78*VLOOKUP('Données projet'!$B$15,Paramètres!$A$1:$I$89,3,0)*0.475*44/12</f>
        <v>9.1134542747617306</v>
      </c>
      <c r="EY78" s="22">
        <f t="shared" si="75"/>
        <v>76.175751846245873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407</v>
      </c>
      <c r="FC78" s="12">
        <f>VLOOKUP(A78,'Données projet'!$A$217:$I$237,9,0)</f>
        <v>11</v>
      </c>
      <c r="FD78" s="12">
        <f t="array" ref="FD78">INDEX(FC:FC,MIN(IF(ISNUMBER(FC78:FC274),ROW(FC78:FC274),"")))</f>
        <v>11</v>
      </c>
      <c r="FE78" s="12">
        <f>IF('Données projet'!$A$218&gt;35,FE77+FD78-FM77,IF(A78&lt;'Données projet'!$A$218,$FB$205^A78,IF(A78='Données projet'!$A$218,'Données projet'!$B$218,FE77+FD78-FM77)))</f>
        <v>407</v>
      </c>
      <c r="FF78" s="17">
        <f>FE78*VLOOKUP('Données projet'!$B$16,Paramètres!$A$1:$I$89,3,0)*VLOOKUP('Données projet'!$B$16,Paramètres!$A$1:$I$89,5,0)</f>
        <v>298.41239999999999</v>
      </c>
      <c r="FG78" s="13">
        <f t="shared" si="101"/>
        <v>70.843538825568004</v>
      </c>
      <c r="FH78" s="20">
        <f t="shared" si="76"/>
        <v>643.12076012119758</v>
      </c>
      <c r="FI78" s="59">
        <f t="shared" si="77"/>
        <v>898.95303553159795</v>
      </c>
      <c r="FJ78" s="59">
        <f ca="1">AVERAGE(OFFSET($FI$3,0,0,'Données projet'!$E$16+1,1))-AVERAGE(OFFSET($H$3,0,0,'Données projet'!$E$16+1,1))</f>
        <v>525.22234644068908</v>
      </c>
      <c r="FK78" s="59">
        <f t="shared" si="102"/>
        <v>311.5550296132094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35</v>
      </c>
      <c r="FN78" s="16">
        <f>IF(ISNA(VLOOKUP(A78,'Données projet'!$A$217:$I$237,5,0)),0%,VLOOKUP(A78,'Données projet'!$A$217:$I$237,5,0)*VLOOKUP('Données projet'!$B$16,Paramètres!$A$1:$I$89,7,0))</f>
        <v>4.3000000000000003E-2</v>
      </c>
      <c r="FO78" s="16">
        <f>IF(ISNA(VLOOKUP(A78,'Données projet'!$A$217:$I$237,6,0)),0%,VLOOKUP(A78,'Données projet'!$A$217:$I$237,6,0)*VLOOKUP('Données projet'!$B$16,Paramètres!$A$1:$I$89,7,0))</f>
        <v>0.215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1.2198489778217065</v>
      </c>
      <c r="FR78" s="21">
        <f>EXP(-LN(2)/25)*FR77+(1-EXP(-LN(2)/25))/(LN(2)/25)*Calculateur!FM78*Calculateur!FO78*VLOOKUP('Données projet'!$B$16,Paramètres!$A$1:$I$89,3,0)*0.475*44/12</f>
        <v>26.503262946041005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27.72311192386271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270</v>
      </c>
      <c r="FX78" s="12">
        <f>VLOOKUP(A78,'Données projet'!$A$243:$I$263,9,0)</f>
        <v>3.4</v>
      </c>
      <c r="FY78" s="12">
        <f t="array" ref="FY78">INDEX(FX:FX,MIN(IF(ISNUMBER(FX78:FX274),ROW(FX78:FX274),"")))</f>
        <v>3.4</v>
      </c>
      <c r="FZ78" s="12">
        <f>IF('Données projet'!$A$244&gt;35,FZ77+FY78-GH77,IF(A78&lt;'Données projet'!$A$244,$FW$205^A78,IF(A78='Données projet'!$A$244,'Données projet'!$B$244,FZ77+FY78-GH77)))</f>
        <v>269.99999999999977</v>
      </c>
      <c r="GA78" s="17">
        <f>FZ78*VLOOKUP('Données projet'!$B$17,Paramètres!$A$1:$I$89,3,0)*VLOOKUP('Données projet'!$B$17,Paramètres!$A$1:$I$89,5,0)</f>
        <v>176.90399999999985</v>
      </c>
      <c r="GB78" s="13">
        <f t="shared" si="103"/>
        <v>44.632689233663115</v>
      </c>
      <c r="GC78" s="20">
        <f t="shared" si="79"/>
        <v>385.843067081963</v>
      </c>
      <c r="GD78" s="59">
        <f t="shared" si="80"/>
        <v>641.67534249236337</v>
      </c>
      <c r="GE78" s="59">
        <f ca="1">AVERAGE(OFFSET($GD$3,0,0,'Données projet'!$E$17+1,1))-AVERAGE(OFFSET($H$3,0,0,'Données projet'!$E$17+1,1))</f>
        <v>298.45881427802874</v>
      </c>
      <c r="GF78" s="59">
        <f t="shared" si="104"/>
        <v>287.00279305562356</v>
      </c>
      <c r="GG78" s="15">
        <f>IF(ISNA(VLOOKUP(A78,'Données projet'!$A$243:$I$263,3,0)),0,VLOOKUP(A78,'Données projet'!$A$243:$I$263,3,0))</f>
        <v>13</v>
      </c>
      <c r="GH78" s="15">
        <f>IF(ISNA(VLOOKUP(A78,'Données projet'!$A$243:$I$263,4,0)),0,VLOOKUP(A78,'Données projet'!$A$243:$I$263,4,0))</f>
        <v>9</v>
      </c>
      <c r="GI78" s="16">
        <f>IF(ISNA(VLOOKUP(A78,'Données projet'!$A$243:$I$263,5,0)),0%,VLOOKUP(A78,'Données projet'!$A$243:$I$263,5,0)*VLOOKUP('Données projet'!$B$17,Paramètres!$A$1:$I$89,7,0))</f>
        <v>0.30099999999999999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0.2</v>
      </c>
      <c r="GL78" s="21">
        <f>EXP(-LN(2)/35)*GL77+(1-EXP(-LN(2)/35))/(LN(2)/35)*GH78*GI78*VLOOKUP('Données projet'!$B$17,Paramètres!$A$1:$I$89,3,0)*0.475*44/12</f>
        <v>10.067523084613166</v>
      </c>
      <c r="GM78" s="21">
        <f>EXP(-LN(2)/25)*GM77+(1-EXP(-LN(2)/25))/(LN(2)/25)*Calculateur!GH78*Calculateur!GJ78*VLOOKUP('Données projet'!$B$17,Paramètres!$A$1:$I$89,3,0)*0.475*44/12</f>
        <v>2.1762165076743964</v>
      </c>
      <c r="GN78" s="21">
        <f>EXP(-LN(2)/2)*GN77+(1-EXP(-LN(2)/2))/(LN(2)/2)*GH78*GK78*VLOOKUP('Données projet'!$B$17,Paramètres!$A$1:$I$89,3,0)*0.475*44/12</f>
        <v>1.5199342661830781</v>
      </c>
      <c r="GO78" s="21">
        <f t="shared" si="81"/>
        <v>13.763673858470641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135.66666666666666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8.1111111111111107</v>
      </c>
      <c r="N79" s="13">
        <f>IF('Données projet'!$A$36&gt;35,N78+M79-V78,IF(A79&lt;'Données projet'!$A$36,$K$205^A79,IF(A79='Données projet'!$A$36,'Données projet'!$B$36,N78+M79-V78)))</f>
        <v>279.77777777777771</v>
      </c>
      <c r="O79" s="13">
        <f>N79*VLOOKUP('Données projet'!$B$9,Paramètres!$A$1:$I$89,3,0)*VLOOKUP('Données projet'!$B$9,Paramètres!$A$1:$I$89,5,0)</f>
        <v>253.14293333333325</v>
      </c>
      <c r="P79" s="13">
        <f t="shared" si="87"/>
        <v>61.258462585145814</v>
      </c>
      <c r="Q79" s="20">
        <f t="shared" si="54"/>
        <v>547.58243122468434</v>
      </c>
      <c r="R79" s="59">
        <f t="shared" si="55"/>
        <v>804.06526615024222</v>
      </c>
      <c r="S79" s="59">
        <f ca="1">AVERAGE(OFFSET($R$3,0,0,'Données projet'!$E$9+1,1))-AVERAGE(OFFSET($H$3,0,0,'Données projet'!$E$9+1,1))</f>
        <v>600.52384738314299</v>
      </c>
      <c r="T79" s="59">
        <f t="shared" si="88"/>
        <v>314.84650287986256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27.414471183416925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27.414471183416925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4.4000000000000004</v>
      </c>
      <c r="AI79" s="13">
        <f>IF('Données projet'!$A$62&gt;35,AI78+AH79-AQ78,IF(A79&lt;'Données projet'!$A$62,$AF$205^A79,IF(A79='Données projet'!$A$62,'Données projet'!$B$62,AI78+AH79-AQ78)))</f>
        <v>246.40000000000009</v>
      </c>
      <c r="AJ79" s="13">
        <f>AI79*VLOOKUP('Données projet'!$B$10,Paramètres!$A$1:$I$89,3,0)*VLOOKUP('Données projet'!$B$10,Paramètres!$A$1:$I$89,5,0)</f>
        <v>215.25504000000012</v>
      </c>
      <c r="AK79" s="13">
        <f t="shared" si="89"/>
        <v>53.082287058997267</v>
      </c>
      <c r="AL79" s="20">
        <f t="shared" si="58"/>
        <v>467.35417796108709</v>
      </c>
      <c r="AM79" s="59">
        <f t="shared" si="59"/>
        <v>723.83701288664497</v>
      </c>
      <c r="AN79" s="59">
        <f ca="1">AVERAGE(OFFSET($AM$3,0,0,'Données projet'!$E$10+1,1))-AVERAGE(OFFSET($H$3,0,0,'Données projet'!$E$10+1,1))</f>
        <v>436.77894860279537</v>
      </c>
      <c r="AO79" s="59">
        <f t="shared" si="90"/>
        <v>398.63561969573072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42.745795056437501</v>
      </c>
      <c r="AV79" s="21">
        <f>EXP(-LN(2)/25)*AV78+(1-EXP(-LN(2)/25))/(LN(2)/25)*Calculateur!AQ79*Calculateur!AS79*VLOOKUP('Données projet'!$B$10,Paramètres!$A$1:$I$89,3,0)*0.475*44/12</f>
        <v>11.860779553436705</v>
      </c>
      <c r="AW79" s="21">
        <f>EXP(-LN(2)/2)*AW78+(1-EXP(-LN(2)/2))/(LN(2)/2)*AQ79*AT79*VLOOKUP('Données projet'!$B$10,Paramètres!$A$1:$I$89,3,0)*0.475*44/12</f>
        <v>1.8825627567368591E-7</v>
      </c>
      <c r="AX79" s="21">
        <f t="shared" si="60"/>
        <v>54.606574798130481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209.87927999999985</v>
      </c>
      <c r="BF79" s="13">
        <f t="shared" si="91"/>
        <v>51.909204458241767</v>
      </c>
      <c r="BG79" s="20">
        <f t="shared" si="61"/>
        <v>455.94827709810414</v>
      </c>
      <c r="BH79" s="59">
        <f t="shared" si="62"/>
        <v>712.43111202366208</v>
      </c>
      <c r="BI79" s="59">
        <f ca="1">AVERAGE(OFFSET($BH$3,0,0,'Données projet'!$E$11+1,1))-AVERAGE(OFFSET($H$3,0,0,'Données projet'!$E$11+1,1))</f>
        <v>344.97546176735341</v>
      </c>
      <c r="BJ79" s="59">
        <f t="shared" si="92"/>
        <v>331.15461126257492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14.772366599424409</v>
      </c>
      <c r="BQ79" s="21">
        <f>EXP(-LN(2)/25)*BQ78+(1-EXP(-LN(2)/25))/(LN(2)/25)*Calculateur!BL79*Calculateur!BN79*VLOOKUP('Données projet'!$B$11,Paramètres!$A$1:$I$89,3,0)*0.475*44/12</f>
        <v>3.1680293775741499</v>
      </c>
      <c r="BR79" s="21">
        <f>EXP(-LN(2)/2)*BR78+(1-EXP(-LN(2)/2))/(LN(2)/2)*BL79*BO79*VLOOKUP('Données projet'!$B$11,Paramètres!$A$1:$I$89,3,0)*0.475*44/12</f>
        <v>1.3050606465563936</v>
      </c>
      <c r="BS79" s="22">
        <f t="shared" si="63"/>
        <v>19.245456623554954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712.43111202366208</v>
      </c>
      <c r="CD79" s="59">
        <f ca="1">AVERAGE(OFFSET($CC$3,0,0,'Données projet'!$E$12+1,1))-AVERAGE(OFFSET($H$3,0,0,'Données projet'!$E$12+1,1))</f>
        <v>344.97546176735341</v>
      </c>
      <c r="CE79" s="59">
        <f t="shared" si="94"/>
        <v>331.15461126257492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14.772366599424409</v>
      </c>
      <c r="CL79" s="21">
        <f>EXP(-LN(2)/25)*CL78+(1-EXP(-LN(2)/25))/(LN(2)/25)*Calculateur!CG79*Calculateur!CI79*VLOOKUP('Données projet'!$B$12,Paramètres!$A$1:$I$89,3,0)*0.475*44/12</f>
        <v>3.1680293775741499</v>
      </c>
      <c r="CM79" s="21">
        <f>EXP(-LN(2)/2)*CM78+(1-EXP(-LN(2)/2))/(LN(2)/2)*CG79*CJ79*VLOOKUP('Données projet'!$B$12,Paramètres!$A$1:$I$89,3,0)*0.475*44/12</f>
        <v>1.3050606465563936</v>
      </c>
      <c r="CN79" s="22">
        <f t="shared" si="66"/>
        <v>19.245456623554954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227.19465047672969</v>
      </c>
      <c r="CZ79" s="59">
        <f t="shared" si="96"/>
        <v>529.77979244134417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39.610391879801547</v>
      </c>
      <c r="DG79" s="21">
        <f>EXP(-LN(2)/25)*DG78+(1-EXP(-LN(2)/25))/(LN(2)/25)*Calculateur!DB79*Calculateur!DD79*VLOOKUP('Données projet'!$B$13,Paramètres!$A$1:$I$89,3,0)*0.475*44/12</f>
        <v>8.850287640773967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48.460679520575511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240.09151195692266</v>
      </c>
      <c r="DU79" s="59">
        <f t="shared" si="98"/>
        <v>559.47775134103165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42.199306381749324</v>
      </c>
      <c r="EB79" s="21">
        <f>EXP(-LN(2)/25)*EB78+(1-EXP(-LN(2)/25))/(LN(2)/25)*Calculateur!DW79*Calculateur!DY79*VLOOKUP('Données projet'!$B$14,Paramètres!$A$1:$I$89,3,0)*0.475*44/12</f>
        <v>9.4287378133735729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51.628044195122897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5.6843418860808015E-14</v>
      </c>
      <c r="EK79" s="17">
        <f>EJ79*VLOOKUP('Données projet'!$B$15,Paramètres!$A$1:$I$89,3,0)*VLOOKUP('Données projet'!$B$15,Paramètres!$A$1:$I$89,5,0)</f>
        <v>4.4337866711430253E-14</v>
      </c>
      <c r="EL79" s="13">
        <f t="shared" si="99"/>
        <v>7.3222115536967035E-13</v>
      </c>
      <c r="EM79" s="20">
        <f t="shared" si="73"/>
        <v>1.3525069634579169E-12</v>
      </c>
      <c r="EN79" s="59">
        <f t="shared" si="74"/>
        <v>256.48283492555925</v>
      </c>
      <c r="EO79" s="59">
        <f ca="1">AVERAGE(OFFSET($EN$3,0,0,'Données projet'!$E$15+1,1))-AVERAGE(OFFSET($H$3,0,0,'Données projet'!$E$15+1,1))</f>
        <v>328.79469965518484</v>
      </c>
      <c r="EP79" s="59">
        <f t="shared" si="100"/>
        <v>322.06400652269735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57.850232563867891</v>
      </c>
      <c r="EW79" s="21">
        <f>EXP(-LN(2)/25)*EW78+(1-EXP(-LN(2)/25))/(LN(2)/25)*Calculateur!ER79*Calculateur!ET79*VLOOKUP('Données projet'!$B$15,Paramètres!$A$1:$I$89,3,0)*0.475*44/12</f>
        <v>7.8347037478787209</v>
      </c>
      <c r="EX79" s="21">
        <f>EXP(-LN(2)/2)*EX78+(1-EXP(-LN(2)/2))/(LN(2)/2)*ER79*EU79*VLOOKUP('Données projet'!$B$15,Paramètres!$A$1:$I$89,3,0)*0.475*44/12</f>
        <v>6.4441853177175501</v>
      </c>
      <c r="EY79" s="22">
        <f t="shared" si="75"/>
        <v>72.129121629464166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10.4</v>
      </c>
      <c r="FE79" s="12">
        <f>IF('Données projet'!$A$218&gt;35,FE78+FD79-FM78,IF(A79&lt;'Données projet'!$A$218,$FB$205^A79,IF(A79='Données projet'!$A$218,'Données projet'!$B$218,FE78+FD79-FM78)))</f>
        <v>382.4</v>
      </c>
      <c r="FF79" s="17">
        <f>FE79*VLOOKUP('Données projet'!$B$16,Paramètres!$A$1:$I$89,3,0)*VLOOKUP('Données projet'!$B$16,Paramètres!$A$1:$I$89,5,0)</f>
        <v>280.37567999999999</v>
      </c>
      <c r="FG79" s="13">
        <f t="shared" si="101"/>
        <v>67.046394668179971</v>
      </c>
      <c r="FH79" s="20">
        <f t="shared" si="76"/>
        <v>605.09344671374674</v>
      </c>
      <c r="FI79" s="59">
        <f t="shared" si="77"/>
        <v>861.57628163930463</v>
      </c>
      <c r="FJ79" s="59">
        <f ca="1">AVERAGE(OFFSET($FI$3,0,0,'Données projet'!$E$16+1,1))-AVERAGE(OFFSET($H$3,0,0,'Données projet'!$E$16+1,1))</f>
        <v>525.22234644068908</v>
      </c>
      <c r="FK79" s="59">
        <f t="shared" si="102"/>
        <v>311.5550296132094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1.195928483401032</v>
      </c>
      <c r="FR79" s="21">
        <f>EXP(-LN(2)/25)*FR78+(1-EXP(-LN(2)/25))/(LN(2)/25)*Calculateur!FM79*Calculateur!FO79*VLOOKUP('Données projet'!$B$16,Paramètres!$A$1:$I$89,3,0)*0.475*44/12</f>
        <v>25.778529827035488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26.974458310436521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2.8</v>
      </c>
      <c r="FZ79" s="12">
        <f>IF('Données projet'!$A$244&gt;35,FZ78+FY79-GH78,IF(A79&lt;'Données projet'!$A$244,$FW$205^A79,IF(A79='Données projet'!$A$244,'Données projet'!$B$244,FZ78+FY79-GH78)))</f>
        <v>263.79999999999978</v>
      </c>
      <c r="GA79" s="17">
        <f>FZ79*VLOOKUP('Données projet'!$B$17,Paramètres!$A$1:$I$89,3,0)*VLOOKUP('Données projet'!$B$17,Paramètres!$A$1:$I$89,5,0)</f>
        <v>172.84175999999985</v>
      </c>
      <c r="GB79" s="13">
        <f t="shared" si="103"/>
        <v>43.725867908425457</v>
      </c>
      <c r="GC79" s="20">
        <f t="shared" si="79"/>
        <v>377.18861860717408</v>
      </c>
      <c r="GD79" s="59">
        <f t="shared" si="80"/>
        <v>633.6714535327319</v>
      </c>
      <c r="GE79" s="59">
        <f ca="1">AVERAGE(OFFSET($GD$3,0,0,'Données projet'!$E$17+1,1))-AVERAGE(OFFSET($H$3,0,0,'Données projet'!$E$17+1,1))</f>
        <v>298.45881427802874</v>
      </c>
      <c r="GF79" s="59">
        <f t="shared" si="104"/>
        <v>287.00279305562356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9.8701050975066504</v>
      </c>
      <c r="GM79" s="21">
        <f>EXP(-LN(2)/25)*GM78+(1-EXP(-LN(2)/25))/(LN(2)/25)*Calculateur!GH79*Calculateur!GJ79*VLOOKUP('Données projet'!$B$17,Paramètres!$A$1:$I$89,3,0)*0.475*44/12</f>
        <v>2.1167077528297877</v>
      </c>
      <c r="GN79" s="21">
        <f>EXP(-LN(2)/2)*GN78+(1-EXP(-LN(2)/2))/(LN(2)/2)*GH79*GK79*VLOOKUP('Données projet'!$B$17,Paramètres!$A$1:$I$89,3,0)*0.475*44/12</f>
        <v>1.0747558265758537</v>
      </c>
      <c r="GO79" s="21">
        <f t="shared" si="81"/>
        <v>13.061568676912291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135.66666666666666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8.1111111111111107</v>
      </c>
      <c r="N80" s="13">
        <f>IF('Données projet'!$A$36&gt;35,N79+M80-V79,IF(A80&lt;'Données projet'!$A$36,$K$205^A80,IF(A80='Données projet'!$A$36,'Données projet'!$B$36,N79+M80-V79)))</f>
        <v>287.8888888888888</v>
      </c>
      <c r="O80" s="13">
        <f>N80*VLOOKUP('Données projet'!$B$9,Paramètres!$A$1:$I$89,3,0)*VLOOKUP('Données projet'!$B$9,Paramètres!$A$1:$I$89,5,0)</f>
        <v>260.48186666666658</v>
      </c>
      <c r="P80" s="13">
        <f t="shared" si="87"/>
        <v>62.825081385259836</v>
      </c>
      <c r="Q80" s="20">
        <f t="shared" si="54"/>
        <v>563.09293452377176</v>
      </c>
      <c r="R80" s="59">
        <f t="shared" si="55"/>
        <v>820.21504321133239</v>
      </c>
      <c r="S80" s="59">
        <f ca="1">AVERAGE(OFFSET($R$3,0,0,'Données projet'!$E$9+1,1))-AVERAGE(OFFSET($H$3,0,0,'Données projet'!$E$9+1,1))</f>
        <v>600.52384738314299</v>
      </c>
      <c r="T80" s="59">
        <f t="shared" si="88"/>
        <v>314.84650287986256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26.664821027242006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26.664821027242006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4.4000000000000004</v>
      </c>
      <c r="AI80" s="13">
        <f>IF('Données projet'!$A$62&gt;35,AI79+AH80-AQ79,IF(A80&lt;'Données projet'!$A$62,$AF$205^A80,IF(A80='Données projet'!$A$62,'Données projet'!$B$62,AI79+AH80-AQ79)))</f>
        <v>250.8000000000001</v>
      </c>
      <c r="AJ80" s="13">
        <f>AI80*VLOOKUP('Données projet'!$B$10,Paramètres!$A$1:$I$89,3,0)*VLOOKUP('Données projet'!$B$10,Paramètres!$A$1:$I$89,5,0)</f>
        <v>219.09888000000012</v>
      </c>
      <c r="AK80" s="13">
        <f t="shared" si="89"/>
        <v>53.918984980452286</v>
      </c>
      <c r="AL80" s="20">
        <f t="shared" si="58"/>
        <v>475.50611484095458</v>
      </c>
      <c r="AM80" s="59">
        <f t="shared" si="59"/>
        <v>732.62822352851515</v>
      </c>
      <c r="AN80" s="59">
        <f ca="1">AVERAGE(OFFSET($AM$3,0,0,'Données projet'!$E$10+1,1))-AVERAGE(OFFSET($H$3,0,0,'Données projet'!$E$10+1,1))</f>
        <v>436.77894860279537</v>
      </c>
      <c r="AO80" s="59">
        <f t="shared" si="90"/>
        <v>398.63561969573072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41.907576087741312</v>
      </c>
      <c r="AV80" s="21">
        <f>EXP(-LN(2)/25)*AV79+(1-EXP(-LN(2)/25))/(LN(2)/25)*Calculateur!AQ80*Calculateur!AS80*VLOOKUP('Données projet'!$B$10,Paramètres!$A$1:$I$89,3,0)*0.475*44/12</f>
        <v>11.53644591281669</v>
      </c>
      <c r="AW80" s="21">
        <f>EXP(-LN(2)/2)*AW79+(1-EXP(-LN(2)/2))/(LN(2)/2)*AQ80*AT80*VLOOKUP('Données projet'!$B$10,Paramètres!$A$1:$I$89,3,0)*0.475*44/12</f>
        <v>1.3311728912978739E-7</v>
      </c>
      <c r="AX80" s="21">
        <f t="shared" si="60"/>
        <v>53.44402213367529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212.10695999999984</v>
      </c>
      <c r="BF80" s="13">
        <f t="shared" si="91"/>
        <v>52.395741612408194</v>
      </c>
      <c r="BG80" s="20">
        <f t="shared" si="61"/>
        <v>460.67553864161067</v>
      </c>
      <c r="BH80" s="59">
        <f t="shared" si="62"/>
        <v>717.79764732917124</v>
      </c>
      <c r="BI80" s="59">
        <f ca="1">AVERAGE(OFFSET($BH$3,0,0,'Données projet'!$E$11+1,1))-AVERAGE(OFFSET($H$3,0,0,'Données projet'!$E$11+1,1))</f>
        <v>344.97546176735341</v>
      </c>
      <c r="BJ80" s="59">
        <f t="shared" si="92"/>
        <v>331.15461126257492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14.482689500663634</v>
      </c>
      <c r="BQ80" s="21">
        <f>EXP(-LN(2)/25)*BQ79+(1-EXP(-LN(2)/25))/(LN(2)/25)*Calculateur!BL80*Calculateur!BN80*VLOOKUP('Données projet'!$B$11,Paramètres!$A$1:$I$89,3,0)*0.475*44/12</f>
        <v>3.0813994476449604</v>
      </c>
      <c r="BR80" s="21">
        <f>EXP(-LN(2)/2)*BR79+(1-EXP(-LN(2)/2))/(LN(2)/2)*BL80*BO80*VLOOKUP('Données projet'!$B$11,Paramètres!$A$1:$I$89,3,0)*0.475*44/12</f>
        <v>0.92281723303972618</v>
      </c>
      <c r="BS80" s="22">
        <f t="shared" si="63"/>
        <v>18.486906181348321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717.79764732917124</v>
      </c>
      <c r="CD80" s="59">
        <f ca="1">AVERAGE(OFFSET($CC$3,0,0,'Données projet'!$E$12+1,1))-AVERAGE(OFFSET($H$3,0,0,'Données projet'!$E$12+1,1))</f>
        <v>344.97546176735341</v>
      </c>
      <c r="CE80" s="59">
        <f t="shared" si="94"/>
        <v>331.15461126257492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14.482689500663634</v>
      </c>
      <c r="CL80" s="21">
        <f>EXP(-LN(2)/25)*CL79+(1-EXP(-LN(2)/25))/(LN(2)/25)*Calculateur!CG80*Calculateur!CI80*VLOOKUP('Données projet'!$B$12,Paramètres!$A$1:$I$89,3,0)*0.475*44/12</f>
        <v>3.0813994476449604</v>
      </c>
      <c r="CM80" s="21">
        <f>EXP(-LN(2)/2)*CM79+(1-EXP(-LN(2)/2))/(LN(2)/2)*CG80*CJ80*VLOOKUP('Données projet'!$B$12,Paramètres!$A$1:$I$89,3,0)*0.475*44/12</f>
        <v>0.92281723303972618</v>
      </c>
      <c r="CN80" s="22">
        <f t="shared" si="66"/>
        <v>18.486906181348321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227.19465047672969</v>
      </c>
      <c r="CZ80" s="59">
        <f t="shared" si="96"/>
        <v>529.77979244134417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38.833656254992086</v>
      </c>
      <c r="DG80" s="21">
        <f>EXP(-LN(2)/25)*DG79+(1-EXP(-LN(2)/25))/(LN(2)/25)*Calculateur!DB80*Calculateur!DD80*VLOOKUP('Données projet'!$B$13,Paramètres!$A$1:$I$89,3,0)*0.475*44/12</f>
        <v>8.6082760598206036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47.441932314812689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240.09151195692266</v>
      </c>
      <c r="DU80" s="59">
        <f t="shared" si="98"/>
        <v>559.47775134103165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41.371803722638596</v>
      </c>
      <c r="EB80" s="21">
        <f>EXP(-LN(2)/25)*EB79+(1-EXP(-LN(2)/25))/(LN(2)/25)*Calculateur!DW80*Calculateur!DY80*VLOOKUP('Données projet'!$B$14,Paramètres!$A$1:$I$89,3,0)*0.475*44/12</f>
        <v>9.1709084820311002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50.542712204669698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5.6843418860808015E-14</v>
      </c>
      <c r="EK80" s="17">
        <f>EJ80*VLOOKUP('Données projet'!$B$15,Paramètres!$A$1:$I$89,3,0)*VLOOKUP('Données projet'!$B$15,Paramètres!$A$1:$I$89,5,0)</f>
        <v>4.4337866711430253E-14</v>
      </c>
      <c r="EL80" s="13">
        <f t="shared" si="99"/>
        <v>7.3222115536967035E-13</v>
      </c>
      <c r="EM80" s="20">
        <f t="shared" si="73"/>
        <v>1.3525069634579169E-12</v>
      </c>
      <c r="EN80" s="59">
        <f t="shared" si="74"/>
        <v>257.12210868756193</v>
      </c>
      <c r="EO80" s="59">
        <f ca="1">AVERAGE(OFFSET($EN$3,0,0,'Données projet'!$E$15+1,1))-AVERAGE(OFFSET($H$3,0,0,'Données projet'!$E$15+1,1))</f>
        <v>328.79469965518484</v>
      </c>
      <c r="EP80" s="59">
        <f t="shared" si="100"/>
        <v>322.06400652269735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56.715824788448188</v>
      </c>
      <c r="EW80" s="21">
        <f>EXP(-LN(2)/25)*EW79+(1-EXP(-LN(2)/25))/(LN(2)/25)*Calculateur!ER80*Calculateur!ET80*VLOOKUP('Données projet'!$B$15,Paramètres!$A$1:$I$89,3,0)*0.475*44/12</f>
        <v>7.6204633618838136</v>
      </c>
      <c r="EX80" s="21">
        <f>EXP(-LN(2)/2)*EX79+(1-EXP(-LN(2)/2))/(LN(2)/2)*ER80*EU80*VLOOKUP('Données projet'!$B$15,Paramètres!$A$1:$I$89,3,0)*0.475*44/12</f>
        <v>4.5567271373808662</v>
      </c>
      <c r="EY80" s="22">
        <f t="shared" si="75"/>
        <v>68.893015287712856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10.4</v>
      </c>
      <c r="FE80" s="12">
        <f>IF('Données projet'!$A$218&gt;35,FE79+FD80-FM79,IF(A80&lt;'Données projet'!$A$218,$FB$205^A80,IF(A80='Données projet'!$A$218,'Données projet'!$B$218,FE79+FD80-FM79)))</f>
        <v>392.79999999999995</v>
      </c>
      <c r="FF80" s="17">
        <f>FE80*VLOOKUP('Données projet'!$B$16,Paramètres!$A$1:$I$89,3,0)*VLOOKUP('Données projet'!$B$16,Paramètres!$A$1:$I$89,5,0)</f>
        <v>288.00095999999996</v>
      </c>
      <c r="FG80" s="13">
        <f t="shared" si="101"/>
        <v>68.655059235753953</v>
      </c>
      <c r="FH80" s="20">
        <f t="shared" si="76"/>
        <v>621.17590016893803</v>
      </c>
      <c r="FI80" s="59">
        <f t="shared" si="77"/>
        <v>878.29800885649865</v>
      </c>
      <c r="FJ80" s="59">
        <f ca="1">AVERAGE(OFFSET($FI$3,0,0,'Données projet'!$E$16+1,1))-AVERAGE(OFFSET($H$3,0,0,'Données projet'!$E$16+1,1))</f>
        <v>525.22234644068908</v>
      </c>
      <c r="FK80" s="59">
        <f t="shared" si="102"/>
        <v>311.5550296132094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1.1724770552858859</v>
      </c>
      <c r="FR80" s="21">
        <f>EXP(-LN(2)/25)*FR79+(1-EXP(-LN(2)/25))/(LN(2)/25)*Calculateur!FM80*Calculateur!FO80*VLOOKUP('Données projet'!$B$16,Paramètres!$A$1:$I$89,3,0)*0.475*44/12</f>
        <v>25.073614573281237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26.246091628567122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2.8</v>
      </c>
      <c r="FZ80" s="12">
        <f>IF('Données projet'!$A$244&gt;35,FZ79+FY80-GH79,IF(A80&lt;'Données projet'!$A$244,$FW$205^A80,IF(A80='Données projet'!$A$244,'Données projet'!$B$244,FZ79+FY80-GH79)))</f>
        <v>266.5999999999998</v>
      </c>
      <c r="GA80" s="17">
        <f>FZ80*VLOOKUP('Données projet'!$B$17,Paramètres!$A$1:$I$89,3,0)*VLOOKUP('Données projet'!$B$17,Paramètres!$A$1:$I$89,5,0)</f>
        <v>174.67631999999986</v>
      </c>
      <c r="GB80" s="13">
        <f t="shared" si="103"/>
        <v>44.135703881788075</v>
      </c>
      <c r="GC80" s="20">
        <f t="shared" si="79"/>
        <v>381.09760826078065</v>
      </c>
      <c r="GD80" s="59">
        <f t="shared" si="80"/>
        <v>638.21971694834122</v>
      </c>
      <c r="GE80" s="59">
        <f ca="1">AVERAGE(OFFSET($GD$3,0,0,'Données projet'!$E$17+1,1))-AVERAGE(OFFSET($H$3,0,0,'Données projet'!$E$17+1,1))</f>
        <v>298.45881427802874</v>
      </c>
      <c r="GF80" s="59">
        <f t="shared" si="104"/>
        <v>287.00279305562356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9.6765583567142119</v>
      </c>
      <c r="GM80" s="21">
        <f>EXP(-LN(2)/25)*GM79+(1-EXP(-LN(2)/25))/(LN(2)/25)*Calculateur!GH80*Calculateur!GJ80*VLOOKUP('Données projet'!$B$17,Paramètres!$A$1:$I$89,3,0)*0.475*44/12</f>
        <v>2.0588262680158342</v>
      </c>
      <c r="GN80" s="21">
        <f>EXP(-LN(2)/2)*GN79+(1-EXP(-LN(2)/2))/(LN(2)/2)*GH80*GK80*VLOOKUP('Données projet'!$B$17,Paramètres!$A$1:$I$89,3,0)*0.475*44/12</f>
        <v>0.75996713309153918</v>
      </c>
      <c r="GO80" s="21">
        <f t="shared" si="81"/>
        <v>12.495351757821584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135.66666666666666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>
        <f>VLOOKUP(A81,'Données projet'!$A$35:$I$55,2,0)</f>
        <v>296</v>
      </c>
      <c r="L81" s="12">
        <f>VLOOKUP(A81,'Données projet'!$A$35:$I$55,9,0)</f>
        <v>8.1111111111111107</v>
      </c>
      <c r="M81" s="12">
        <f t="array" ref="M81">INDEX(L:L,MIN(IF(ISNUMBER(L81:L277),ROW(L81:L277),"")))</f>
        <v>8.1111111111111107</v>
      </c>
      <c r="N81" s="13">
        <f>IF('Données projet'!$A$36&gt;35,N80+M81-V80,IF(A81&lt;'Données projet'!$A$36,$K$205^A81,IF(A81='Données projet'!$A$36,'Données projet'!$B$36,N80+M81-V80)))</f>
        <v>295.99999999999989</v>
      </c>
      <c r="O81" s="13">
        <f>N81*VLOOKUP('Données projet'!$B$9,Paramètres!$A$1:$I$89,3,0)*VLOOKUP('Données projet'!$B$9,Paramètres!$A$1:$I$89,5,0)</f>
        <v>267.82079999999991</v>
      </c>
      <c r="P81" s="13">
        <f t="shared" si="87"/>
        <v>64.386570147897302</v>
      </c>
      <c r="Q81" s="20">
        <f t="shared" si="54"/>
        <v>578.5945030075876</v>
      </c>
      <c r="R81" s="59">
        <f t="shared" si="55"/>
        <v>836.34479548658214</v>
      </c>
      <c r="S81" s="59">
        <f ca="1">AVERAGE(OFFSET($R$3,0,0,'Données projet'!$E$9+1,1))-AVERAGE(OFFSET($H$3,0,0,'Données projet'!$E$9+1,1))</f>
        <v>600.52384738314299</v>
      </c>
      <c r="T81" s="59">
        <f t="shared" si="88"/>
        <v>314.84650287986256</v>
      </c>
      <c r="U81" s="15">
        <f>IF(ISNA(VLOOKUP(A81,'Données projet'!$A$35:$I$55,3,0)),0,VLOOKUP(A81,'Données projet'!$A$35:$I$55,3,0))</f>
        <v>6</v>
      </c>
      <c r="V81" s="15">
        <f>IF(ISNA(VLOOKUP(A81,'Données projet'!$A$35:$I$55,4,0)),0,VLOOKUP(A81,'Données projet'!$A$35:$I$55,4,0))</f>
        <v>49</v>
      </c>
      <c r="W81" s="16">
        <f>IF(ISNA(VLOOKUP(A81,'Données projet'!$A$35:$I$55,5,0)),0%,VLOOKUP(A81,'Données projet'!$A$35:$I$55,5,0)*VLOOKUP('Données projet'!$B$9,Paramètres!$A$1:$I$89,7,0))</f>
        <v>4.3000000000000003E-2</v>
      </c>
      <c r="X81" s="16">
        <f>IF(ISNA(VLOOKUP(A81,'Données projet'!$A$35:$I$55,6,0)),0%,VLOOKUP(A81,'Données projet'!$A$35:$I$55,6,0)*VLOOKUP('Données projet'!$B$9,Paramètres!$A$1:$I$89,7,0))</f>
        <v>0.215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2.107483765938778</v>
      </c>
      <c r="AA81" s="21">
        <f>EXP(-LN(2)/25)*AA80+(1-EXP(-LN(2)/25))/(LN(2)/25)*Calculateur!V81*Calculateur!X81*VLOOKUP('Données projet'!$B$9,Paramètres!$A$1:$I$89,3,0)*0.475*44/12</f>
        <v>36.431599090700111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38.539082856638892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4.4000000000000004</v>
      </c>
      <c r="AI81" s="13">
        <f>IF('Données projet'!$A$62&gt;35,AI80+AH81-AQ80,IF(A81&lt;'Données projet'!$A$62,$AF$205^A81,IF(A81='Données projet'!$A$62,'Données projet'!$B$62,AI80+AH81-AQ80)))</f>
        <v>255.2000000000001</v>
      </c>
      <c r="AJ81" s="13">
        <f>AI81*VLOOKUP('Données projet'!$B$10,Paramètres!$A$1:$I$89,3,0)*VLOOKUP('Données projet'!$B$10,Paramètres!$A$1:$I$89,5,0)</f>
        <v>222.94272000000009</v>
      </c>
      <c r="AK81" s="13">
        <f t="shared" si="89"/>
        <v>54.753975927514929</v>
      </c>
      <c r="AL81" s="20">
        <f t="shared" si="58"/>
        <v>483.65507874042197</v>
      </c>
      <c r="AM81" s="59">
        <f t="shared" si="59"/>
        <v>741.40537121941645</v>
      </c>
      <c r="AN81" s="59">
        <f ca="1">AVERAGE(OFFSET($AM$3,0,0,'Données projet'!$E$10+1,1))-AVERAGE(OFFSET($H$3,0,0,'Données projet'!$E$10+1,1))</f>
        <v>436.77894860279537</v>
      </c>
      <c r="AO81" s="59">
        <f t="shared" si="90"/>
        <v>398.63561969573072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41.085794081758166</v>
      </c>
      <c r="AV81" s="21">
        <f>EXP(-LN(2)/25)*AV80+(1-EXP(-LN(2)/25))/(LN(2)/25)*Calculateur!AQ81*Calculateur!AS81*VLOOKUP('Données projet'!$B$10,Paramètres!$A$1:$I$89,3,0)*0.475*44/12</f>
        <v>11.220981192655394</v>
      </c>
      <c r="AW81" s="21">
        <f>EXP(-LN(2)/2)*AW80+(1-EXP(-LN(2)/2))/(LN(2)/2)*AQ81*AT81*VLOOKUP('Données projet'!$B$10,Paramètres!$A$1:$I$89,3,0)*0.475*44/12</f>
        <v>9.4128137836842957E-8</v>
      </c>
      <c r="AX81" s="21">
        <f t="shared" si="60"/>
        <v>52.3067753685417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214.33463999999984</v>
      </c>
      <c r="BF81" s="13">
        <f t="shared" si="91"/>
        <v>52.881684324030282</v>
      </c>
      <c r="BG81" s="20">
        <f t="shared" si="61"/>
        <v>465.40176486435234</v>
      </c>
      <c r="BH81" s="59">
        <f t="shared" si="62"/>
        <v>723.15205734334677</v>
      </c>
      <c r="BI81" s="59">
        <f ca="1">AVERAGE(OFFSET($BH$3,0,0,'Données projet'!$E$11+1,1))-AVERAGE(OFFSET($H$3,0,0,'Données projet'!$E$11+1,1))</f>
        <v>344.97546176735341</v>
      </c>
      <c r="BJ81" s="59">
        <f t="shared" si="92"/>
        <v>331.15461126257492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14.198692793123973</v>
      </c>
      <c r="BQ81" s="21">
        <f>EXP(-LN(2)/25)*BQ80+(1-EXP(-LN(2)/25))/(LN(2)/25)*Calculateur!BL81*Calculateur!BN81*VLOOKUP('Données projet'!$B$11,Paramètres!$A$1:$I$89,3,0)*0.475*44/12</f>
        <v>2.9971384177053548</v>
      </c>
      <c r="BR81" s="21">
        <f>EXP(-LN(2)/2)*BR80+(1-EXP(-LN(2)/2))/(LN(2)/2)*BL81*BO81*VLOOKUP('Données projet'!$B$11,Paramètres!$A$1:$I$89,3,0)*0.475*44/12</f>
        <v>0.65253032327819693</v>
      </c>
      <c r="BS81" s="22">
        <f t="shared" si="63"/>
        <v>17.848361534107525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723.15205734334677</v>
      </c>
      <c r="CD81" s="59">
        <f ca="1">AVERAGE(OFFSET($CC$3,0,0,'Données projet'!$E$12+1,1))-AVERAGE(OFFSET($H$3,0,0,'Données projet'!$E$12+1,1))</f>
        <v>344.97546176735341</v>
      </c>
      <c r="CE81" s="59">
        <f t="shared" si="94"/>
        <v>331.15461126257492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14.198692793123973</v>
      </c>
      <c r="CL81" s="21">
        <f>EXP(-LN(2)/25)*CL80+(1-EXP(-LN(2)/25))/(LN(2)/25)*Calculateur!CG81*Calculateur!CI81*VLOOKUP('Données projet'!$B$12,Paramètres!$A$1:$I$89,3,0)*0.475*44/12</f>
        <v>2.9971384177053548</v>
      </c>
      <c r="CM81" s="21">
        <f>EXP(-LN(2)/2)*CM80+(1-EXP(-LN(2)/2))/(LN(2)/2)*CG81*CJ81*VLOOKUP('Données projet'!$B$12,Paramètres!$A$1:$I$89,3,0)*0.475*44/12</f>
        <v>0.65253032327819693</v>
      </c>
      <c r="CN81" s="22">
        <f t="shared" si="66"/>
        <v>17.848361534107525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227.19465047672969</v>
      </c>
      <c r="CZ81" s="59">
        <f t="shared" si="96"/>
        <v>529.77979244134417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38.07215194202319</v>
      </c>
      <c r="DG81" s="21">
        <f>EXP(-LN(2)/25)*DG80+(1-EXP(-LN(2)/25))/(LN(2)/25)*Calculateur!DB81*Calculateur!DD81*VLOOKUP('Données projet'!$B$13,Paramètres!$A$1:$I$89,3,0)*0.475*44/12</f>
        <v>8.3728822982752451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46.445034240298433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240.09151195692266</v>
      </c>
      <c r="DU81" s="59">
        <f t="shared" si="98"/>
        <v>559.47775134103165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40.560527885946243</v>
      </c>
      <c r="EB81" s="21">
        <f>EXP(-LN(2)/25)*EB80+(1-EXP(-LN(2)/25))/(LN(2)/25)*Calculateur!DW81*Calculateur!DY81*VLOOKUP('Données projet'!$B$14,Paramètres!$A$1:$I$89,3,0)*0.475*44/12</f>
        <v>8.9201295073128435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49.480657393259087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5.6843418860808015E-14</v>
      </c>
      <c r="EK81" s="17">
        <f>EJ81*VLOOKUP('Données projet'!$B$15,Paramètres!$A$1:$I$89,3,0)*VLOOKUP('Données projet'!$B$15,Paramètres!$A$1:$I$89,5,0)</f>
        <v>4.4337866711430253E-14</v>
      </c>
      <c r="EL81" s="13">
        <f t="shared" si="99"/>
        <v>7.3222115536967035E-13</v>
      </c>
      <c r="EM81" s="20">
        <f t="shared" si="73"/>
        <v>1.3525069634579169E-12</v>
      </c>
      <c r="EN81" s="59">
        <f t="shared" si="74"/>
        <v>257.75029247899585</v>
      </c>
      <c r="EO81" s="59">
        <f ca="1">AVERAGE(OFFSET($EN$3,0,0,'Données projet'!$E$15+1,1))-AVERAGE(OFFSET($H$3,0,0,'Données projet'!$E$15+1,1))</f>
        <v>328.79469965518484</v>
      </c>
      <c r="EP81" s="59">
        <f t="shared" si="100"/>
        <v>322.06400652269735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55.603662057584039</v>
      </c>
      <c r="EW81" s="21">
        <f>EXP(-LN(2)/25)*EW80+(1-EXP(-LN(2)/25))/(LN(2)/25)*Calculateur!ER81*Calculateur!ET81*VLOOKUP('Données projet'!$B$15,Paramètres!$A$1:$I$89,3,0)*0.475*44/12</f>
        <v>7.4120813905103491</v>
      </c>
      <c r="EX81" s="21">
        <f>EXP(-LN(2)/2)*EX80+(1-EXP(-LN(2)/2))/(LN(2)/2)*ER81*EU81*VLOOKUP('Données projet'!$B$15,Paramètres!$A$1:$I$89,3,0)*0.475*44/12</f>
        <v>3.2220926588587755</v>
      </c>
      <c r="EY81" s="22">
        <f t="shared" si="75"/>
        <v>66.237836106953168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10.4</v>
      </c>
      <c r="FE81" s="12">
        <f>IF('Données projet'!$A$218&gt;35,FE80+FD81-FM80,IF(A81&lt;'Données projet'!$A$218,$FB$205^A81,IF(A81='Données projet'!$A$218,'Données projet'!$B$218,FE80+FD81-FM80)))</f>
        <v>403.19999999999993</v>
      </c>
      <c r="FF81" s="17">
        <f>FE81*VLOOKUP('Données projet'!$B$16,Paramètres!$A$1:$I$89,3,0)*VLOOKUP('Données projet'!$B$16,Paramètres!$A$1:$I$89,5,0)</f>
        <v>295.62623999999994</v>
      </c>
      <c r="FG81" s="13">
        <f t="shared" si="101"/>
        <v>70.25877312268689</v>
      </c>
      <c r="FH81" s="20">
        <f t="shared" si="76"/>
        <v>637.24973118867945</v>
      </c>
      <c r="FI81" s="59">
        <f t="shared" si="77"/>
        <v>895.00002366767399</v>
      </c>
      <c r="FJ81" s="59">
        <f ca="1">AVERAGE(OFFSET($FI$3,0,0,'Données projet'!$E$16+1,1))-AVERAGE(OFFSET($H$3,0,0,'Données projet'!$E$16+1,1))</f>
        <v>525.22234644068908</v>
      </c>
      <c r="FK81" s="59">
        <f t="shared" si="102"/>
        <v>311.5550296132094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1.1494854953721192</v>
      </c>
      <c r="FR81" s="21">
        <f>EXP(-LN(2)/25)*FR80+(1-EXP(-LN(2)/25))/(LN(2)/25)*Calculateur!FM81*Calculateur!FO81*VLOOKUP('Données projet'!$B$16,Paramètres!$A$1:$I$89,3,0)*0.475*44/12</f>
        <v>24.387975264210777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25.537460759582896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2.8</v>
      </c>
      <c r="FZ81" s="12">
        <f>IF('Données projet'!$A$244&gt;35,FZ80+FY81-GH80,IF(A81&lt;'Données projet'!$A$244,$FW$205^A81,IF(A81='Données projet'!$A$244,'Données projet'!$B$244,FZ80+FY81-GH80)))</f>
        <v>269.39999999999981</v>
      </c>
      <c r="GA81" s="17">
        <f>FZ81*VLOOKUP('Données projet'!$B$17,Paramètres!$A$1:$I$89,3,0)*VLOOKUP('Données projet'!$B$17,Paramètres!$A$1:$I$89,5,0)</f>
        <v>176.51087999999987</v>
      </c>
      <c r="GB81" s="13">
        <f t="shared" si="103"/>
        <v>44.545039124761026</v>
      </c>
      <c r="GC81" s="20">
        <f t="shared" si="79"/>
        <v>385.00572580895852</v>
      </c>
      <c r="GD81" s="59">
        <f t="shared" si="80"/>
        <v>642.756018287953</v>
      </c>
      <c r="GE81" s="59">
        <f ca="1">AVERAGE(OFFSET($GD$3,0,0,'Données projet'!$E$17+1,1))-AVERAGE(OFFSET($H$3,0,0,'Données projet'!$E$17+1,1))</f>
        <v>298.45881427802874</v>
      </c>
      <c r="GF81" s="59">
        <f t="shared" si="104"/>
        <v>287.00279305562356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9.4868069494568577</v>
      </c>
      <c r="GM81" s="21">
        <f>EXP(-LN(2)/25)*GM80+(1-EXP(-LN(2)/25))/(LN(2)/25)*Calculateur!GH81*Calculateur!GJ81*VLOOKUP('Données projet'!$B$17,Paramètres!$A$1:$I$89,3,0)*0.475*44/12</f>
        <v>2.0025275554479731</v>
      </c>
      <c r="GN81" s="21">
        <f>EXP(-LN(2)/2)*GN80+(1-EXP(-LN(2)/2))/(LN(2)/2)*GH81*GK81*VLOOKUP('Données projet'!$B$17,Paramètres!$A$1:$I$89,3,0)*0.475*44/12</f>
        <v>0.53737791328792683</v>
      </c>
      <c r="GO81" s="21">
        <f t="shared" si="81"/>
        <v>12.026712418192757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135.66666666666666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7.7777777777777777</v>
      </c>
      <c r="N82" s="13">
        <f>IF('Données projet'!$A$36&gt;35,N81+M82-V81,IF(A82&lt;'Données projet'!$A$36,$K$205^A82,IF(A82='Données projet'!$A$36,'Données projet'!$B$36,N81+M82-V81)))</f>
        <v>254.77777777777766</v>
      </c>
      <c r="O82" s="13">
        <f>N82*VLOOKUP('Données projet'!$B$9,Paramètres!$A$1:$I$89,3,0)*VLOOKUP('Données projet'!$B$9,Paramètres!$A$1:$I$89,5,0)</f>
        <v>230.52293333333321</v>
      </c>
      <c r="P82" s="13">
        <f t="shared" si="87"/>
        <v>56.395736994607496</v>
      </c>
      <c r="Q82" s="20">
        <f t="shared" si="54"/>
        <v>499.71668415449676</v>
      </c>
      <c r="R82" s="59">
        <f t="shared" si="55"/>
        <v>758.08426284055236</v>
      </c>
      <c r="S82" s="59">
        <f ca="1">AVERAGE(OFFSET($R$3,0,0,'Données projet'!$E$9+1,1))-AVERAGE(OFFSET($H$3,0,0,'Données projet'!$E$9+1,1))</f>
        <v>600.52384738314299</v>
      </c>
      <c r="T82" s="59">
        <f t="shared" si="88"/>
        <v>314.84650287986256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2.0661572947268891</v>
      </c>
      <c r="AA82" s="21">
        <f>EXP(-LN(2)/25)*AA81+(1-EXP(-LN(2)/25))/(LN(2)/25)*Calculateur!V82*Calculateur!X82*VLOOKUP('Données projet'!$B$9,Paramètres!$A$1:$I$89,3,0)*0.475*44/12</f>
        <v>35.435375097710384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37.501532392437277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4.4000000000000004</v>
      </c>
      <c r="AI82" s="13">
        <f>IF('Données projet'!$A$62&gt;35,AI81+AH82-AQ81,IF(A82&lt;'Données projet'!$A$62,$AF$205^A82,IF(A82='Données projet'!$A$62,'Données projet'!$B$62,AI81+AH82-AQ81)))</f>
        <v>259.60000000000008</v>
      </c>
      <c r="AJ82" s="13">
        <f>AI82*VLOOKUP('Données projet'!$B$10,Paramètres!$A$1:$I$89,3,0)*VLOOKUP('Données projet'!$B$10,Paramètres!$A$1:$I$89,5,0)</f>
        <v>226.78656000000009</v>
      </c>
      <c r="AK82" s="13">
        <f t="shared" si="89"/>
        <v>55.587292726829872</v>
      </c>
      <c r="AL82" s="20">
        <f t="shared" si="58"/>
        <v>491.8011268325622</v>
      </c>
      <c r="AM82" s="59">
        <f t="shared" si="59"/>
        <v>750.1687055186178</v>
      </c>
      <c r="AN82" s="59">
        <f ca="1">AVERAGE(OFFSET($AM$3,0,0,'Données projet'!$E$10+1,1))-AVERAGE(OFFSET($H$3,0,0,'Données projet'!$E$10+1,1))</f>
        <v>436.77894860279537</v>
      </c>
      <c r="AO82" s="59">
        <f t="shared" si="90"/>
        <v>398.63561969573072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40.280126719674826</v>
      </c>
      <c r="AV82" s="21">
        <f>EXP(-LN(2)/25)*AV81+(1-EXP(-LN(2)/25))/(LN(2)/25)*Calculateur!AQ82*Calculateur!AS82*VLOOKUP('Données projet'!$B$10,Paramètres!$A$1:$I$89,3,0)*0.475*44/12</f>
        <v>10.914142871856477</v>
      </c>
      <c r="AW82" s="21">
        <f>EXP(-LN(2)/2)*AW81+(1-EXP(-LN(2)/2))/(LN(2)/2)*AQ82*AT82*VLOOKUP('Données projet'!$B$10,Paramètres!$A$1:$I$89,3,0)*0.475*44/12</f>
        <v>6.6558644564893697E-8</v>
      </c>
      <c r="AX82" s="21">
        <f t="shared" si="60"/>
        <v>51.194269658089944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216.56231999999989</v>
      </c>
      <c r="BF82" s="13">
        <f t="shared" si="91"/>
        <v>53.367039486661959</v>
      </c>
      <c r="BG82" s="20">
        <f t="shared" si="61"/>
        <v>470.12696777260271</v>
      </c>
      <c r="BH82" s="59">
        <f t="shared" si="62"/>
        <v>728.49454645865831</v>
      </c>
      <c r="BI82" s="59">
        <f ca="1">AVERAGE(OFFSET($BH$3,0,0,'Données projet'!$E$11+1,1))-AVERAGE(OFFSET($H$3,0,0,'Données projet'!$E$11+1,1))</f>
        <v>344.97546176735341</v>
      </c>
      <c r="BJ82" s="59">
        <f t="shared" si="92"/>
        <v>331.15461126257492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13.920265087798278</v>
      </c>
      <c r="BQ82" s="21">
        <f>EXP(-LN(2)/25)*BQ81+(1-EXP(-LN(2)/25))/(LN(2)/25)*Calculateur!BL82*Calculateur!BN82*VLOOKUP('Données projet'!$B$11,Paramètres!$A$1:$I$89,3,0)*0.475*44/12</f>
        <v>2.9151815100605427</v>
      </c>
      <c r="BR82" s="21">
        <f>EXP(-LN(2)/2)*BR81+(1-EXP(-LN(2)/2))/(LN(2)/2)*BL82*BO82*VLOOKUP('Données projet'!$B$11,Paramètres!$A$1:$I$89,3,0)*0.475*44/12</f>
        <v>0.46140861651986315</v>
      </c>
      <c r="BS82" s="22">
        <f t="shared" si="63"/>
        <v>17.296855214378681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728.49454645865831</v>
      </c>
      <c r="CD82" s="59">
        <f ca="1">AVERAGE(OFFSET($CC$3,0,0,'Données projet'!$E$12+1,1))-AVERAGE(OFFSET($H$3,0,0,'Données projet'!$E$12+1,1))</f>
        <v>344.97546176735341</v>
      </c>
      <c r="CE82" s="59">
        <f t="shared" si="94"/>
        <v>331.15461126257492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13.920265087798278</v>
      </c>
      <c r="CL82" s="21">
        <f>EXP(-LN(2)/25)*CL81+(1-EXP(-LN(2)/25))/(LN(2)/25)*Calculateur!CG82*Calculateur!CI82*VLOOKUP('Données projet'!$B$12,Paramètres!$A$1:$I$89,3,0)*0.475*44/12</f>
        <v>2.9151815100605427</v>
      </c>
      <c r="CM82" s="21">
        <f>EXP(-LN(2)/2)*CM81+(1-EXP(-LN(2)/2))/(LN(2)/2)*CG82*CJ82*VLOOKUP('Données projet'!$B$12,Paramètres!$A$1:$I$89,3,0)*0.475*44/12</f>
        <v>0.46140861651986315</v>
      </c>
      <c r="CN82" s="22">
        <f t="shared" si="66"/>
        <v>17.296855214378681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227.19465047672969</v>
      </c>
      <c r="CZ82" s="59">
        <f t="shared" si="96"/>
        <v>529.77979244134417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37.325580264159846</v>
      </c>
      <c r="DG82" s="21">
        <f>EXP(-LN(2)/25)*DG81+(1-EXP(-LN(2)/25))/(LN(2)/25)*Calculateur!DB82*Calculateur!DD82*VLOOKUP('Données projet'!$B$13,Paramètres!$A$1:$I$89,3,0)*0.475*44/12</f>
        <v>8.1439253915181649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45.469505655678013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240.09151195692266</v>
      </c>
      <c r="DU82" s="59">
        <f t="shared" si="98"/>
        <v>559.47775134103165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39.765160673582024</v>
      </c>
      <c r="EB82" s="21">
        <f>EXP(-LN(2)/25)*EB81+(1-EXP(-LN(2)/25))/(LN(2)/25)*Calculateur!DW82*Calculateur!DY82*VLOOKUP('Données projet'!$B$14,Paramètres!$A$1:$I$89,3,0)*0.475*44/12</f>
        <v>8.6762080968461497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48.44136877042817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5.6843418860808015E-14</v>
      </c>
      <c r="EK82" s="17">
        <f>EJ82*VLOOKUP('Données projet'!$B$15,Paramètres!$A$1:$I$89,3,0)*VLOOKUP('Données projet'!$B$15,Paramètres!$A$1:$I$89,5,0)</f>
        <v>4.4337866711430253E-14</v>
      </c>
      <c r="EL82" s="13">
        <f t="shared" si="99"/>
        <v>7.3222115536967035E-13</v>
      </c>
      <c r="EM82" s="20">
        <f t="shared" si="73"/>
        <v>1.3525069634579169E-12</v>
      </c>
      <c r="EN82" s="59">
        <f t="shared" si="74"/>
        <v>258.36757868605702</v>
      </c>
      <c r="EO82" s="59">
        <f ca="1">AVERAGE(OFFSET($EN$3,0,0,'Données projet'!$E$15+1,1))-AVERAGE(OFFSET($H$3,0,0,'Données projet'!$E$15+1,1))</f>
        <v>328.79469965518484</v>
      </c>
      <c r="EP82" s="59">
        <f t="shared" si="100"/>
        <v>322.06400652269735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54.513308159519852</v>
      </c>
      <c r="EW82" s="21">
        <f>EXP(-LN(2)/25)*EW81+(1-EXP(-LN(2)/25))/(LN(2)/25)*Calculateur!ER82*Calculateur!ET82*VLOOKUP('Données projet'!$B$15,Paramètres!$A$1:$I$89,3,0)*0.475*44/12</f>
        <v>7.209397635102424</v>
      </c>
      <c r="EX82" s="21">
        <f>EXP(-LN(2)/2)*EX81+(1-EXP(-LN(2)/2))/(LN(2)/2)*ER82*EU82*VLOOKUP('Données projet'!$B$15,Paramètres!$A$1:$I$89,3,0)*0.475*44/12</f>
        <v>2.2783635686904335</v>
      </c>
      <c r="EY82" s="22">
        <f t="shared" si="75"/>
        <v>64.001069363312709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10.4</v>
      </c>
      <c r="FE82" s="12">
        <f>IF('Données projet'!$A$218&gt;35,FE81+FD82-FM81,IF(A82&lt;'Données projet'!$A$218,$FB$205^A82,IF(A82='Données projet'!$A$218,'Données projet'!$B$218,FE81+FD82-FM81)))</f>
        <v>413.59999999999991</v>
      </c>
      <c r="FF82" s="17">
        <f>FE82*VLOOKUP('Données projet'!$B$16,Paramètres!$A$1:$I$89,3,0)*VLOOKUP('Données projet'!$B$16,Paramètres!$A$1:$I$89,5,0)</f>
        <v>303.25151999999991</v>
      </c>
      <c r="FG82" s="13">
        <f t="shared" si="101"/>
        <v>71.857678707090869</v>
      </c>
      <c r="FH82" s="20">
        <f t="shared" si="76"/>
        <v>653.31518774818312</v>
      </c>
      <c r="FI82" s="59">
        <f t="shared" si="77"/>
        <v>911.68276643423883</v>
      </c>
      <c r="FJ82" s="59">
        <f ca="1">AVERAGE(OFFSET($FI$3,0,0,'Données projet'!$E$16+1,1))-AVERAGE(OFFSET($H$3,0,0,'Données projet'!$E$16+1,1))</f>
        <v>525.22234644068908</v>
      </c>
      <c r="FK82" s="59">
        <f t="shared" si="102"/>
        <v>311.5550296132094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1.1269447859247945</v>
      </c>
      <c r="FR82" s="21">
        <f>EXP(-LN(2)/25)*FR81+(1-EXP(-LN(2)/25))/(LN(2)/25)*Calculateur!FM82*Calculateur!FO82*VLOOKUP('Données projet'!$B$16,Paramètres!$A$1:$I$89,3,0)*0.475*44/12</f>
        <v>23.721084798103053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24.848029584027849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2.8</v>
      </c>
      <c r="FZ82" s="12">
        <f>IF('Données projet'!$A$244&gt;35,FZ81+FY82-GH81,IF(A82&lt;'Données projet'!$A$244,$FW$205^A82,IF(A82='Données projet'!$A$244,'Données projet'!$B$244,FZ81+FY82-GH81)))</f>
        <v>272.19999999999982</v>
      </c>
      <c r="GA82" s="17">
        <f>FZ82*VLOOKUP('Données projet'!$B$17,Paramètres!$A$1:$I$89,3,0)*VLOOKUP('Données projet'!$B$17,Paramètres!$A$1:$I$89,5,0)</f>
        <v>178.34543999999988</v>
      </c>
      <c r="GB82" s="13">
        <f t="shared" si="103"/>
        <v>44.953879444149464</v>
      </c>
      <c r="GC82" s="20">
        <f t="shared" si="79"/>
        <v>388.9129813652267</v>
      </c>
      <c r="GD82" s="59">
        <f t="shared" si="80"/>
        <v>647.28056005128235</v>
      </c>
      <c r="GE82" s="59">
        <f ca="1">AVERAGE(OFFSET($GD$3,0,0,'Données projet'!$E$17+1,1))-AVERAGE(OFFSET($H$3,0,0,'Données projet'!$E$17+1,1))</f>
        <v>298.45881427802874</v>
      </c>
      <c r="GF82" s="59">
        <f t="shared" si="104"/>
        <v>287.00279305562356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9.3007764515588907</v>
      </c>
      <c r="GM82" s="21">
        <f>EXP(-LN(2)/25)*GM81+(1-EXP(-LN(2)/25))/(LN(2)/25)*Calculateur!GH82*Calculateur!GJ82*VLOOKUP('Données projet'!$B$17,Paramètres!$A$1:$I$89,3,0)*0.475*44/12</f>
        <v>1.9477683341359009</v>
      </c>
      <c r="GN82" s="21">
        <f>EXP(-LN(2)/2)*GN81+(1-EXP(-LN(2)/2))/(LN(2)/2)*GH82*GK82*VLOOKUP('Données projet'!$B$17,Paramètres!$A$1:$I$89,3,0)*0.475*44/12</f>
        <v>0.37998356654576959</v>
      </c>
      <c r="GO82" s="21">
        <f t="shared" si="81"/>
        <v>11.628528352240561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135.66666666666666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7.7777777777777777</v>
      </c>
      <c r="N83" s="13">
        <f>IF('Données projet'!$A$36&gt;35,N82+M83-V82,IF(A83&lt;'Données projet'!$A$36,$K$205^A83,IF(A83='Données projet'!$A$36,'Données projet'!$B$36,N82+M83-V82)))</f>
        <v>262.55555555555543</v>
      </c>
      <c r="O83" s="13">
        <f>N83*VLOOKUP('Données projet'!$B$9,Paramètres!$A$1:$I$89,3,0)*VLOOKUP('Données projet'!$B$9,Paramètres!$A$1:$I$89,5,0)</f>
        <v>237.56026666666656</v>
      </c>
      <c r="P83" s="13">
        <f t="shared" si="87"/>
        <v>57.914298227932981</v>
      </c>
      <c r="Q83" s="20">
        <f t="shared" si="54"/>
        <v>514.61820052476094</v>
      </c>
      <c r="R83" s="59">
        <f t="shared" si="55"/>
        <v>773.59235688223043</v>
      </c>
      <c r="S83" s="59">
        <f ca="1">AVERAGE(OFFSET($R$3,0,0,'Données projet'!$E$9+1,1))-AVERAGE(OFFSET($H$3,0,0,'Données projet'!$E$9+1,1))</f>
        <v>600.52384738314299</v>
      </c>
      <c r="T83" s="59">
        <f t="shared" si="88"/>
        <v>314.84650287986256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2.0256412104088071</v>
      </c>
      <c r="AA83" s="21">
        <f>EXP(-LN(2)/25)*AA82+(1-EXP(-LN(2)/25))/(LN(2)/25)*Calculateur!V83*Calculateur!X83*VLOOKUP('Données projet'!$B$9,Paramètres!$A$1:$I$89,3,0)*0.475*44/12</f>
        <v>34.466392902198109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36.492034112606916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264</v>
      </c>
      <c r="AG83" s="12">
        <f>VLOOKUP(A83,'Données projet'!$A$61:$I$81,9,0)</f>
        <v>4.4000000000000004</v>
      </c>
      <c r="AH83" s="12">
        <f t="array" ref="AH83">INDEX(AG:AG,MIN(IF(ISNUMBER(AG83:AG279),ROW(AG83:AG279),"")))</f>
        <v>4.4000000000000004</v>
      </c>
      <c r="AI83" s="13">
        <f>IF('Données projet'!$A$62&gt;35,AI82+AH83-AQ82,IF(A83&lt;'Données projet'!$A$62,$AF$205^A83,IF(A83='Données projet'!$A$62,'Données projet'!$B$62,AI82+AH83-AQ82)))</f>
        <v>264.00000000000006</v>
      </c>
      <c r="AJ83" s="13">
        <f>AI83*VLOOKUP('Données projet'!$B$10,Paramètres!$A$1:$I$89,3,0)*VLOOKUP('Données projet'!$B$10,Paramètres!$A$1:$I$89,5,0)</f>
        <v>230.63040000000007</v>
      </c>
      <c r="AK83" s="13">
        <f t="shared" si="89"/>
        <v>56.418967028503253</v>
      </c>
      <c r="AL83" s="20">
        <f t="shared" si="58"/>
        <v>499.94431424130994</v>
      </c>
      <c r="AM83" s="59">
        <f t="shared" si="59"/>
        <v>758.91847059877955</v>
      </c>
      <c r="AN83" s="59">
        <f ca="1">AVERAGE(OFFSET($AM$3,0,0,'Données projet'!$E$10+1,1))-AVERAGE(OFFSET($H$3,0,0,'Données projet'!$E$10+1,1))</f>
        <v>436.77894860279537</v>
      </c>
      <c r="AO83" s="59">
        <f t="shared" si="90"/>
        <v>398.63561969573072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17</v>
      </c>
      <c r="AR83" s="16">
        <f>IF(ISNA(VLOOKUP(A83,'Données projet'!$A$61:$I$81,5,0)),0%,VLOOKUP(A83,'Données projet'!$A$61:$I$81,5,0)*VLOOKUP('Données projet'!$B$10,Paramètres!$A$1:$I$89,7,0))</f>
        <v>0.30099999999999999</v>
      </c>
      <c r="AS83" s="16">
        <f>IF(ISNA(VLOOKUP(A83,'Données projet'!$A$61:$I$81,6,0)),0%,VLOOKUP(A83,'Données projet'!$A$61:$I$81,6,0)*VLOOKUP('Données projet'!$B$10,Paramètres!$A$1:$I$89,7,0))</f>
        <v>4.3000000000000003E-2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44.431944075009817</v>
      </c>
      <c r="AV83" s="21">
        <f>EXP(-LN(2)/25)*AV82+(1-EXP(-LN(2)/25))/(LN(2)/25)*Calculateur!AQ83*Calculateur!AS83*VLOOKUP('Données projet'!$B$10,Paramètres!$A$1:$I$89,3,0)*0.475*44/12</f>
        <v>11.318870599770236</v>
      </c>
      <c r="AW83" s="21">
        <f>EXP(-LN(2)/2)*AW82+(1-EXP(-LN(2)/2))/(LN(2)/2)*AQ83*AT83*VLOOKUP('Données projet'!$B$10,Paramètres!$A$1:$I$89,3,0)*0.475*44/12</f>
        <v>4.7064068918421479E-8</v>
      </c>
      <c r="AX83" s="21">
        <f t="shared" si="60"/>
        <v>55.750814721844122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218.78999999999988</v>
      </c>
      <c r="BF83" s="13">
        <f t="shared" si="91"/>
        <v>53.851813843863468</v>
      </c>
      <c r="BG83" s="20">
        <f t="shared" si="61"/>
        <v>474.85115911139536</v>
      </c>
      <c r="BH83" s="59">
        <f t="shared" si="62"/>
        <v>733.82531546886491</v>
      </c>
      <c r="BI83" s="59">
        <f ca="1">AVERAGE(OFFSET($BH$3,0,0,'Données projet'!$E$11+1,1))-AVERAGE(OFFSET($H$3,0,0,'Données projet'!$E$11+1,1))</f>
        <v>344.97546176735341</v>
      </c>
      <c r="BJ83" s="59">
        <f t="shared" si="92"/>
        <v>331.15461126257492</v>
      </c>
      <c r="BK83" s="15" t="str">
        <f>IF(ISNA(VLOOKUP(A83,'Données projet'!$A$87:$I$107,3,0)),0,VLOOKUP(A83,'Données projet'!$A$87:$I$107,3,0))</f>
        <v>CR</v>
      </c>
      <c r="BL83" s="21">
        <f>IF(ISNA(VLOOKUP(A83,'Données projet'!$A$87:$I$107,4,0)),0,VLOOKUP(A83,'Données projet'!$A$87:$I$107,4,0))</f>
        <v>275</v>
      </c>
      <c r="BM83" s="16">
        <f>IF(ISNA(VLOOKUP(A83,'Données projet'!$A$87:$I$107,5,0)),0%,VLOOKUP(A83,'Données projet'!$A$87:$I$107,5,0)*VLOOKUP('Données projet'!$B$11,Paramètres!$A$1:$I$89,7,0))</f>
        <v>0.371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103.37953284935313</v>
      </c>
      <c r="BQ83" s="21">
        <f>EXP(-LN(2)/25)*BQ82+(1-EXP(-LN(2)/25))/(LN(2)/25)*Calculateur!BL83*Calculateur!BN83*VLOOKUP('Données projet'!$B$11,Paramètres!$A$1:$I$89,3,0)*0.475*44/12</f>
        <v>2.8354657183652043</v>
      </c>
      <c r="BR83" s="21">
        <f>EXP(-LN(2)/2)*BR82+(1-EXP(-LN(2)/2))/(LN(2)/2)*BL83*BO83*VLOOKUP('Données projet'!$B$11,Paramètres!$A$1:$I$89,3,0)*0.475*44/12</f>
        <v>41.613115890941678</v>
      </c>
      <c r="BS83" s="22">
        <f t="shared" si="63"/>
        <v>147.82811445866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733.82531546886491</v>
      </c>
      <c r="CD83" s="59">
        <f ca="1">AVERAGE(OFFSET($CC$3,0,0,'Données projet'!$E$12+1,1))-AVERAGE(OFFSET($H$3,0,0,'Données projet'!$E$12+1,1))</f>
        <v>344.97546176735341</v>
      </c>
      <c r="CE83" s="59">
        <f t="shared" si="94"/>
        <v>331.15461126257492</v>
      </c>
      <c r="CF83" s="15" t="str">
        <f>IF(ISNA(VLOOKUP(A83,'Données projet'!$A$113:$I$133,3,0)),0,VLOOKUP(A83,'Données projet'!$A$113:$I$133,3,0))</f>
        <v>CR</v>
      </c>
      <c r="CG83" s="15">
        <f>IF(ISNA(VLOOKUP(A83,'Données projet'!$A$113:$I$133,4,0)),0,VLOOKUP(A83,'Données projet'!$A$113:$I$133,4,0))</f>
        <v>275</v>
      </c>
      <c r="CH83" s="16">
        <f>IF(ISNA(VLOOKUP(A83,'Données projet'!$A$113:$I$133,5,0)),0%,VLOOKUP(A83,'Données projet'!$A$113:$I$133,5,0)*VLOOKUP('Données projet'!$B$12,Paramètres!$A$1:$I$89,7,0))</f>
        <v>0.371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0.2</v>
      </c>
      <c r="CK83" s="21">
        <f>EXP(-LN(2)/35)*CK82+(1-EXP(-LN(2)/35))/(LN(2)/35)*CG83*CH83*VLOOKUP('Données projet'!$B$12,Paramètres!$A$1:$I$89,3,0)*0.475*44/12</f>
        <v>103.37953284935313</v>
      </c>
      <c r="CL83" s="21">
        <f>EXP(-LN(2)/25)*CL82+(1-EXP(-LN(2)/25))/(LN(2)/25)*Calculateur!CG83*Calculateur!CI83*VLOOKUP('Données projet'!$B$12,Paramètres!$A$1:$I$89,3,0)*0.475*44/12</f>
        <v>2.8354657183652043</v>
      </c>
      <c r="CM83" s="21">
        <f>EXP(-LN(2)/2)*CM82+(1-EXP(-LN(2)/2))/(LN(2)/2)*CG83*CJ83*VLOOKUP('Données projet'!$B$12,Paramètres!$A$1:$I$89,3,0)*0.475*44/12</f>
        <v>41.613115890941678</v>
      </c>
      <c r="CN83" s="22">
        <f t="shared" si="66"/>
        <v>147.82811445866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227.19465047672969</v>
      </c>
      <c r="CZ83" s="59">
        <f t="shared" si="96"/>
        <v>529.77979244134417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36.593648401535646</v>
      </c>
      <c r="DG83" s="21">
        <f>EXP(-LN(2)/25)*DG82+(1-EXP(-LN(2)/25))/(LN(2)/25)*Calculateur!DB83*Calculateur!DD83*VLOOKUP('Données projet'!$B$13,Paramètres!$A$1:$I$89,3,0)*0.475*44/12</f>
        <v>7.9212293234166777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44.514877724952321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240.09151195692266</v>
      </c>
      <c r="DU83" s="59">
        <f t="shared" si="98"/>
        <v>559.47775134103165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38.985390127126173</v>
      </c>
      <c r="EB83" s="21">
        <f>EXP(-LN(2)/25)*EB82+(1-EXP(-LN(2)/25))/(LN(2)/25)*Calculateur!DW83*Calculateur!DY83*VLOOKUP('Données projet'!$B$14,Paramètres!$A$1:$I$89,3,0)*0.475*44/12</f>
        <v>8.4389567301759385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47.424346857302112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5.6843418860808015E-14</v>
      </c>
      <c r="EK83" s="17">
        <f>EJ83*VLOOKUP('Données projet'!$B$15,Paramètres!$A$1:$I$89,3,0)*VLOOKUP('Données projet'!$B$15,Paramètres!$A$1:$I$89,5,0)</f>
        <v>4.4337866711430253E-14</v>
      </c>
      <c r="EL83" s="13">
        <f t="shared" si="99"/>
        <v>7.3222115536967035E-13</v>
      </c>
      <c r="EM83" s="20">
        <f t="shared" si="73"/>
        <v>1.3525069634579169E-12</v>
      </c>
      <c r="EN83" s="59">
        <f t="shared" si="74"/>
        <v>258.97415635747092</v>
      </c>
      <c r="EO83" s="59">
        <f ca="1">AVERAGE(OFFSET($EN$3,0,0,'Données projet'!$E$15+1,1))-AVERAGE(OFFSET($H$3,0,0,'Données projet'!$E$15+1,1))</f>
        <v>328.79469965518484</v>
      </c>
      <c r="EP83" s="59">
        <f t="shared" si="100"/>
        <v>322.06400652269735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53.444335436346499</v>
      </c>
      <c r="EW83" s="21">
        <f>EXP(-LN(2)/25)*EW82+(1-EXP(-LN(2)/25))/(LN(2)/25)*Calculateur!ER83*Calculateur!ET83*VLOOKUP('Données projet'!$B$15,Paramètres!$A$1:$I$89,3,0)*0.475*44/12</f>
        <v>7.0122562776448039</v>
      </c>
      <c r="EX83" s="21">
        <f>EXP(-LN(2)/2)*EX82+(1-EXP(-LN(2)/2))/(LN(2)/2)*ER83*EU83*VLOOKUP('Données projet'!$B$15,Paramètres!$A$1:$I$89,3,0)*0.475*44/12</f>
        <v>1.611046329429388</v>
      </c>
      <c r="EY83" s="22">
        <f t="shared" si="75"/>
        <v>62.067638043420686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424</v>
      </c>
      <c r="FC83" s="12">
        <f>VLOOKUP(A83,'Données projet'!$A$217:$I$237,9,0)</f>
        <v>10.4</v>
      </c>
      <c r="FD83" s="12">
        <f t="array" ref="FD83">INDEX(FC:FC,MIN(IF(ISNUMBER(FC83:FC279),ROW(FC83:FC279),"")))</f>
        <v>10.4</v>
      </c>
      <c r="FE83" s="12">
        <f>IF('Données projet'!$A$218&gt;35,FE82+FD83-FM82,IF(A83&lt;'Données projet'!$A$218,$FB$205^A83,IF(A83='Données projet'!$A$218,'Données projet'!$B$218,FE82+FD83-FM82)))</f>
        <v>423.99999999999989</v>
      </c>
      <c r="FF83" s="17">
        <f>FE83*VLOOKUP('Données projet'!$B$16,Paramètres!$A$1:$I$89,3,0)*VLOOKUP('Données projet'!$B$16,Paramètres!$A$1:$I$89,5,0)</f>
        <v>310.87679999999995</v>
      </c>
      <c r="FG83" s="13">
        <f t="shared" si="101"/>
        <v>73.451910798811909</v>
      </c>
      <c r="FH83" s="20">
        <f t="shared" si="76"/>
        <v>669.37250464126396</v>
      </c>
      <c r="FI83" s="59">
        <f t="shared" si="77"/>
        <v>928.34666099873357</v>
      </c>
      <c r="FJ83" s="59">
        <f ca="1">AVERAGE(OFFSET($FI$3,0,0,'Données projet'!$E$16+1,1))-AVERAGE(OFFSET($H$3,0,0,'Données projet'!$E$16+1,1))</f>
        <v>525.22234644068908</v>
      </c>
      <c r="FK83" s="59">
        <f t="shared" si="102"/>
        <v>311.5550296132094</v>
      </c>
      <c r="FL83" s="15">
        <f>IF(ISNA(VLOOKUP(A83,'Données projet'!$A$217:$I$237,3,0)),0,VLOOKUP(A83,'Données projet'!$A$217:$I$237,3,0))</f>
        <v>13</v>
      </c>
      <c r="FM83" s="15">
        <f>IF(ISNA(VLOOKUP(A83,'Données projet'!$A$217:$I$237,4,0)),0,VLOOKUP(A83,'Données projet'!$A$217:$I$237,4,0))</f>
        <v>34</v>
      </c>
      <c r="FN83" s="16">
        <f>IF(ISNA(VLOOKUP(A83,'Données projet'!$A$217:$I$237,5,0)),0%,VLOOKUP(A83,'Données projet'!$A$217:$I$237,5,0)*VLOOKUP('Données projet'!$B$16,Paramètres!$A$1:$I$89,7,0))</f>
        <v>4.3000000000000003E-2</v>
      </c>
      <c r="FO83" s="16">
        <f>IF(ISNA(VLOOKUP(A83,'Données projet'!$A$217:$I$237,6,0)),0%,VLOOKUP(A83,'Données projet'!$A$217:$I$237,6,0)*VLOOKUP('Données projet'!$B$16,Paramètres!$A$1:$I$89,7,0))</f>
        <v>0.215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2.2898422359252004</v>
      </c>
      <c r="FR83" s="21">
        <f>EXP(-LN(2)/25)*FR82+(1-EXP(-LN(2)/25))/(LN(2)/25)*Calculateur!FM83*Calculateur!FO83*VLOOKUP('Données projet'!$B$16,Paramètres!$A$1:$I$89,3,0)*0.475*44/12</f>
        <v>28.97408232947588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31.26392456540108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275</v>
      </c>
      <c r="FX83" s="12">
        <f>VLOOKUP(A83,'Données projet'!$A$243:$I$263,9,0)</f>
        <v>2.8</v>
      </c>
      <c r="FY83" s="12">
        <f t="array" ref="FY83">INDEX(FX:FX,MIN(IF(ISNUMBER(FX83:FX279),ROW(FX83:FX279),"")))</f>
        <v>2.8</v>
      </c>
      <c r="FZ83" s="12">
        <f>IF('Données projet'!$A$244&gt;35,FZ82+FY83-GH82,IF(A83&lt;'Données projet'!$A$244,$FW$205^A83,IF(A83='Données projet'!$A$244,'Données projet'!$B$244,FZ82+FY83-GH82)))</f>
        <v>274.99999999999983</v>
      </c>
      <c r="GA83" s="17">
        <f>FZ83*VLOOKUP('Données projet'!$B$17,Paramètres!$A$1:$I$89,3,0)*VLOOKUP('Données projet'!$B$17,Paramètres!$A$1:$I$89,5,0)</f>
        <v>180.17999999999989</v>
      </c>
      <c r="GB83" s="13">
        <f t="shared" si="103"/>
        <v>45.362230520410648</v>
      </c>
      <c r="GC83" s="20">
        <f t="shared" si="79"/>
        <v>392.81938482304832</v>
      </c>
      <c r="GD83" s="59">
        <f t="shared" si="80"/>
        <v>651.79354118051788</v>
      </c>
      <c r="GE83" s="59">
        <f ca="1">AVERAGE(OFFSET($GD$3,0,0,'Données projet'!$E$17+1,1))-AVERAGE(OFFSET($H$3,0,0,'Données projet'!$E$17+1,1))</f>
        <v>298.45881427802874</v>
      </c>
      <c r="GF83" s="59">
        <f t="shared" si="104"/>
        <v>287.00279305562356</v>
      </c>
      <c r="GG83" s="15" t="str">
        <f>IF(ISNA(VLOOKUP(A83,'Données projet'!$A$243:$I$263,3,0)),0,VLOOKUP(A83,'Données projet'!$A$243:$I$263,3,0))</f>
        <v>CR</v>
      </c>
      <c r="GH83" s="15">
        <f>IF(ISNA(VLOOKUP(A83,'Données projet'!$A$243:$I$263,4,0)),0,VLOOKUP(A83,'Données projet'!$A$243:$I$263,4,0))</f>
        <v>275</v>
      </c>
      <c r="GI83" s="16">
        <f>IF(ISNA(VLOOKUP(A83,'Données projet'!$A$243:$I$263,5,0)),0%,VLOOKUP(A83,'Données projet'!$A$243:$I$263,5,0)*VLOOKUP('Données projet'!$B$17,Paramètres!$A$1:$I$89,7,0))</f>
        <v>0.30099999999999999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0.2</v>
      </c>
      <c r="GL83" s="21">
        <f>EXP(-LN(2)/35)*GL82+(1-EXP(-LN(2)/35))/(LN(2)/35)*GH83*GI83*VLOOKUP('Données projet'!$B$17,Paramètres!$A$1:$I$89,3,0)*0.475*44/12</f>
        <v>69.072673446515637</v>
      </c>
      <c r="GM83" s="21">
        <f>EXP(-LN(2)/25)*GM82+(1-EXP(-LN(2)/25))/(LN(2)/25)*Calculateur!GH83*Calculateur!GJ83*VLOOKUP('Données projet'!$B$17,Paramètres!$A$1:$I$89,3,0)*0.475*44/12</f>
        <v>1.8945065066102698</v>
      </c>
      <c r="GN83" s="21">
        <f>EXP(-LN(2)/2)*GN82+(1-EXP(-LN(2)/2))/(LN(2)/2)*GH83*GK83*VLOOKUP('Données projet'!$B$17,Paramètres!$A$1:$I$89,3,0)*0.475*44/12</f>
        <v>34.26962485136373</v>
      </c>
      <c r="GO83" s="21">
        <f t="shared" si="81"/>
        <v>105.23680480448964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135.66666666666666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7.7777777777777777</v>
      </c>
      <c r="N84" s="13">
        <f>IF('Données projet'!$A$36&gt;35,N83+M84-V83,IF(A84&lt;'Données projet'!$A$36,$K$205^A84,IF(A84='Données projet'!$A$36,'Données projet'!$B$36,N83+M84-V83)))</f>
        <v>270.3333333333332</v>
      </c>
      <c r="O84" s="13">
        <f>N84*VLOOKUP('Données projet'!$B$9,Paramètres!$A$1:$I$89,3,0)*VLOOKUP('Données projet'!$B$9,Paramètres!$A$1:$I$89,5,0)</f>
        <v>244.59759999999986</v>
      </c>
      <c r="P84" s="13">
        <f t="shared" si="87"/>
        <v>59.427631429904153</v>
      </c>
      <c r="Q84" s="20">
        <f t="shared" si="54"/>
        <v>529.51061140708282</v>
      </c>
      <c r="R84" s="59">
        <f t="shared" si="55"/>
        <v>789.08082266947167</v>
      </c>
      <c r="S84" s="59">
        <f ca="1">AVERAGE(OFFSET($R$3,0,0,'Données projet'!$E$9+1,1))-AVERAGE(OFFSET($H$3,0,0,'Données projet'!$E$9+1,1))</f>
        <v>600.52384738314299</v>
      </c>
      <c r="T84" s="59">
        <f t="shared" si="88"/>
        <v>314.84650287986256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1.9859196217918313</v>
      </c>
      <c r="AA84" s="21">
        <f>EXP(-LN(2)/25)*AA83+(1-EXP(-LN(2)/25))/(LN(2)/25)*Calculateur!V84*Calculateur!X84*VLOOKUP('Données projet'!$B$9,Paramètres!$A$1:$I$89,3,0)*0.475*44/12</f>
        <v>33.523907575778672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35.509827197570502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</v>
      </c>
      <c r="AI84" s="13">
        <f>IF('Données projet'!$A$62&gt;35,AI83+AH84-AQ83,IF(A84&lt;'Données projet'!$A$62,$AF$205^A84,IF(A84='Données projet'!$A$62,'Données projet'!$B$62,AI83+AH84-AQ83)))</f>
        <v>251.00000000000006</v>
      </c>
      <c r="AJ84" s="13">
        <f>AI84*VLOOKUP('Données projet'!$B$10,Paramètres!$A$1:$I$89,3,0)*VLOOKUP('Données projet'!$B$10,Paramètres!$A$1:$I$89,5,0)</f>
        <v>219.2736000000001</v>
      </c>
      <c r="AK84" s="13">
        <f t="shared" si="89"/>
        <v>53.956975893220125</v>
      </c>
      <c r="AL84" s="20">
        <f t="shared" si="58"/>
        <v>475.87658634735857</v>
      </c>
      <c r="AM84" s="59">
        <f t="shared" si="59"/>
        <v>735.44679760974736</v>
      </c>
      <c r="AN84" s="59">
        <f ca="1">AVERAGE(OFFSET($AM$3,0,0,'Données projet'!$E$10+1,1))-AVERAGE(OFFSET($H$3,0,0,'Données projet'!$E$10+1,1))</f>
        <v>436.77894860279537</v>
      </c>
      <c r="AO84" s="59">
        <f t="shared" si="90"/>
        <v>398.63561969573072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43.560660752508774</v>
      </c>
      <c r="AV84" s="21">
        <f>EXP(-LN(2)/25)*AV83+(1-EXP(-LN(2)/25))/(LN(2)/25)*Calculateur!AQ84*Calculateur!AS84*VLOOKUP('Données projet'!$B$10,Paramètres!$A$1:$I$89,3,0)*0.475*44/12</f>
        <v>11.009355487985983</v>
      </c>
      <c r="AW84" s="21">
        <f>EXP(-LN(2)/2)*AW83+(1-EXP(-LN(2)/2))/(LN(2)/2)*AQ84*AT84*VLOOKUP('Données projet'!$B$10,Paramètres!$A$1:$I$89,3,0)*0.475*44/12</f>
        <v>3.3279322282446848E-8</v>
      </c>
      <c r="AX84" s="21">
        <f t="shared" si="60"/>
        <v>54.57001627377408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-1.3567387213697657E-13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344.97546176735341</v>
      </c>
      <c r="BJ84" s="59">
        <f t="shared" si="92"/>
        <v>331.15461126257492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101.35232326546615</v>
      </c>
      <c r="BQ84" s="21">
        <f>EXP(-LN(2)/25)*BQ83+(1-EXP(-LN(2)/25))/(LN(2)/25)*Calculateur!BL84*Calculateur!BN84*VLOOKUP('Données projet'!$B$11,Paramètres!$A$1:$I$89,3,0)*0.475*44/12</f>
        <v>2.757929759185846</v>
      </c>
      <c r="BR84" s="21">
        <f>EXP(-LN(2)/2)*BR83+(1-EXP(-LN(2)/2))/(LN(2)/2)*BL84*BO84*VLOOKUP('Données projet'!$B$11,Paramètres!$A$1:$I$89,3,0)*0.475*44/12</f>
        <v>29.424916432786542</v>
      </c>
      <c r="BS84" s="22">
        <f t="shared" si="63"/>
        <v>133.53516945743854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-1.7053025658242404E-13</v>
      </c>
      <c r="BZ84" s="13">
        <f>BY84*VLOOKUP('Données projet'!$B$12,Paramètres!$A$1:$I$89,3,0)*VLOOKUP('Données projet'!$B$12,Paramètres!$A$1:$I$89,5,0)</f>
        <v>-1.3567387213697657E-13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344.97546176735341</v>
      </c>
      <c r="CE84" s="59">
        <f t="shared" si="94"/>
        <v>331.15461126257492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101.35232326546615</v>
      </c>
      <c r="CL84" s="21">
        <f>EXP(-LN(2)/25)*CL83+(1-EXP(-LN(2)/25))/(LN(2)/25)*Calculateur!CG84*Calculateur!CI84*VLOOKUP('Données projet'!$B$12,Paramètres!$A$1:$I$89,3,0)*0.475*44/12</f>
        <v>2.757929759185846</v>
      </c>
      <c r="CM84" s="21">
        <f>EXP(-LN(2)/2)*CM83+(1-EXP(-LN(2)/2))/(LN(2)/2)*CG84*CJ84*VLOOKUP('Données projet'!$B$12,Paramètres!$A$1:$I$89,3,0)*0.475*44/12</f>
        <v>29.424916432786542</v>
      </c>
      <c r="CN84" s="22">
        <f t="shared" si="66"/>
        <v>133.53516945743854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227.19465047672969</v>
      </c>
      <c r="CZ84" s="59">
        <f t="shared" si="96"/>
        <v>529.77979244134417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35.876069276303149</v>
      </c>
      <c r="DG84" s="21">
        <f>EXP(-LN(2)/25)*DG83+(1-EXP(-LN(2)/25))/(LN(2)/25)*Calculateur!DB84*Calculateur!DD84*VLOOKUP('Données projet'!$B$13,Paramètres!$A$1:$I$89,3,0)*0.475*44/12</f>
        <v>7.7046228910085031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43.580692167311653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240.09151195692266</v>
      </c>
      <c r="DU84" s="59">
        <f t="shared" si="98"/>
        <v>559.47775134103165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38.220910405473248</v>
      </c>
      <c r="EB84" s="21">
        <f>EXP(-LN(2)/25)*EB83+(1-EXP(-LN(2)/25))/(LN(2)/25)*Calculateur!DW84*Calculateur!DY84*VLOOKUP('Données projet'!$B$14,Paramètres!$A$1:$I$89,3,0)*0.475*44/12</f>
        <v>8.2081930146038307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46.429103420077077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5.6843418860808015E-14</v>
      </c>
      <c r="EK84" s="17">
        <f>EJ84*VLOOKUP('Données projet'!$B$15,Paramètres!$A$1:$I$89,3,0)*VLOOKUP('Données projet'!$B$15,Paramètres!$A$1:$I$89,5,0)</f>
        <v>4.4337866711430253E-14</v>
      </c>
      <c r="EL84" s="13">
        <f t="shared" si="99"/>
        <v>7.3222115536967035E-13</v>
      </c>
      <c r="EM84" s="20">
        <f t="shared" si="73"/>
        <v>1.3525069634579169E-12</v>
      </c>
      <c r="EN84" s="59">
        <f t="shared" si="74"/>
        <v>259.57021126239016</v>
      </c>
      <c r="EO84" s="59">
        <f ca="1">AVERAGE(OFFSET($EN$3,0,0,'Données projet'!$E$15+1,1))-AVERAGE(OFFSET($H$3,0,0,'Données projet'!$E$15+1,1))</f>
        <v>328.79469965518484</v>
      </c>
      <c r="EP84" s="59">
        <f t="shared" si="100"/>
        <v>322.06400652269735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52.396324616265595</v>
      </c>
      <c r="EW84" s="21">
        <f>EXP(-LN(2)/25)*EW83+(1-EXP(-LN(2)/25))/(LN(2)/25)*Calculateur!ER84*Calculateur!ET84*VLOOKUP('Données projet'!$B$15,Paramètres!$A$1:$I$89,3,0)*0.475*44/12</f>
        <v>6.8205057609740756</v>
      </c>
      <c r="EX84" s="21">
        <f>EXP(-LN(2)/2)*EX83+(1-EXP(-LN(2)/2))/(LN(2)/2)*ER84*EU84*VLOOKUP('Données projet'!$B$15,Paramètres!$A$1:$I$89,3,0)*0.475*44/12</f>
        <v>1.1391817843452168</v>
      </c>
      <c r="EY84" s="22">
        <f t="shared" si="75"/>
        <v>60.356012161584893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9.6</v>
      </c>
      <c r="FE84" s="12">
        <f>IF('Données projet'!$A$218&gt;35,FE83+FD84-FM83,IF(A84&lt;'Données projet'!$A$218,$FB$205^A84,IF(A84='Données projet'!$A$218,'Données projet'!$B$218,FE83+FD84-FM83)))</f>
        <v>399.59999999999991</v>
      </c>
      <c r="FF84" s="17">
        <f>FE84*VLOOKUP('Données projet'!$B$16,Paramètres!$A$1:$I$89,3,0)*VLOOKUP('Données projet'!$B$16,Paramètres!$A$1:$I$89,5,0)</f>
        <v>292.98671999999993</v>
      </c>
      <c r="FG84" s="13">
        <f t="shared" si="101"/>
        <v>69.704192592377339</v>
      </c>
      <c r="FH84" s="20">
        <f t="shared" si="76"/>
        <v>631.6866727650571</v>
      </c>
      <c r="FI84" s="59">
        <f t="shared" si="77"/>
        <v>891.25688402744595</v>
      </c>
      <c r="FJ84" s="59">
        <f ca="1">AVERAGE(OFFSET($FI$3,0,0,'Données projet'!$E$16+1,1))-AVERAGE(OFFSET($H$3,0,0,'Données projet'!$E$16+1,1))</f>
        <v>525.22234644068908</v>
      </c>
      <c r="FK84" s="59">
        <f t="shared" si="102"/>
        <v>311.5550296132094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2.2449398263445617</v>
      </c>
      <c r="FR84" s="21">
        <f>EXP(-LN(2)/25)*FR83+(1-EXP(-LN(2)/25))/(LN(2)/25)*Calculateur!FM84*Calculateur!FO84*VLOOKUP('Données projet'!$B$16,Paramètres!$A$1:$I$89,3,0)*0.475*44/12</f>
        <v>28.181784524495594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30.426724350840157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-1.7053025658242404E-13</v>
      </c>
      <c r="GA84" s="17">
        <f>FZ84*VLOOKUP('Données projet'!$B$17,Paramètres!$A$1:$I$89,3,0)*VLOOKUP('Données projet'!$B$17,Paramètres!$A$1:$I$89,5,0)</f>
        <v>-1.1173142411280423E-13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298.45881427802874</v>
      </c>
      <c r="GF84" s="59">
        <f t="shared" si="104"/>
        <v>287.00279305562356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67.718200450400261</v>
      </c>
      <c r="GM84" s="21">
        <f>EXP(-LN(2)/25)*GM83+(1-EXP(-LN(2)/25))/(LN(2)/25)*Calculateur!GH84*Calculateur!GJ84*VLOOKUP('Données projet'!$B$17,Paramètres!$A$1:$I$89,3,0)*0.475*44/12</f>
        <v>1.8427011265592448</v>
      </c>
      <c r="GN84" s="21">
        <f>EXP(-LN(2)/2)*GN83+(1-EXP(-LN(2)/2))/(LN(2)/2)*GH84*GK84*VLOOKUP('Données projet'!$B$17,Paramètres!$A$1:$I$89,3,0)*0.475*44/12</f>
        <v>24.232284121118326</v>
      </c>
      <c r="GO84" s="21">
        <f t="shared" si="81"/>
        <v>93.793185698077835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135.66666666666666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7.7777777777777777</v>
      </c>
      <c r="N85" s="13">
        <f>IF('Données projet'!$A$36&gt;35,N84+M85-V84,IF(A85&lt;'Données projet'!$A$36,$K$205^A85,IF(A85='Données projet'!$A$36,'Données projet'!$B$36,N84+M85-V84)))</f>
        <v>278.11111111111097</v>
      </c>
      <c r="O85" s="13">
        <f>N85*VLOOKUP('Données projet'!$B$9,Paramètres!$A$1:$I$89,3,0)*VLOOKUP('Données projet'!$B$9,Paramètres!$A$1:$I$89,5,0)</f>
        <v>251.63493333333321</v>
      </c>
      <c r="P85" s="13">
        <f t="shared" si="87"/>
        <v>60.935904290989214</v>
      </c>
      <c r="Q85" s="20">
        <f t="shared" si="54"/>
        <v>544.39420886236155</v>
      </c>
      <c r="R85" s="59">
        <f t="shared" si="55"/>
        <v>804.55013480964851</v>
      </c>
      <c r="S85" s="59">
        <f ca="1">AVERAGE(OFFSET($R$3,0,0,'Données projet'!$E$9+1,1))-AVERAGE(OFFSET($H$3,0,0,'Données projet'!$E$9+1,1))</f>
        <v>600.52384738314299</v>
      </c>
      <c r="T85" s="59">
        <f t="shared" si="88"/>
        <v>314.84650287986256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1.9469769492998577</v>
      </c>
      <c r="AA85" s="21">
        <f>EXP(-LN(2)/25)*AA84+(1-EXP(-LN(2)/25))/(LN(2)/25)*Calculateur!V85*Calculateur!X85*VLOOKUP('Données projet'!$B$9,Paramètres!$A$1:$I$89,3,0)*0.475*44/12</f>
        <v>32.607194560173326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34.554171509473186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</v>
      </c>
      <c r="AI85" s="13">
        <f>IF('Données projet'!$A$62&gt;35,AI84+AH85-AQ84,IF(A85&lt;'Données projet'!$A$62,$AF$205^A85,IF(A85='Données projet'!$A$62,'Données projet'!$B$62,AI84+AH85-AQ84)))</f>
        <v>255.00000000000006</v>
      </c>
      <c r="AJ85" s="13">
        <f>AI85*VLOOKUP('Données projet'!$B$10,Paramètres!$A$1:$I$89,3,0)*VLOOKUP('Données projet'!$B$10,Paramètres!$A$1:$I$89,5,0)</f>
        <v>222.76800000000006</v>
      </c>
      <c r="AK85" s="13">
        <f t="shared" si="89"/>
        <v>54.716058356609508</v>
      </c>
      <c r="AL85" s="20">
        <f t="shared" si="58"/>
        <v>483.28473497109502</v>
      </c>
      <c r="AM85" s="59">
        <f t="shared" si="59"/>
        <v>743.44066091838204</v>
      </c>
      <c r="AN85" s="59">
        <f ca="1">AVERAGE(OFFSET($AM$3,0,0,'Données projet'!$E$10+1,1))-AVERAGE(OFFSET($H$3,0,0,'Données projet'!$E$10+1,1))</f>
        <v>436.77894860279537</v>
      </c>
      <c r="AO85" s="59">
        <f t="shared" si="90"/>
        <v>398.63561969573072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42.706462764531629</v>
      </c>
      <c r="AV85" s="21">
        <f>EXP(-LN(2)/25)*AV84+(1-EXP(-LN(2)/25))/(LN(2)/25)*Calculateur!AQ85*Calculateur!AS85*VLOOKUP('Données projet'!$B$10,Paramètres!$A$1:$I$89,3,0)*0.475*44/12</f>
        <v>10.708304083210164</v>
      </c>
      <c r="AW85" s="21">
        <f>EXP(-LN(2)/2)*AW84+(1-EXP(-LN(2)/2))/(LN(2)/2)*AQ85*AT85*VLOOKUP('Données projet'!$B$10,Paramètres!$A$1:$I$89,3,0)*0.475*44/12</f>
        <v>2.3532034459210739E-8</v>
      </c>
      <c r="AX85" s="21">
        <f t="shared" si="60"/>
        <v>53.414766871273827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-1.3567387213697657E-13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344.97546176735341</v>
      </c>
      <c r="BJ85" s="59">
        <f t="shared" si="92"/>
        <v>331.15461126257492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99.364866025043455</v>
      </c>
      <c r="BQ85" s="21">
        <f>EXP(-LN(2)/25)*BQ84+(1-EXP(-LN(2)/25))/(LN(2)/25)*Calculateur!BL85*Calculateur!BN85*VLOOKUP('Données projet'!$B$11,Paramètres!$A$1:$I$89,3,0)*0.475*44/12</f>
        <v>2.6825140248876864</v>
      </c>
      <c r="BR85" s="21">
        <f>EXP(-LN(2)/2)*BR84+(1-EXP(-LN(2)/2))/(LN(2)/2)*BL85*BO85*VLOOKUP('Données projet'!$B$11,Paramètres!$A$1:$I$89,3,0)*0.475*44/12</f>
        <v>20.806557945470843</v>
      </c>
      <c r="BS85" s="22">
        <f t="shared" si="63"/>
        <v>122.85393799540198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-1.7053025658242404E-13</v>
      </c>
      <c r="BZ85" s="13">
        <f>BY85*VLOOKUP('Données projet'!$B$12,Paramètres!$A$1:$I$89,3,0)*VLOOKUP('Données projet'!$B$12,Paramètres!$A$1:$I$89,5,0)</f>
        <v>-1.3567387213697657E-13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344.97546176735341</v>
      </c>
      <c r="CE85" s="59">
        <f t="shared" si="94"/>
        <v>331.15461126257492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99.364866025043455</v>
      </c>
      <c r="CL85" s="21">
        <f>EXP(-LN(2)/25)*CL84+(1-EXP(-LN(2)/25))/(LN(2)/25)*Calculateur!CG85*Calculateur!CI85*VLOOKUP('Données projet'!$B$12,Paramètres!$A$1:$I$89,3,0)*0.475*44/12</f>
        <v>2.6825140248876864</v>
      </c>
      <c r="CM85" s="21">
        <f>EXP(-LN(2)/2)*CM84+(1-EXP(-LN(2)/2))/(LN(2)/2)*CG85*CJ85*VLOOKUP('Données projet'!$B$12,Paramètres!$A$1:$I$89,3,0)*0.475*44/12</f>
        <v>20.806557945470843</v>
      </c>
      <c r="CN85" s="22">
        <f t="shared" si="66"/>
        <v>122.85393799540198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227.19465047672969</v>
      </c>
      <c r="CZ85" s="59">
        <f t="shared" si="96"/>
        <v>529.77979244134417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35.172561440036411</v>
      </c>
      <c r="DG85" s="21">
        <f>EXP(-LN(2)/25)*DG84+(1-EXP(-LN(2)/25))/(LN(2)/25)*Calculateur!DB85*Calculateur!DD85*VLOOKUP('Données projet'!$B$13,Paramètres!$A$1:$I$89,3,0)*0.475*44/12</f>
        <v>7.4939395728853668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42.666501012921778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240.09151195692266</v>
      </c>
      <c r="DU85" s="59">
        <f t="shared" si="98"/>
        <v>559.47775134103165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37.471421664875351</v>
      </c>
      <c r="EB85" s="21">
        <f>EXP(-LN(2)/25)*EB84+(1-EXP(-LN(2)/25))/(LN(2)/25)*Calculateur!DW85*Calculateur!DY85*VLOOKUP('Données projet'!$B$14,Paramètres!$A$1:$I$89,3,0)*0.475*44/12</f>
        <v>7.983739544969378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45.455161209844732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5.6843418860808015E-14</v>
      </c>
      <c r="EK85" s="17">
        <f>EJ85*VLOOKUP('Données projet'!$B$15,Paramètres!$A$1:$I$89,3,0)*VLOOKUP('Données projet'!$B$15,Paramètres!$A$1:$I$89,5,0)</f>
        <v>4.4337866711430253E-14</v>
      </c>
      <c r="EL85" s="13">
        <f t="shared" si="99"/>
        <v>7.3222115536967035E-13</v>
      </c>
      <c r="EM85" s="20">
        <f t="shared" si="73"/>
        <v>1.3525069634579169E-12</v>
      </c>
      <c r="EN85" s="59">
        <f t="shared" si="74"/>
        <v>260.15592594728832</v>
      </c>
      <c r="EO85" s="59">
        <f ca="1">AVERAGE(OFFSET($EN$3,0,0,'Données projet'!$E$15+1,1))-AVERAGE(OFFSET($H$3,0,0,'Données projet'!$E$15+1,1))</f>
        <v>328.79469965518484</v>
      </c>
      <c r="EP85" s="59">
        <f t="shared" si="100"/>
        <v>322.06400652269735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51.368864649142992</v>
      </c>
      <c r="EW85" s="21">
        <f>EXP(-LN(2)/25)*EW84+(1-EXP(-LN(2)/25))/(LN(2)/25)*Calculateur!ER85*Calculateur!ET85*VLOOKUP('Données projet'!$B$15,Paramètres!$A$1:$I$89,3,0)*0.475*44/12</f>
        <v>6.6339986722654301</v>
      </c>
      <c r="EX85" s="21">
        <f>EXP(-LN(2)/2)*EX84+(1-EXP(-LN(2)/2))/(LN(2)/2)*ER85*EU85*VLOOKUP('Données projet'!$B$15,Paramètres!$A$1:$I$89,3,0)*0.475*44/12</f>
        <v>0.80552316471469398</v>
      </c>
      <c r="EY85" s="22">
        <f t="shared" si="75"/>
        <v>58.808386486123112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9.6</v>
      </c>
      <c r="FE85" s="12">
        <f>IF('Données projet'!$A$218&gt;35,FE84+FD85-FM84,IF(A85&lt;'Données projet'!$A$218,$FB$205^A85,IF(A85='Données projet'!$A$218,'Données projet'!$B$218,FE84+FD85-FM84)))</f>
        <v>409.19999999999993</v>
      </c>
      <c r="FF85" s="17">
        <f>FE85*VLOOKUP('Données projet'!$B$16,Paramètres!$A$1:$I$89,3,0)*VLOOKUP('Données projet'!$B$16,Paramètres!$A$1:$I$89,5,0)</f>
        <v>300.02543999999995</v>
      </c>
      <c r="FG85" s="13">
        <f t="shared" si="101"/>
        <v>71.181796650529009</v>
      </c>
      <c r="FH85" s="20">
        <f t="shared" si="76"/>
        <v>646.51927049967128</v>
      </c>
      <c r="FI85" s="59">
        <f t="shared" si="77"/>
        <v>906.67519644695824</v>
      </c>
      <c r="FJ85" s="59">
        <f ca="1">AVERAGE(OFFSET($FI$3,0,0,'Données projet'!$E$16+1,1))-AVERAGE(OFFSET($H$3,0,0,'Données projet'!$E$16+1,1))</f>
        <v>525.22234644068908</v>
      </c>
      <c r="FK85" s="59">
        <f t="shared" si="102"/>
        <v>311.5550296132094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2.2009179256280338</v>
      </c>
      <c r="FR85" s="21">
        <f>EXP(-LN(2)/25)*FR84+(1-EXP(-LN(2)/25))/(LN(2)/25)*Calculateur!FM85*Calculateur!FO85*VLOOKUP('Données projet'!$B$16,Paramètres!$A$1:$I$89,3,0)*0.475*44/12</f>
        <v>27.411152144657624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29.612070070285657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-1.7053025658242404E-13</v>
      </c>
      <c r="GA85" s="17">
        <f>FZ85*VLOOKUP('Données projet'!$B$17,Paramètres!$A$1:$I$89,3,0)*VLOOKUP('Données projet'!$B$17,Paramètres!$A$1:$I$89,5,0)</f>
        <v>-1.1173142411280423E-13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298.45881427802874</v>
      </c>
      <c r="GF85" s="59">
        <f t="shared" si="104"/>
        <v>287.00279305562356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66.39028784359175</v>
      </c>
      <c r="GM85" s="21">
        <f>EXP(-LN(2)/25)*GM84+(1-EXP(-LN(2)/25))/(LN(2)/25)*Calculateur!GH85*Calculateur!GJ85*VLOOKUP('Données projet'!$B$17,Paramètres!$A$1:$I$89,3,0)*0.475*44/12</f>
        <v>1.7923123673500416</v>
      </c>
      <c r="GN85" s="21">
        <f>EXP(-LN(2)/2)*GN84+(1-EXP(-LN(2)/2))/(LN(2)/2)*GH85*GK85*VLOOKUP('Données projet'!$B$17,Paramètres!$A$1:$I$89,3,0)*0.475*44/12</f>
        <v>17.134812425681869</v>
      </c>
      <c r="GO85" s="21">
        <f t="shared" si="81"/>
        <v>85.317412636623658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135.66666666666666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7.7777777777777777</v>
      </c>
      <c r="N86" s="13">
        <f>IF('Données projet'!$A$36&gt;35,N85+M86-V85,IF(A86&lt;'Données projet'!$A$36,$K$205^A86,IF(A86='Données projet'!$A$36,'Données projet'!$B$36,N85+M86-V85)))</f>
        <v>285.88888888888874</v>
      </c>
      <c r="O86" s="13">
        <f>N86*VLOOKUP('Données projet'!$B$9,Paramètres!$A$1:$I$89,3,0)*VLOOKUP('Données projet'!$B$9,Paramètres!$A$1:$I$89,5,0)</f>
        <v>258.67226666666653</v>
      </c>
      <c r="P86" s="13">
        <f t="shared" si="87"/>
        <v>62.439274588593669</v>
      </c>
      <c r="Q86" s="20">
        <f t="shared" si="54"/>
        <v>559.2692676862448</v>
      </c>
      <c r="R86" s="59">
        <f t="shared" si="55"/>
        <v>820.00074747810868</v>
      </c>
      <c r="S86" s="59">
        <f ca="1">AVERAGE(OFFSET($R$3,0,0,'Données projet'!$E$9+1,1))-AVERAGE(OFFSET($H$3,0,0,'Données projet'!$E$9+1,1))</f>
        <v>600.52384738314299</v>
      </c>
      <c r="T86" s="59">
        <f t="shared" si="88"/>
        <v>314.84650287986256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1.9087979188627668</v>
      </c>
      <c r="AA86" s="21">
        <f>EXP(-LN(2)/25)*AA85+(1-EXP(-LN(2)/25))/(LN(2)/25)*Calculateur!V86*Calculateur!X86*VLOOKUP('Données projet'!$B$9,Paramètres!$A$1:$I$89,3,0)*0.475*44/12</f>
        <v>31.715549110187549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33.624347029050313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</v>
      </c>
      <c r="AI86" s="13">
        <f>IF('Données projet'!$A$62&gt;35,AI85+AH86-AQ85,IF(A86&lt;'Données projet'!$A$62,$AF$205^A86,IF(A86='Données projet'!$A$62,'Données projet'!$B$62,AI85+AH86-AQ85)))</f>
        <v>259.00000000000006</v>
      </c>
      <c r="AJ86" s="13">
        <f>AI86*VLOOKUP('Données projet'!$B$10,Paramètres!$A$1:$I$89,3,0)*VLOOKUP('Données projet'!$B$10,Paramètres!$A$1:$I$89,5,0)</f>
        <v>226.26240000000007</v>
      </c>
      <c r="AK86" s="13">
        <f t="shared" si="89"/>
        <v>55.473756029242935</v>
      </c>
      <c r="AL86" s="20">
        <f t="shared" si="58"/>
        <v>490.69047175093164</v>
      </c>
      <c r="AM86" s="59">
        <f t="shared" si="59"/>
        <v>751.42195154279557</v>
      </c>
      <c r="AN86" s="59">
        <f ca="1">AVERAGE(OFFSET($AM$3,0,0,'Données projet'!$E$10+1,1))-AVERAGE(OFFSET($H$3,0,0,'Données projet'!$E$10+1,1))</f>
        <v>436.77894860279537</v>
      </c>
      <c r="AO86" s="59">
        <f t="shared" si="90"/>
        <v>398.63561969573072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41.86901507808939</v>
      </c>
      <c r="AV86" s="21">
        <f>EXP(-LN(2)/25)*AV85+(1-EXP(-LN(2)/25))/(LN(2)/25)*Calculateur!AQ86*Calculateur!AS86*VLOOKUP('Données projet'!$B$10,Paramètres!$A$1:$I$89,3,0)*0.475*44/12</f>
        <v>10.415484944929545</v>
      </c>
      <c r="AW86" s="21">
        <f>EXP(-LN(2)/2)*AW85+(1-EXP(-LN(2)/2))/(LN(2)/2)*AQ86*AT86*VLOOKUP('Données projet'!$B$10,Paramètres!$A$1:$I$89,3,0)*0.475*44/12</f>
        <v>1.6639661141223424E-8</v>
      </c>
      <c r="AX86" s="21">
        <f t="shared" si="60"/>
        <v>52.284500039658596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-1.3567387213697657E-13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344.97546176735341</v>
      </c>
      <c r="BJ86" s="59">
        <f t="shared" si="92"/>
        <v>331.15461126257492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97.416381608876222</v>
      </c>
      <c r="BQ86" s="21">
        <f>EXP(-LN(2)/25)*BQ85+(1-EXP(-LN(2)/25))/(LN(2)/25)*Calculateur!BL86*Calculateur!BN86*VLOOKUP('Données projet'!$B$11,Paramètres!$A$1:$I$89,3,0)*0.475*44/12</f>
        <v>2.609160537809851</v>
      </c>
      <c r="BR86" s="21">
        <f>EXP(-LN(2)/2)*BR85+(1-EXP(-LN(2)/2))/(LN(2)/2)*BL86*BO86*VLOOKUP('Données projet'!$B$11,Paramètres!$A$1:$I$89,3,0)*0.475*44/12</f>
        <v>14.712458216393275</v>
      </c>
      <c r="BS86" s="22">
        <f t="shared" si="63"/>
        <v>114.73800036307935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-1.7053025658242404E-13</v>
      </c>
      <c r="BZ86" s="13">
        <f>BY86*VLOOKUP('Données projet'!$B$12,Paramètres!$A$1:$I$89,3,0)*VLOOKUP('Données projet'!$B$12,Paramètres!$A$1:$I$89,5,0)</f>
        <v>-1.3567387213697657E-13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344.97546176735341</v>
      </c>
      <c r="CE86" s="59">
        <f t="shared" si="94"/>
        <v>331.15461126257492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97.416381608876222</v>
      </c>
      <c r="CL86" s="21">
        <f>EXP(-LN(2)/25)*CL85+(1-EXP(-LN(2)/25))/(LN(2)/25)*Calculateur!CG86*Calculateur!CI86*VLOOKUP('Données projet'!$B$12,Paramètres!$A$1:$I$89,3,0)*0.475*44/12</f>
        <v>2.609160537809851</v>
      </c>
      <c r="CM86" s="21">
        <f>EXP(-LN(2)/2)*CM85+(1-EXP(-LN(2)/2))/(LN(2)/2)*CG86*CJ86*VLOOKUP('Données projet'!$B$12,Paramètres!$A$1:$I$89,3,0)*0.475*44/12</f>
        <v>14.712458216393275</v>
      </c>
      <c r="CN86" s="22">
        <f t="shared" si="66"/>
        <v>114.73800036307935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227.19465047672969</v>
      </c>
      <c r="CZ86" s="59">
        <f t="shared" si="96"/>
        <v>529.77979244134417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34.482848963341453</v>
      </c>
      <c r="DG86" s="21">
        <f>EXP(-LN(2)/25)*DG85+(1-EXP(-LN(2)/25))/(LN(2)/25)*Calculateur!DB86*Calculateur!DD86*VLOOKUP('Données projet'!$B$13,Paramètres!$A$1:$I$89,3,0)*0.475*44/12</f>
        <v>7.2890174011756619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41.771866364517116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240.09151195692266</v>
      </c>
      <c r="DU86" s="59">
        <f t="shared" si="98"/>
        <v>559.47775134103165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36.736629941337583</v>
      </c>
      <c r="EB86" s="21">
        <f>EXP(-LN(2)/25)*EB85+(1-EXP(-LN(2)/25))/(LN(2)/25)*Calculateur!DW86*Calculateur!DY86*VLOOKUP('Données projet'!$B$14,Paramètres!$A$1:$I$89,3,0)*0.475*44/12</f>
        <v>7.7654237672655748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44.502053708603157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5.6843418860808015E-14</v>
      </c>
      <c r="EK86" s="17">
        <f>EJ86*VLOOKUP('Données projet'!$B$15,Paramètres!$A$1:$I$89,3,0)*VLOOKUP('Données projet'!$B$15,Paramètres!$A$1:$I$89,5,0)</f>
        <v>4.4337866711430253E-14</v>
      </c>
      <c r="EL86" s="13">
        <f t="shared" si="99"/>
        <v>7.3222115536967035E-13</v>
      </c>
      <c r="EM86" s="20">
        <f t="shared" si="73"/>
        <v>1.3525069634579169E-12</v>
      </c>
      <c r="EN86" s="59">
        <f t="shared" si="74"/>
        <v>260.7314797918653</v>
      </c>
      <c r="EO86" s="59">
        <f ca="1">AVERAGE(OFFSET($EN$3,0,0,'Données projet'!$E$15+1,1))-AVERAGE(OFFSET($H$3,0,0,'Données projet'!$E$15+1,1))</f>
        <v>328.79469965518484</v>
      </c>
      <c r="EP86" s="59">
        <f t="shared" si="100"/>
        <v>322.06400652269735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50.361552545286962</v>
      </c>
      <c r="EW86" s="21">
        <f>EXP(-LN(2)/25)*EW85+(1-EXP(-LN(2)/25))/(LN(2)/25)*Calculateur!ER86*Calculateur!ET86*VLOOKUP('Données projet'!$B$15,Paramètres!$A$1:$I$89,3,0)*0.475*44/12</f>
        <v>6.4525916297055037</v>
      </c>
      <c r="EX86" s="21">
        <f>EXP(-LN(2)/2)*EX85+(1-EXP(-LN(2)/2))/(LN(2)/2)*ER86*EU86*VLOOKUP('Données projet'!$B$15,Paramètres!$A$1:$I$89,3,0)*0.475*44/12</f>
        <v>0.56959089217260839</v>
      </c>
      <c r="EY86" s="22">
        <f t="shared" si="75"/>
        <v>57.38373506716507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9.6</v>
      </c>
      <c r="FE86" s="12">
        <f>IF('Données projet'!$A$218&gt;35,FE85+FD86-FM85,IF(A86&lt;'Données projet'!$A$218,$FB$205^A86,IF(A86='Données projet'!$A$218,'Données projet'!$B$218,FE85+FD86-FM85)))</f>
        <v>418.79999999999995</v>
      </c>
      <c r="FF86" s="17">
        <f>FE86*VLOOKUP('Données projet'!$B$16,Paramètres!$A$1:$I$89,3,0)*VLOOKUP('Données projet'!$B$16,Paramètres!$A$1:$I$89,5,0)</f>
        <v>307.06415999999996</v>
      </c>
      <c r="FG86" s="13">
        <f t="shared" si="101"/>
        <v>72.655370793347416</v>
      </c>
      <c r="FH86" s="20">
        <f t="shared" si="76"/>
        <v>661.34484946507996</v>
      </c>
      <c r="FI86" s="59">
        <f t="shared" si="77"/>
        <v>922.07632925694384</v>
      </c>
      <c r="FJ86" s="59">
        <f ca="1">AVERAGE(OFFSET($FI$3,0,0,'Données projet'!$E$16+1,1))-AVERAGE(OFFSET($H$3,0,0,'Données projet'!$E$16+1,1))</f>
        <v>525.22234644068908</v>
      </c>
      <c r="FK86" s="59">
        <f t="shared" si="102"/>
        <v>311.5550296132094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2.1577592675338488</v>
      </c>
      <c r="FR86" s="21">
        <f>EXP(-LN(2)/25)*FR85+(1-EXP(-LN(2)/25))/(LN(2)/25)*Calculateur!FM86*Calculateur!FO86*VLOOKUP('Données projet'!$B$16,Paramètres!$A$1:$I$89,3,0)*0.475*44/12</f>
        <v>26.661592747772119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28.819352015305967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-1.7053025658242404E-13</v>
      </c>
      <c r="GA86" s="17">
        <f>FZ86*VLOOKUP('Données projet'!$B$17,Paramètres!$A$1:$I$89,3,0)*VLOOKUP('Données projet'!$B$17,Paramètres!$A$1:$I$89,5,0)</f>
        <v>-1.1173142411280423E-13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298.45881427802874</v>
      </c>
      <c r="GF86" s="59">
        <f t="shared" si="104"/>
        <v>287.00279305562356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65.088414793056046</v>
      </c>
      <c r="GM86" s="21">
        <f>EXP(-LN(2)/25)*GM85+(1-EXP(-LN(2)/25))/(LN(2)/25)*Calculateur!GH86*Calculateur!GJ86*VLOOKUP('Données projet'!$B$17,Paramètres!$A$1:$I$89,3,0)*0.475*44/12</f>
        <v>1.7433014914112437</v>
      </c>
      <c r="GN86" s="21">
        <f>EXP(-LN(2)/2)*GN85+(1-EXP(-LN(2)/2))/(LN(2)/2)*GH86*GK86*VLOOKUP('Données projet'!$B$17,Paramètres!$A$1:$I$89,3,0)*0.475*44/12</f>
        <v>12.116142060559165</v>
      </c>
      <c r="GO86" s="21">
        <f t="shared" si="81"/>
        <v>78.947858345026461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135.66666666666666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7.7777777777777777</v>
      </c>
      <c r="N87" s="13">
        <f>IF('Données projet'!$A$36&gt;35,N86+M87-V86,IF(A87&lt;'Données projet'!$A$36,$K$205^A87,IF(A87='Données projet'!$A$36,'Données projet'!$B$36,N86+M87-V86)))</f>
        <v>293.66666666666652</v>
      </c>
      <c r="O87" s="13">
        <f>N87*VLOOKUP('Données projet'!$B$9,Paramètres!$A$1:$I$89,3,0)*VLOOKUP('Données projet'!$B$9,Paramètres!$A$1:$I$89,5,0)</f>
        <v>265.70959999999985</v>
      </c>
      <c r="P87" s="13">
        <f t="shared" si="87"/>
        <v>63.937891026614295</v>
      </c>
      <c r="Q87" s="20">
        <f t="shared" si="54"/>
        <v>574.13604687135296</v>
      </c>
      <c r="R87" s="59">
        <f t="shared" si="55"/>
        <v>835.43309593533604</v>
      </c>
      <c r="S87" s="59">
        <f ca="1">AVERAGE(OFFSET($R$3,0,0,'Données projet'!$E$9+1,1))-AVERAGE(OFFSET($H$3,0,0,'Données projet'!$E$9+1,1))</f>
        <v>600.52384738314299</v>
      </c>
      <c r="T87" s="59">
        <f t="shared" si="88"/>
        <v>314.84650287986256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1.8713675559256382</v>
      </c>
      <c r="AA87" s="21">
        <f>EXP(-LN(2)/25)*AA86+(1-EXP(-LN(2)/25))/(LN(2)/25)*Calculateur!V87*Calculateur!X87*VLOOKUP('Données projet'!$B$9,Paramètres!$A$1:$I$89,3,0)*0.475*44/12</f>
        <v>30.848285751921228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32.719653307846869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</v>
      </c>
      <c r="AI87" s="13">
        <f>IF('Données projet'!$A$62&gt;35,AI86+AH87-AQ86,IF(A87&lt;'Données projet'!$A$62,$AF$205^A87,IF(A87='Données projet'!$A$62,'Données projet'!$B$62,AI86+AH87-AQ86)))</f>
        <v>263.00000000000006</v>
      </c>
      <c r="AJ87" s="13">
        <f>AI87*VLOOKUP('Données projet'!$B$10,Paramètres!$A$1:$I$89,3,0)*VLOOKUP('Données projet'!$B$10,Paramètres!$A$1:$I$89,5,0)</f>
        <v>229.75680000000011</v>
      </c>
      <c r="AK87" s="13">
        <f t="shared" si="89"/>
        <v>56.230092767727569</v>
      </c>
      <c r="AL87" s="20">
        <f t="shared" si="58"/>
        <v>498.09383823712568</v>
      </c>
      <c r="AM87" s="59">
        <f t="shared" si="59"/>
        <v>759.39088730110882</v>
      </c>
      <c r="AN87" s="59">
        <f ca="1">AVERAGE(OFFSET($AM$3,0,0,'Données projet'!$E$10+1,1))-AVERAGE(OFFSET($H$3,0,0,'Données projet'!$E$10+1,1))</f>
        <v>436.77894860279537</v>
      </c>
      <c r="AO87" s="59">
        <f t="shared" si="90"/>
        <v>398.63561969573072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41.047989229985632</v>
      </c>
      <c r="AV87" s="21">
        <f>EXP(-LN(2)/25)*AV86+(1-EXP(-LN(2)/25))/(LN(2)/25)*Calculateur!AQ87*Calculateur!AS87*VLOOKUP('Données projet'!$B$10,Paramètres!$A$1:$I$89,3,0)*0.475*44/12</f>
        <v>10.130672961383899</v>
      </c>
      <c r="AW87" s="21">
        <f>EXP(-LN(2)/2)*AW86+(1-EXP(-LN(2)/2))/(LN(2)/2)*AQ87*AT87*VLOOKUP('Données projet'!$B$10,Paramètres!$A$1:$I$89,3,0)*0.475*44/12</f>
        <v>1.176601722960537E-8</v>
      </c>
      <c r="AX87" s="21">
        <f t="shared" si="60"/>
        <v>51.178662203135552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-1.3567387213697657E-13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344.97546176735341</v>
      </c>
      <c r="BJ87" s="59">
        <f t="shared" si="92"/>
        <v>331.15461126257492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95.50610578365189</v>
      </c>
      <c r="BQ87" s="21">
        <f>EXP(-LN(2)/25)*BQ86+(1-EXP(-LN(2)/25))/(LN(2)/25)*Calculateur!BL87*Calculateur!BN87*VLOOKUP('Données projet'!$B$11,Paramètres!$A$1:$I$89,3,0)*0.475*44/12</f>
        <v>2.5378129056936514</v>
      </c>
      <c r="BR87" s="21">
        <f>EXP(-LN(2)/2)*BR86+(1-EXP(-LN(2)/2))/(LN(2)/2)*BL87*BO87*VLOOKUP('Données projet'!$B$11,Paramètres!$A$1:$I$89,3,0)*0.475*44/12</f>
        <v>10.403278972735423</v>
      </c>
      <c r="BS87" s="22">
        <f t="shared" si="63"/>
        <v>108.44719766208097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-1.7053025658242404E-13</v>
      </c>
      <c r="BZ87" s="13">
        <f>BY87*VLOOKUP('Données projet'!$B$12,Paramètres!$A$1:$I$89,3,0)*VLOOKUP('Données projet'!$B$12,Paramètres!$A$1:$I$89,5,0)</f>
        <v>-1.3567387213697657E-13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344.97546176735341</v>
      </c>
      <c r="CE87" s="59">
        <f t="shared" si="94"/>
        <v>331.15461126257492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95.50610578365189</v>
      </c>
      <c r="CL87" s="21">
        <f>EXP(-LN(2)/25)*CL86+(1-EXP(-LN(2)/25))/(LN(2)/25)*Calculateur!CG87*Calculateur!CI87*VLOOKUP('Données projet'!$B$12,Paramètres!$A$1:$I$89,3,0)*0.475*44/12</f>
        <v>2.5378129056936514</v>
      </c>
      <c r="CM87" s="21">
        <f>EXP(-LN(2)/2)*CM86+(1-EXP(-LN(2)/2))/(LN(2)/2)*CG87*CJ87*VLOOKUP('Données projet'!$B$12,Paramètres!$A$1:$I$89,3,0)*0.475*44/12</f>
        <v>10.403278972735423</v>
      </c>
      <c r="CN87" s="22">
        <f t="shared" si="66"/>
        <v>108.44719766208097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227.19465047672969</v>
      </c>
      <c r="CZ87" s="59">
        <f t="shared" si="96"/>
        <v>529.77979244134417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33.80666132763141</v>
      </c>
      <c r="DG87" s="21">
        <f>EXP(-LN(2)/25)*DG86+(1-EXP(-LN(2)/25))/(LN(2)/25)*Calculateur!DB87*Calculateur!DD87*VLOOKUP('Données projet'!$B$13,Paramètres!$A$1:$I$89,3,0)*0.475*44/12</f>
        <v>7.0896988370277478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40.896360164659157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240.09151195692266</v>
      </c>
      <c r="DU87" s="59">
        <f t="shared" si="98"/>
        <v>559.47775134103165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36.016247035319694</v>
      </c>
      <c r="EB87" s="21">
        <f>EXP(-LN(2)/25)*EB86+(1-EXP(-LN(2)/25))/(LN(2)/25)*Calculateur!DW87*Calculateur!DY87*VLOOKUP('Données projet'!$B$14,Paramètres!$A$1:$I$89,3,0)*0.475*44/12</f>
        <v>7.5530778459838102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43.569324881303501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5.6843418860808015E-14</v>
      </c>
      <c r="EK87" s="17">
        <f>EJ87*VLOOKUP('Données projet'!$B$15,Paramètres!$A$1:$I$89,3,0)*VLOOKUP('Données projet'!$B$15,Paramètres!$A$1:$I$89,5,0)</f>
        <v>4.4337866711430253E-14</v>
      </c>
      <c r="EL87" s="13">
        <f t="shared" si="99"/>
        <v>7.3222115536967035E-13</v>
      </c>
      <c r="EM87" s="20">
        <f t="shared" si="73"/>
        <v>1.3525069634579169E-12</v>
      </c>
      <c r="EN87" s="59">
        <f t="shared" si="74"/>
        <v>261.2970490639845</v>
      </c>
      <c r="EO87" s="59">
        <f ca="1">AVERAGE(OFFSET($EN$3,0,0,'Données projet'!$E$15+1,1))-AVERAGE(OFFSET($H$3,0,0,'Données projet'!$E$15+1,1))</f>
        <v>328.79469965518484</v>
      </c>
      <c r="EP87" s="59">
        <f t="shared" si="100"/>
        <v>322.06400652269735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49.373993217387834</v>
      </c>
      <c r="EW87" s="21">
        <f>EXP(-LN(2)/25)*EW86+(1-EXP(-LN(2)/25))/(LN(2)/25)*Calculateur!ER87*Calculateur!ET87*VLOOKUP('Données projet'!$B$15,Paramètres!$A$1:$I$89,3,0)*0.475*44/12</f>
        <v>6.2761451722641608</v>
      </c>
      <c r="EX87" s="21">
        <f>EXP(-LN(2)/2)*EX86+(1-EXP(-LN(2)/2))/(LN(2)/2)*ER87*EU87*VLOOKUP('Données projet'!$B$15,Paramètres!$A$1:$I$89,3,0)*0.475*44/12</f>
        <v>0.40276158235734699</v>
      </c>
      <c r="EY87" s="22">
        <f t="shared" si="75"/>
        <v>56.052899972009342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9.6</v>
      </c>
      <c r="FE87" s="12">
        <f>IF('Données projet'!$A$218&gt;35,FE86+FD87-FM86,IF(A87&lt;'Données projet'!$A$218,$FB$205^A87,IF(A87='Données projet'!$A$218,'Données projet'!$B$218,FE86+FD87-FM86)))</f>
        <v>428.4</v>
      </c>
      <c r="FF87" s="17">
        <f>FE87*VLOOKUP('Données projet'!$B$16,Paramètres!$A$1:$I$89,3,0)*VLOOKUP('Données projet'!$B$16,Paramètres!$A$1:$I$89,5,0)</f>
        <v>314.10287999999997</v>
      </c>
      <c r="FG87" s="13">
        <f t="shared" si="101"/>
        <v>74.125018030484568</v>
      </c>
      <c r="FH87" s="20">
        <f t="shared" si="76"/>
        <v>676.16358906976052</v>
      </c>
      <c r="FI87" s="59">
        <f t="shared" si="77"/>
        <v>937.46063813374371</v>
      </c>
      <c r="FJ87" s="59">
        <f ca="1">AVERAGE(OFFSET($FI$3,0,0,'Données projet'!$E$16+1,1))-AVERAGE(OFFSET($H$3,0,0,'Données projet'!$E$16+1,1))</f>
        <v>525.22234644068908</v>
      </c>
      <c r="FK87" s="59">
        <f t="shared" si="102"/>
        <v>311.5550296132094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2.1154469244007088</v>
      </c>
      <c r="FR87" s="21">
        <f>EXP(-LN(2)/25)*FR86+(1-EXP(-LN(2)/25))/(LN(2)/25)*Calculateur!FM87*Calculateur!FO87*VLOOKUP('Données projet'!$B$16,Paramètres!$A$1:$I$89,3,0)*0.475*44/12</f>
        <v>25.932530092012062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28.047977016412769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-1.7053025658242404E-13</v>
      </c>
      <c r="GA87" s="17">
        <f>FZ87*VLOOKUP('Données projet'!$B$17,Paramètres!$A$1:$I$89,3,0)*VLOOKUP('Données projet'!$B$17,Paramètres!$A$1:$I$89,5,0)</f>
        <v>-1.1173142411280423E-13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298.45881427802874</v>
      </c>
      <c r="GF87" s="59">
        <f t="shared" si="104"/>
        <v>287.00279305562356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63.812070678977193</v>
      </c>
      <c r="GM87" s="21">
        <f>EXP(-LN(2)/25)*GM86+(1-EXP(-LN(2)/25))/(LN(2)/25)*Calculateur!GH87*Calculateur!GJ87*VLOOKUP('Données projet'!$B$17,Paramètres!$A$1:$I$89,3,0)*0.475*44/12</f>
        <v>1.6956308204523622</v>
      </c>
      <c r="GN87" s="21">
        <f>EXP(-LN(2)/2)*GN86+(1-EXP(-LN(2)/2))/(LN(2)/2)*GH87*GK87*VLOOKUP('Données projet'!$B$17,Paramètres!$A$1:$I$89,3,0)*0.475*44/12</f>
        <v>8.5674062128409343</v>
      </c>
      <c r="GO87" s="21">
        <f t="shared" si="81"/>
        <v>74.075107712270494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135.66666666666666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7.7777777777777777</v>
      </c>
      <c r="N88" s="13">
        <f>IF('Données projet'!$A$36&gt;35,N87+M88-V87,IF(A88&lt;'Données projet'!$A$36,$K$205^A88,IF(A88='Données projet'!$A$36,'Données projet'!$B$36,N87+M88-V87)))</f>
        <v>301.44444444444429</v>
      </c>
      <c r="O88" s="13">
        <f>N88*VLOOKUP('Données projet'!$B$9,Paramètres!$A$1:$I$89,3,0)*VLOOKUP('Données projet'!$B$9,Paramètres!$A$1:$I$89,5,0)</f>
        <v>272.74693333333317</v>
      </c>
      <c r="P88" s="13">
        <f t="shared" si="87"/>
        <v>65.431893983549415</v>
      </c>
      <c r="Q88" s="20">
        <f t="shared" si="54"/>
        <v>588.99479091023716</v>
      </c>
      <c r="R88" s="59">
        <f t="shared" si="55"/>
        <v>850.84759788389169</v>
      </c>
      <c r="S88" s="59">
        <f ca="1">AVERAGE(OFFSET($R$3,0,0,'Données projet'!$E$9+1,1))-AVERAGE(OFFSET($H$3,0,0,'Données projet'!$E$9+1,1))</f>
        <v>600.52384738314299</v>
      </c>
      <c r="T88" s="59">
        <f t="shared" si="88"/>
        <v>314.84650287986256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1.8346711795754396</v>
      </c>
      <c r="AA88" s="21">
        <f>EXP(-LN(2)/25)*AA87+(1-EXP(-LN(2)/25))/(LN(2)/25)*Calculateur!V88*Calculateur!X88*VLOOKUP('Données projet'!$B$9,Paramètres!$A$1:$I$89,3,0)*0.475*44/12</f>
        <v>30.0047377557941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31.839408935369541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267</v>
      </c>
      <c r="AG88" s="12">
        <f>VLOOKUP(A88,'Données projet'!$A$61:$I$81,9,0)</f>
        <v>4</v>
      </c>
      <c r="AH88" s="12">
        <f t="array" ref="AH88">INDEX(AG:AG,MIN(IF(ISNUMBER(AG88:AG284),ROW(AG88:AG284),"")))</f>
        <v>4</v>
      </c>
      <c r="AI88" s="13">
        <f>IF('Données projet'!$A$62&gt;35,AI87+AH88-AQ87,IF(A88&lt;'Données projet'!$A$62,$AF$205^A88,IF(A88='Données projet'!$A$62,'Données projet'!$B$62,AI87+AH88-AQ87)))</f>
        <v>267.00000000000006</v>
      </c>
      <c r="AJ88" s="13">
        <f>AI88*VLOOKUP('Données projet'!$B$10,Paramètres!$A$1:$I$89,3,0)*VLOOKUP('Données projet'!$B$10,Paramètres!$A$1:$I$89,5,0)</f>
        <v>233.25120000000007</v>
      </c>
      <c r="AK88" s="13">
        <f t="shared" si="89"/>
        <v>56.985091661350914</v>
      </c>
      <c r="AL88" s="20">
        <f t="shared" si="58"/>
        <v>505.49487464351961</v>
      </c>
      <c r="AM88" s="59">
        <f t="shared" si="59"/>
        <v>767.3476816171742</v>
      </c>
      <c r="AN88" s="59">
        <f ca="1">AVERAGE(OFFSET($AM$3,0,0,'Données projet'!$E$10+1,1))-AVERAGE(OFFSET($H$3,0,0,'Données projet'!$E$10+1,1))</f>
        <v>436.77894860279537</v>
      </c>
      <c r="AO88" s="59">
        <f t="shared" si="90"/>
        <v>398.63561969573072</v>
      </c>
      <c r="AP88" s="15">
        <f>IF(ISNA(VLOOKUP(A88,'Données projet'!$A$61:$I$81,3,0)),0,VLOOKUP(A88,'Données projet'!$A$61:$I$81,3,0))</f>
        <v>15</v>
      </c>
      <c r="AQ88" s="15">
        <f>IF(ISNA(VLOOKUP(A88,'Données projet'!$A$61:$I$81,4,0)),0,VLOOKUP(A88,'Données projet'!$A$61:$I$81,4,0))</f>
        <v>16</v>
      </c>
      <c r="AR88" s="16">
        <f>IF(ISNA(VLOOKUP(A88,'Données projet'!$A$61:$I$81,5,0)),0%,VLOOKUP(A88,'Données projet'!$A$61:$I$81,5,0)*VLOOKUP('Données projet'!$B$10,Paramètres!$A$1:$I$89,7,0))</f>
        <v>0.30099999999999999</v>
      </c>
      <c r="AS88" s="16">
        <f>IF(ISNA(VLOOKUP(A88,'Données projet'!$A$61:$I$81,6,0)),0%,VLOOKUP(A88,'Données projet'!$A$61:$I$81,6,0)*VLOOKUP('Données projet'!$B$10,Paramètres!$A$1:$I$89,7,0))</f>
        <v>4.3000000000000003E-2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44.894061853851753</v>
      </c>
      <c r="AV88" s="21">
        <f>EXP(-LN(2)/25)*AV87+(1-EXP(-LN(2)/25))/(LN(2)/25)*Calculateur!AQ88*Calculateur!AS88*VLOOKUP('Données projet'!$B$10,Paramètres!$A$1:$I$89,3,0)*0.475*44/12</f>
        <v>10.515461448218396</v>
      </c>
      <c r="AW88" s="21">
        <f>EXP(-LN(2)/2)*AW87+(1-EXP(-LN(2)/2))/(LN(2)/2)*AQ88*AT88*VLOOKUP('Données projet'!$B$10,Paramètres!$A$1:$I$89,3,0)*0.475*44/12</f>
        <v>8.3198305706117121E-9</v>
      </c>
      <c r="AX88" s="21">
        <f t="shared" si="60"/>
        <v>55.409523310389979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-1.3567387213697657E-13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344.97546176735341</v>
      </c>
      <c r="BJ88" s="59">
        <f t="shared" si="92"/>
        <v>331.15461126257492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93.633289302207004</v>
      </c>
      <c r="BQ88" s="21">
        <f>EXP(-LN(2)/25)*BQ87+(1-EXP(-LN(2)/25))/(LN(2)/25)*Calculateur!BL88*Calculateur!BN88*VLOOKUP('Données projet'!$B$11,Paramètres!$A$1:$I$89,3,0)*0.475*44/12</f>
        <v>2.4684162783296779</v>
      </c>
      <c r="BR88" s="21">
        <f>EXP(-LN(2)/2)*BR87+(1-EXP(-LN(2)/2))/(LN(2)/2)*BL88*BO88*VLOOKUP('Données projet'!$B$11,Paramètres!$A$1:$I$89,3,0)*0.475*44/12</f>
        <v>7.3562291081966382</v>
      </c>
      <c r="BS88" s="22">
        <f t="shared" si="63"/>
        <v>103.45793468873333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-1.7053025658242404E-13</v>
      </c>
      <c r="BZ88" s="13">
        <f>BY88*VLOOKUP('Données projet'!$B$12,Paramètres!$A$1:$I$89,3,0)*VLOOKUP('Données projet'!$B$12,Paramètres!$A$1:$I$89,5,0)</f>
        <v>-1.3567387213697657E-13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344.97546176735341</v>
      </c>
      <c r="CE88" s="59">
        <f t="shared" si="94"/>
        <v>331.15461126257492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93.633289302207004</v>
      </c>
      <c r="CL88" s="21">
        <f>EXP(-LN(2)/25)*CL87+(1-EXP(-LN(2)/25))/(LN(2)/25)*Calculateur!CG88*Calculateur!CI88*VLOOKUP('Données projet'!$B$12,Paramètres!$A$1:$I$89,3,0)*0.475*44/12</f>
        <v>2.4684162783296779</v>
      </c>
      <c r="CM88" s="21">
        <f>EXP(-LN(2)/2)*CM87+(1-EXP(-LN(2)/2))/(LN(2)/2)*CG88*CJ88*VLOOKUP('Données projet'!$B$12,Paramètres!$A$1:$I$89,3,0)*0.475*44/12</f>
        <v>7.3562291081966382</v>
      </c>
      <c r="CN88" s="22">
        <f t="shared" si="66"/>
        <v>103.45793468873333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227.19465047672969</v>
      </c>
      <c r="CZ88" s="59">
        <f t="shared" si="96"/>
        <v>529.77979244134417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33.143733319023909</v>
      </c>
      <c r="DG88" s="21">
        <f>EXP(-LN(2)/25)*DG87+(1-EXP(-LN(2)/25))/(LN(2)/25)*Calculateur!DB88*Calculateur!DD88*VLOOKUP('Données projet'!$B$13,Paramètres!$A$1:$I$89,3,0)*0.475*44/12</f>
        <v>6.8958306494981656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40.039563968522074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240.09151195692266</v>
      </c>
      <c r="DU88" s="59">
        <f t="shared" si="98"/>
        <v>559.47775134103165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35.309990398698631</v>
      </c>
      <c r="EB88" s="21">
        <f>EXP(-LN(2)/25)*EB87+(1-EXP(-LN(2)/25))/(LN(2)/25)*Calculateur!DW88*Calculateur!DY88*VLOOKUP('Données projet'!$B$14,Paramètres!$A$1:$I$89,3,0)*0.475*44/12</f>
        <v>7.3465385350862817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42.656528933784912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5.6843418860808015E-14</v>
      </c>
      <c r="EK88" s="17">
        <f>EJ88*VLOOKUP('Données projet'!$B$15,Paramètres!$A$1:$I$89,3,0)*VLOOKUP('Données projet'!$B$15,Paramètres!$A$1:$I$89,5,0)</f>
        <v>4.4337866711430253E-14</v>
      </c>
      <c r="EL88" s="13">
        <f t="shared" si="99"/>
        <v>7.3222115536967035E-13</v>
      </c>
      <c r="EM88" s="20">
        <f t="shared" si="73"/>
        <v>1.3525069634579169E-12</v>
      </c>
      <c r="EN88" s="59">
        <f t="shared" si="74"/>
        <v>261.85280697365596</v>
      </c>
      <c r="EO88" s="59">
        <f ca="1">AVERAGE(OFFSET($EN$3,0,0,'Données projet'!$E$15+1,1))-AVERAGE(OFFSET($H$3,0,0,'Données projet'!$E$15+1,1))</f>
        <v>328.79469965518484</v>
      </c>
      <c r="EP88" s="59">
        <f t="shared" si="100"/>
        <v>322.06400652269735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48.405799325557098</v>
      </c>
      <c r="EW88" s="21">
        <f>EXP(-LN(2)/25)*EW87+(1-EXP(-LN(2)/25))/(LN(2)/25)*Calculateur!ER88*Calculateur!ET88*VLOOKUP('Données projet'!$B$15,Paramètres!$A$1:$I$89,3,0)*0.475*44/12</f>
        <v>6.1045236524804674</v>
      </c>
      <c r="EX88" s="21">
        <f>EXP(-LN(2)/2)*EX87+(1-EXP(-LN(2)/2))/(LN(2)/2)*ER88*EU88*VLOOKUP('Données projet'!$B$15,Paramètres!$A$1:$I$89,3,0)*0.475*44/12</f>
        <v>0.28479544608630419</v>
      </c>
      <c r="EY88" s="22">
        <f t="shared" si="75"/>
        <v>54.795118424123871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438</v>
      </c>
      <c r="FC88" s="12">
        <f>VLOOKUP(A88,'Données projet'!$A$217:$I$237,9,0)</f>
        <v>9.6</v>
      </c>
      <c r="FD88" s="12">
        <f t="array" ref="FD88">INDEX(FC:FC,MIN(IF(ISNUMBER(FC88:FC284),ROW(FC88:FC284),"")))</f>
        <v>9.6</v>
      </c>
      <c r="FE88" s="12">
        <f>IF('Données projet'!$A$218&gt;35,FE87+FD88-FM87,IF(A88&lt;'Données projet'!$A$218,$FB$205^A88,IF(A88='Données projet'!$A$218,'Données projet'!$B$218,FE87+FD88-FM87)))</f>
        <v>438</v>
      </c>
      <c r="FF88" s="17">
        <f>FE88*VLOOKUP('Données projet'!$B$16,Paramètres!$A$1:$I$89,3,0)*VLOOKUP('Données projet'!$B$16,Paramètres!$A$1:$I$89,5,0)</f>
        <v>321.14159999999998</v>
      </c>
      <c r="FG88" s="13">
        <f t="shared" si="101"/>
        <v>75.590836491360662</v>
      </c>
      <c r="FH88" s="20">
        <f t="shared" si="76"/>
        <v>690.97566022245303</v>
      </c>
      <c r="FI88" s="59">
        <f t="shared" si="77"/>
        <v>952.82846719610757</v>
      </c>
      <c r="FJ88" s="59">
        <f ca="1">AVERAGE(OFFSET($FI$3,0,0,'Données projet'!$E$16+1,1))-AVERAGE(OFFSET($H$3,0,0,'Données projet'!$E$16+1,1))</f>
        <v>525.22234644068908</v>
      </c>
      <c r="FK88" s="59">
        <f t="shared" si="102"/>
        <v>311.5550296132094</v>
      </c>
      <c r="FL88" s="15">
        <f>IF(ISNA(VLOOKUP(A88,'Données projet'!$A$217:$I$237,3,0)),0,VLOOKUP(A88,'Données projet'!$A$217:$I$237,3,0))</f>
        <v>14</v>
      </c>
      <c r="FM88" s="15">
        <f>IF(ISNA(VLOOKUP(A88,'Données projet'!$A$217:$I$237,4,0)),0,VLOOKUP(A88,'Données projet'!$A$217:$I$237,4,0))</f>
        <v>33</v>
      </c>
      <c r="FN88" s="16">
        <f>IF(ISNA(VLOOKUP(A88,'Données projet'!$A$217:$I$237,5,0)),0%,VLOOKUP(A88,'Données projet'!$A$217:$I$237,5,0)*VLOOKUP('Données projet'!$B$16,Paramètres!$A$1:$I$89,7,0))</f>
        <v>4.3000000000000003E-2</v>
      </c>
      <c r="FO88" s="16">
        <f>IF(ISNA(VLOOKUP(A88,'Données projet'!$A$217:$I$237,6,0)),0%,VLOOKUP(A88,'Données projet'!$A$217:$I$237,6,0)*VLOOKUP('Données projet'!$B$16,Paramètres!$A$1:$I$89,7,0))</f>
        <v>0.215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3.2241076224546088</v>
      </c>
      <c r="FR88" s="21">
        <f>EXP(-LN(2)/25)*FR87+(1-EXP(-LN(2)/25))/(LN(2)/25)*Calculateur!FM88*Calculateur!FO88*VLOOKUP('Données projet'!$B$16,Paramètres!$A$1:$I$89,3,0)*0.475*44/12</f>
        <v>30.951477540157079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34.175585162611689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-1.7053025658242404E-13</v>
      </c>
      <c r="GA88" s="17">
        <f>FZ88*VLOOKUP('Données projet'!$B$17,Paramètres!$A$1:$I$89,3,0)*VLOOKUP('Données projet'!$B$17,Paramètres!$A$1:$I$89,5,0)</f>
        <v>-1.1173142411280423E-13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298.45881427802874</v>
      </c>
      <c r="GF88" s="59">
        <f t="shared" si="104"/>
        <v>287.00279305562356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62.560754894482386</v>
      </c>
      <c r="GM88" s="21">
        <f>EXP(-LN(2)/25)*GM87+(1-EXP(-LN(2)/25))/(LN(2)/25)*Calculateur!GH88*Calculateur!GJ88*VLOOKUP('Données projet'!$B$17,Paramètres!$A$1:$I$89,3,0)*0.475*44/12</f>
        <v>1.6492637064977429</v>
      </c>
      <c r="GN88" s="21">
        <f>EXP(-LN(2)/2)*GN87+(1-EXP(-LN(2)/2))/(LN(2)/2)*GH88*GK88*VLOOKUP('Données projet'!$B$17,Paramètres!$A$1:$I$89,3,0)*0.475*44/12</f>
        <v>6.0580710302795824</v>
      </c>
      <c r="GO88" s="21">
        <f t="shared" si="81"/>
        <v>70.268089631259713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135.66666666666666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7.7777777777777777</v>
      </c>
      <c r="N89" s="13">
        <f>IF('Données projet'!$A$36&gt;35,N88+M89-V88,IF(A89&lt;'Données projet'!$A$36,$K$205^A89,IF(A89='Données projet'!$A$36,'Données projet'!$B$36,N88+M89-V88)))</f>
        <v>309.22222222222206</v>
      </c>
      <c r="O89" s="13">
        <f>N89*VLOOKUP('Données projet'!$B$9,Paramètres!$A$1:$I$89,3,0)*VLOOKUP('Données projet'!$B$9,Paramètres!$A$1:$I$89,5,0)</f>
        <v>279.7842666666665</v>
      </c>
      <c r="P89" s="13">
        <f t="shared" si="87"/>
        <v>66.921416181225794</v>
      </c>
      <c r="Q89" s="20">
        <f t="shared" si="54"/>
        <v>603.84573096007898</v>
      </c>
      <c r="R89" s="59">
        <f t="shared" si="55"/>
        <v>866.24465468616063</v>
      </c>
      <c r="S89" s="59">
        <f ca="1">AVERAGE(OFFSET($R$3,0,0,'Données projet'!$E$9+1,1))-AVERAGE(OFFSET($H$3,0,0,'Données projet'!$E$9+1,1))</f>
        <v>600.52384738314299</v>
      </c>
      <c r="T89" s="59">
        <f t="shared" si="88"/>
        <v>314.84650287986256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1.7986943967828888</v>
      </c>
      <c r="AA89" s="21">
        <f>EXP(-LN(2)/25)*AA88+(1-EXP(-LN(2)/25))/(LN(2)/25)*Calculateur!V89*Calculateur!X89*VLOOKUP('Données projet'!$B$9,Paramètres!$A$1:$I$89,3,0)*0.475*44/12</f>
        <v>29.184256623981327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30.982951020764215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3.4</v>
      </c>
      <c r="AI89" s="13">
        <f>IF('Données projet'!$A$62&gt;35,AI88+AH89-AQ88,IF(A89&lt;'Données projet'!$A$62,$AF$205^A89,IF(A89='Données projet'!$A$62,'Données projet'!$B$62,AI88+AH89-AQ88)))</f>
        <v>254.40000000000003</v>
      </c>
      <c r="AJ89" s="13">
        <f>AI89*VLOOKUP('Données projet'!$B$10,Paramètres!$A$1:$I$89,3,0)*VLOOKUP('Données projet'!$B$10,Paramètres!$A$1:$I$89,5,0)</f>
        <v>222.24384000000006</v>
      </c>
      <c r="AK89" s="13">
        <f t="shared" si="89"/>
        <v>54.602284860895942</v>
      </c>
      <c r="AL89" s="20">
        <f t="shared" si="58"/>
        <v>482.17366746606058</v>
      </c>
      <c r="AM89" s="59">
        <f t="shared" si="59"/>
        <v>744.57259119214223</v>
      </c>
      <c r="AN89" s="59">
        <f ca="1">AVERAGE(OFFSET($AM$3,0,0,'Données projet'!$E$10+1,1))-AVERAGE(OFFSET($H$3,0,0,'Données projet'!$E$10+1,1))</f>
        <v>436.77894860279537</v>
      </c>
      <c r="AO89" s="59">
        <f t="shared" si="90"/>
        <v>398.63561969573072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44.013716683571637</v>
      </c>
      <c r="AV89" s="21">
        <f>EXP(-LN(2)/25)*AV88+(1-EXP(-LN(2)/25))/(LN(2)/25)*Calculateur!AQ89*Calculateur!AS89*VLOOKUP('Données projet'!$B$10,Paramètres!$A$1:$I$89,3,0)*0.475*44/12</f>
        <v>10.22791560193278</v>
      </c>
      <c r="AW89" s="21">
        <f>EXP(-LN(2)/2)*AW88+(1-EXP(-LN(2)/2))/(LN(2)/2)*AQ89*AT89*VLOOKUP('Données projet'!$B$10,Paramètres!$A$1:$I$89,3,0)*0.475*44/12</f>
        <v>5.8830086148026848E-9</v>
      </c>
      <c r="AX89" s="21">
        <f t="shared" si="60"/>
        <v>54.241632291387425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-1.3567387213697657E-13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344.97546176735341</v>
      </c>
      <c r="BJ89" s="59">
        <f t="shared" si="92"/>
        <v>331.15461126257492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91.797197609657985</v>
      </c>
      <c r="BQ89" s="21">
        <f>EXP(-LN(2)/25)*BQ88+(1-EXP(-LN(2)/25))/(LN(2)/25)*Calculateur!BL89*Calculateur!BN89*VLOOKUP('Données projet'!$B$11,Paramètres!$A$1:$I$89,3,0)*0.475*44/12</f>
        <v>2.4009173053903825</v>
      </c>
      <c r="BR89" s="21">
        <f>EXP(-LN(2)/2)*BR88+(1-EXP(-LN(2)/2))/(LN(2)/2)*BL89*BO89*VLOOKUP('Données projet'!$B$11,Paramètres!$A$1:$I$89,3,0)*0.475*44/12</f>
        <v>5.2016394863677125</v>
      </c>
      <c r="BS89" s="22">
        <f t="shared" si="63"/>
        <v>99.399754401416075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-1.7053025658242404E-13</v>
      </c>
      <c r="BZ89" s="13">
        <f>BY89*VLOOKUP('Données projet'!$B$12,Paramètres!$A$1:$I$89,3,0)*VLOOKUP('Données projet'!$B$12,Paramètres!$A$1:$I$89,5,0)</f>
        <v>-1.3567387213697657E-13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344.97546176735341</v>
      </c>
      <c r="CE89" s="59">
        <f t="shared" si="94"/>
        <v>331.15461126257492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91.797197609657985</v>
      </c>
      <c r="CL89" s="21">
        <f>EXP(-LN(2)/25)*CL88+(1-EXP(-LN(2)/25))/(LN(2)/25)*Calculateur!CG89*Calculateur!CI89*VLOOKUP('Données projet'!$B$12,Paramètres!$A$1:$I$89,3,0)*0.475*44/12</f>
        <v>2.4009173053903825</v>
      </c>
      <c r="CM89" s="21">
        <f>EXP(-LN(2)/2)*CM88+(1-EXP(-LN(2)/2))/(LN(2)/2)*CG89*CJ89*VLOOKUP('Données projet'!$B$12,Paramètres!$A$1:$I$89,3,0)*0.475*44/12</f>
        <v>5.2016394863677125</v>
      </c>
      <c r="CN89" s="22">
        <f t="shared" si="66"/>
        <v>99.399754401416075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227.19465047672969</v>
      </c>
      <c r="CZ89" s="59">
        <f t="shared" si="96"/>
        <v>529.77979244134417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32.493804924319043</v>
      </c>
      <c r="DG89" s="21">
        <f>EXP(-LN(2)/25)*DG88+(1-EXP(-LN(2)/25))/(LN(2)/25)*Calculateur!DB89*Calculateur!DD89*VLOOKUP('Données projet'!$B$13,Paramètres!$A$1:$I$89,3,0)*0.475*44/12</f>
        <v>6.7072637977516649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39.201068722070708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240.09151195692266</v>
      </c>
      <c r="DU89" s="59">
        <f t="shared" si="98"/>
        <v>559.47775134103165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34.617583023947695</v>
      </c>
      <c r="EB89" s="21">
        <f>EXP(-LN(2)/25)*EB88+(1-EXP(-LN(2)/25))/(LN(2)/25)*Calculateur!DW89*Calculateur!DY89*VLOOKUP('Données projet'!$B$14,Paramètres!$A$1:$I$89,3,0)*0.475*44/12</f>
        <v>7.1456470525066766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41.76323007645437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5.6843418860808015E-14</v>
      </c>
      <c r="EK89" s="17">
        <f>EJ89*VLOOKUP('Données projet'!$B$15,Paramètres!$A$1:$I$89,3,0)*VLOOKUP('Données projet'!$B$15,Paramètres!$A$1:$I$89,5,0)</f>
        <v>4.4337866711430253E-14</v>
      </c>
      <c r="EL89" s="13">
        <f t="shared" si="99"/>
        <v>7.3222115536967035E-13</v>
      </c>
      <c r="EM89" s="20">
        <f t="shared" si="73"/>
        <v>1.3525069634579169E-12</v>
      </c>
      <c r="EN89" s="59">
        <f t="shared" si="74"/>
        <v>262.39892372608307</v>
      </c>
      <c r="EO89" s="59">
        <f ca="1">AVERAGE(OFFSET($EN$3,0,0,'Données projet'!$E$15+1,1))-AVERAGE(OFFSET($H$3,0,0,'Données projet'!$E$15+1,1))</f>
        <v>328.79469965518484</v>
      </c>
      <c r="EP89" s="59">
        <f t="shared" si="100"/>
        <v>322.06400652269735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47.456591125405197</v>
      </c>
      <c r="EW89" s="21">
        <f>EXP(-LN(2)/25)*EW88+(1-EXP(-LN(2)/25))/(LN(2)/25)*Calculateur!ER89*Calculateur!ET89*VLOOKUP('Données projet'!$B$15,Paramètres!$A$1:$I$89,3,0)*0.475*44/12</f>
        <v>5.9375951321804425</v>
      </c>
      <c r="EX89" s="21">
        <f>EXP(-LN(2)/2)*EX88+(1-EXP(-LN(2)/2))/(LN(2)/2)*ER89*EU89*VLOOKUP('Données projet'!$B$15,Paramètres!$A$1:$I$89,3,0)*0.475*44/12</f>
        <v>0.2013807911786735</v>
      </c>
      <c r="EY89" s="22">
        <f t="shared" si="75"/>
        <v>53.595567048764309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9.1999999999999993</v>
      </c>
      <c r="FE89" s="12">
        <f>IF('Données projet'!$A$218&gt;35,FE88+FD89-FM88,IF(A89&lt;'Données projet'!$A$218,$FB$205^A89,IF(A89='Données projet'!$A$218,'Données projet'!$B$218,FE88+FD89-FM88)))</f>
        <v>414.2</v>
      </c>
      <c r="FF89" s="17">
        <f>FE89*VLOOKUP('Données projet'!$B$16,Paramètres!$A$1:$I$89,3,0)*VLOOKUP('Données projet'!$B$16,Paramètres!$A$1:$I$89,5,0)</f>
        <v>303.69144</v>
      </c>
      <c r="FG89" s="13">
        <f t="shared" si="101"/>
        <v>71.949779413692241</v>
      </c>
      <c r="FH89" s="20">
        <f t="shared" si="76"/>
        <v>654.24179047884718</v>
      </c>
      <c r="FI89" s="59">
        <f t="shared" si="77"/>
        <v>916.64071420492883</v>
      </c>
      <c r="FJ89" s="59">
        <f ca="1">AVERAGE(OFFSET($FI$3,0,0,'Données projet'!$E$16+1,1))-AVERAGE(OFFSET($H$3,0,0,'Données projet'!$E$16+1,1))</f>
        <v>525.22234644068908</v>
      </c>
      <c r="FK89" s="59">
        <f t="shared" si="102"/>
        <v>311.5550296132094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3.1608848384897468</v>
      </c>
      <c r="FR89" s="21">
        <f>EXP(-LN(2)/25)*FR88+(1-EXP(-LN(2)/25))/(LN(2)/25)*Calculateur!FM89*Calculateur!FO89*VLOOKUP('Données projet'!$B$16,Paramètres!$A$1:$I$89,3,0)*0.475*44/12</f>
        <v>30.10510775915402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33.265992597643766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-1.7053025658242404E-13</v>
      </c>
      <c r="GA89" s="17">
        <f>FZ89*VLOOKUP('Données projet'!$B$17,Paramètres!$A$1:$I$89,3,0)*VLOOKUP('Données projet'!$B$17,Paramètres!$A$1:$I$89,5,0)</f>
        <v>-1.1173142411280423E-13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298.45881427802874</v>
      </c>
      <c r="GF89" s="59">
        <f t="shared" si="104"/>
        <v>287.00279305562356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61.33397664929425</v>
      </c>
      <c r="GM89" s="21">
        <f>EXP(-LN(2)/25)*GM88+(1-EXP(-LN(2)/25))/(LN(2)/25)*Calculateur!GH89*Calculateur!GJ89*VLOOKUP('Données projet'!$B$17,Paramètres!$A$1:$I$89,3,0)*0.475*44/12</f>
        <v>1.6041645037125531</v>
      </c>
      <c r="GN89" s="21">
        <f>EXP(-LN(2)/2)*GN88+(1-EXP(-LN(2)/2))/(LN(2)/2)*GH89*GK89*VLOOKUP('Données projet'!$B$17,Paramètres!$A$1:$I$89,3,0)*0.475*44/12</f>
        <v>4.2837031064204671</v>
      </c>
      <c r="GO89" s="21">
        <f t="shared" si="81"/>
        <v>67.221844259427272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135.66666666666666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317</v>
      </c>
      <c r="L90" s="12">
        <f>VLOOKUP(A90,'Données projet'!$A$35:$I$55,9,0)</f>
        <v>7.7777777777777777</v>
      </c>
      <c r="M90" s="12">
        <f t="array" ref="M90">INDEX(L:L,MIN(IF(ISNUMBER(L90:L286),ROW(L90:L286),"")))</f>
        <v>7.7777777777777777</v>
      </c>
      <c r="N90" s="13">
        <f>IF('Données projet'!$A$36&gt;35,N89+M90-V89,IF(A90&lt;'Données projet'!$A$36,$K$205^A90,IF(A90='Données projet'!$A$36,'Données projet'!$B$36,N89+M90-V89)))</f>
        <v>316.99999999999983</v>
      </c>
      <c r="O90" s="13">
        <f>N90*VLOOKUP('Données projet'!$B$9,Paramètres!$A$1:$I$89,3,0)*VLOOKUP('Données projet'!$B$9,Paramètres!$A$1:$I$89,5,0)</f>
        <v>286.82159999999988</v>
      </c>
      <c r="P90" s="13">
        <f t="shared" si="87"/>
        <v>68.406583284351413</v>
      </c>
      <c r="Q90" s="20">
        <f t="shared" si="54"/>
        <v>618.68908588691181</v>
      </c>
      <c r="R90" s="59">
        <f t="shared" si="55"/>
        <v>881.62465246070019</v>
      </c>
      <c r="S90" s="59">
        <f ca="1">AVERAGE(OFFSET($R$3,0,0,'Données projet'!$E$9+1,1))-AVERAGE(OFFSET($H$3,0,0,'Données projet'!$E$9+1,1))</f>
        <v>600.52384738314299</v>
      </c>
      <c r="T90" s="59">
        <f t="shared" si="88"/>
        <v>314.84650287986256</v>
      </c>
      <c r="U90" s="15">
        <f>IF(ISNA(VLOOKUP(A90,'Données projet'!$A$35:$I$55,3,0)),0,VLOOKUP(A90,'Données projet'!$A$35:$I$55,3,0))</f>
        <v>7</v>
      </c>
      <c r="V90" s="15">
        <f>IF(ISNA(VLOOKUP(A90,'Données projet'!$A$35:$I$55,4,0)),0,VLOOKUP(A90,'Données projet'!$A$35:$I$55,4,0))</f>
        <v>45</v>
      </c>
      <c r="W90" s="16">
        <f>IF(ISNA(VLOOKUP(A90,'Données projet'!$A$35:$I$55,5,0)),0%,VLOOKUP(A90,'Données projet'!$A$35:$I$55,5,0)*VLOOKUP('Données projet'!$B$9,Paramètres!$A$1:$I$89,7,0))</f>
        <v>0.129</v>
      </c>
      <c r="X90" s="16">
        <f>IF(ISNA(VLOOKUP(A90,'Données projet'!$A$35:$I$55,6,0)),0%,VLOOKUP(A90,'Données projet'!$A$35:$I$55,6,0)*VLOOKUP('Données projet'!$B$9,Paramètres!$A$1:$I$89,7,0))</f>
        <v>0.15049999999999999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7.5697559212824324</v>
      </c>
      <c r="AA90" s="21">
        <f>EXP(-LN(2)/25)*AA89+(1-EXP(-LN(2)/25))/(LN(2)/25)*Calculateur!V90*Calculateur!X90*VLOOKUP('Données projet'!$B$9,Paramètres!$A$1:$I$89,3,0)*0.475*44/12</f>
        <v>35.133594518308797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42.703350439591233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3.4</v>
      </c>
      <c r="AI90" s="13">
        <f>IF('Données projet'!$A$62&gt;35,AI89+AH90-AQ89,IF(A90&lt;'Données projet'!$A$62,$AF$205^A90,IF(A90='Données projet'!$A$62,'Données projet'!$B$62,AI89+AH90-AQ89)))</f>
        <v>257.8</v>
      </c>
      <c r="AJ90" s="13">
        <f>AI90*VLOOKUP('Données projet'!$B$10,Paramètres!$A$1:$I$89,3,0)*VLOOKUP('Données projet'!$B$10,Paramètres!$A$1:$I$89,5,0)</f>
        <v>225.21408000000005</v>
      </c>
      <c r="AK90" s="13">
        <f t="shared" si="89"/>
        <v>55.246590695846493</v>
      </c>
      <c r="AL90" s="20">
        <f t="shared" si="58"/>
        <v>488.46900146193275</v>
      </c>
      <c r="AM90" s="59">
        <f t="shared" si="59"/>
        <v>751.40456803572124</v>
      </c>
      <c r="AN90" s="59">
        <f ca="1">AVERAGE(OFFSET($AM$3,0,0,'Données projet'!$E$10+1,1))-AVERAGE(OFFSET($H$3,0,0,'Données projet'!$E$10+1,1))</f>
        <v>436.77894860279537</v>
      </c>
      <c r="AO90" s="59">
        <f t="shared" si="90"/>
        <v>398.63561969573072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43.150634545123182</v>
      </c>
      <c r="AV90" s="21">
        <f>EXP(-LN(2)/25)*AV89+(1-EXP(-LN(2)/25))/(LN(2)/25)*Calculateur!AQ90*Calculateur!AS90*VLOOKUP('Données projet'!$B$10,Paramètres!$A$1:$I$89,3,0)*0.475*44/12</f>
        <v>9.9482327119352227</v>
      </c>
      <c r="AW90" s="21">
        <f>EXP(-LN(2)/2)*AW89+(1-EXP(-LN(2)/2))/(LN(2)/2)*AQ90*AT90*VLOOKUP('Données projet'!$B$10,Paramètres!$A$1:$I$89,3,0)*0.475*44/12</f>
        <v>4.1599152853058561E-9</v>
      </c>
      <c r="AX90" s="21">
        <f t="shared" si="60"/>
        <v>53.098867261218317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-1.3567387213697657E-13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344.97546176735341</v>
      </c>
      <c r="BJ90" s="59">
        <f t="shared" si="92"/>
        <v>331.15461126257492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89.997110555294512</v>
      </c>
      <c r="BQ90" s="21">
        <f>EXP(-LN(2)/25)*BQ89+(1-EXP(-LN(2)/25))/(LN(2)/25)*Calculateur!BL90*Calculateur!BN90*VLOOKUP('Données projet'!$B$11,Paramètres!$A$1:$I$89,3,0)*0.475*44/12</f>
        <v>2.3352640954157287</v>
      </c>
      <c r="BR90" s="21">
        <f>EXP(-LN(2)/2)*BR89+(1-EXP(-LN(2)/2))/(LN(2)/2)*BL90*BO90*VLOOKUP('Données projet'!$B$11,Paramètres!$A$1:$I$89,3,0)*0.475*44/12</f>
        <v>3.6781145540983196</v>
      </c>
      <c r="BS90" s="22">
        <f t="shared" si="63"/>
        <v>96.01048920480855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-1.7053025658242404E-13</v>
      </c>
      <c r="BZ90" s="13">
        <f>BY90*VLOOKUP('Données projet'!$B$12,Paramètres!$A$1:$I$89,3,0)*VLOOKUP('Données projet'!$B$12,Paramètres!$A$1:$I$89,5,0)</f>
        <v>-1.3567387213697657E-13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344.97546176735341</v>
      </c>
      <c r="CE90" s="59">
        <f t="shared" si="94"/>
        <v>331.15461126257492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89.997110555294512</v>
      </c>
      <c r="CL90" s="21">
        <f>EXP(-LN(2)/25)*CL89+(1-EXP(-LN(2)/25))/(LN(2)/25)*Calculateur!CG90*Calculateur!CI90*VLOOKUP('Données projet'!$B$12,Paramètres!$A$1:$I$89,3,0)*0.475*44/12</f>
        <v>2.3352640954157287</v>
      </c>
      <c r="CM90" s="21">
        <f>EXP(-LN(2)/2)*CM89+(1-EXP(-LN(2)/2))/(LN(2)/2)*CG90*CJ90*VLOOKUP('Données projet'!$B$12,Paramètres!$A$1:$I$89,3,0)*0.475*44/12</f>
        <v>3.6781145540983196</v>
      </c>
      <c r="CN90" s="22">
        <f t="shared" si="66"/>
        <v>96.01048920480855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227.19465047672969</v>
      </c>
      <c r="CZ90" s="59">
        <f t="shared" si="96"/>
        <v>529.77979244134417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31.856621229017161</v>
      </c>
      <c r="DG90" s="21">
        <f>EXP(-LN(2)/25)*DG89+(1-EXP(-LN(2)/25))/(LN(2)/25)*Calculateur!DB90*Calculateur!DD90*VLOOKUP('Données projet'!$B$13,Paramètres!$A$1:$I$89,3,0)*0.475*44/12</f>
        <v>6.5238533164824721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38.380474545499631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240.09151195692266</v>
      </c>
      <c r="DU90" s="59">
        <f t="shared" si="98"/>
        <v>559.47775134103165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33.938753335488826</v>
      </c>
      <c r="EB90" s="21">
        <f>EXP(-LN(2)/25)*EB89+(1-EXP(-LN(2)/25))/(LN(2)/25)*Calculateur!DW90*Calculateur!DY90*VLOOKUP('Données projet'!$B$14,Paramètres!$A$1:$I$89,3,0)*0.475*44/12</f>
        <v>6.9502489580826348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40.889002293571458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5.6843418860808015E-14</v>
      </c>
      <c r="EK90" s="17">
        <f>EJ90*VLOOKUP('Données projet'!$B$15,Paramètres!$A$1:$I$89,3,0)*VLOOKUP('Données projet'!$B$15,Paramètres!$A$1:$I$89,5,0)</f>
        <v>4.4337866711430253E-14</v>
      </c>
      <c r="EL90" s="13">
        <f t="shared" si="99"/>
        <v>7.3222115536967035E-13</v>
      </c>
      <c r="EM90" s="20">
        <f t="shared" si="73"/>
        <v>1.3525069634579169E-12</v>
      </c>
      <c r="EN90" s="59">
        <f t="shared" si="74"/>
        <v>262.9355665737898</v>
      </c>
      <c r="EO90" s="59">
        <f ca="1">AVERAGE(OFFSET($EN$3,0,0,'Données projet'!$E$15+1,1))-AVERAGE(OFFSET($H$3,0,0,'Données projet'!$E$15+1,1))</f>
        <v>328.79469965518484</v>
      </c>
      <c r="EP90" s="59">
        <f t="shared" si="100"/>
        <v>322.06400652269735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46.525996319098439</v>
      </c>
      <c r="EW90" s="21">
        <f>EXP(-LN(2)/25)*EW89+(1-EXP(-LN(2)/25))/(LN(2)/25)*Calculateur!ER90*Calculateur!ET90*VLOOKUP('Données projet'!$B$15,Paramètres!$A$1:$I$89,3,0)*0.475*44/12</f>
        <v>5.7752312810464108</v>
      </c>
      <c r="EX90" s="21">
        <f>EXP(-LN(2)/2)*EX89+(1-EXP(-LN(2)/2))/(LN(2)/2)*ER90*EU90*VLOOKUP('Données projet'!$B$15,Paramètres!$A$1:$I$89,3,0)*0.475*44/12</f>
        <v>0.1423977230431521</v>
      </c>
      <c r="EY90" s="22">
        <f t="shared" si="75"/>
        <v>52.443625323188002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9.1999999999999993</v>
      </c>
      <c r="FE90" s="12">
        <f>IF('Données projet'!$A$218&gt;35,FE89+FD90-FM89,IF(A90&lt;'Données projet'!$A$218,$FB$205^A90,IF(A90='Données projet'!$A$218,'Données projet'!$B$218,FE89+FD90-FM89)))</f>
        <v>423.4</v>
      </c>
      <c r="FF90" s="17">
        <f>FE90*VLOOKUP('Données projet'!$B$16,Paramètres!$A$1:$I$89,3,0)*VLOOKUP('Données projet'!$B$16,Paramètres!$A$1:$I$89,5,0)</f>
        <v>310.43687999999997</v>
      </c>
      <c r="FG90" s="13">
        <f t="shared" si="101"/>
        <v>73.360060624606533</v>
      </c>
      <c r="FH90" s="20">
        <f t="shared" si="76"/>
        <v>668.44633825452308</v>
      </c>
      <c r="FI90" s="59">
        <f t="shared" si="77"/>
        <v>931.38190482831146</v>
      </c>
      <c r="FJ90" s="59">
        <f ca="1">AVERAGE(OFFSET($FI$3,0,0,'Données projet'!$E$16+1,1))-AVERAGE(OFFSET($H$3,0,0,'Données projet'!$E$16+1,1))</f>
        <v>525.22234644068908</v>
      </c>
      <c r="FK90" s="59">
        <f t="shared" si="102"/>
        <v>311.5550296132094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3.0989018147563452</v>
      </c>
      <c r="FR90" s="21">
        <f>EXP(-LN(2)/25)*FR89+(1-EXP(-LN(2)/25))/(LN(2)/25)*Calculateur!FM90*Calculateur!FO90*VLOOKUP('Données projet'!$B$16,Paramètres!$A$1:$I$89,3,0)*0.475*44/12</f>
        <v>29.281882004321144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32.380783819077486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-1.7053025658242404E-13</v>
      </c>
      <c r="GA90" s="17">
        <f>FZ90*VLOOKUP('Données projet'!$B$17,Paramètres!$A$1:$I$89,3,0)*VLOOKUP('Données projet'!$B$17,Paramètres!$A$1:$I$89,5,0)</f>
        <v>-1.1173142411280423E-13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298.45881427802874</v>
      </c>
      <c r="GF90" s="59">
        <f t="shared" si="104"/>
        <v>287.00279305562356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60.131254777233416</v>
      </c>
      <c r="GM90" s="21">
        <f>EXP(-LN(2)/25)*GM89+(1-EXP(-LN(2)/25))/(LN(2)/25)*Calculateur!GH90*Calculateur!GJ90*VLOOKUP('Données projet'!$B$17,Paramètres!$A$1:$I$89,3,0)*0.475*44/12</f>
        <v>1.5602985409991885</v>
      </c>
      <c r="GN90" s="21">
        <f>EXP(-LN(2)/2)*GN89+(1-EXP(-LN(2)/2))/(LN(2)/2)*GH90*GK90*VLOOKUP('Données projet'!$B$17,Paramètres!$A$1:$I$89,3,0)*0.475*44/12</f>
        <v>3.0290355151397912</v>
      </c>
      <c r="GO90" s="21">
        <f t="shared" si="81"/>
        <v>64.720588833372403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135.66666666666666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7.333333333333333</v>
      </c>
      <c r="N91" s="13">
        <f>IF('Données projet'!$A$36&gt;35,N90+M91-V90,IF(A91&lt;'Données projet'!$A$36,$K$205^A91,IF(A91='Données projet'!$A$36,'Données projet'!$B$36,N90+M91-V90)))</f>
        <v>279.33333333333314</v>
      </c>
      <c r="O91" s="13">
        <f>N91*VLOOKUP('Données projet'!$B$9,Paramètres!$A$1:$I$89,3,0)*VLOOKUP('Données projet'!$B$9,Paramètres!$A$1:$I$89,5,0)</f>
        <v>252.74079999999981</v>
      </c>
      <c r="P91" s="13">
        <f t="shared" si="87"/>
        <v>61.172468963435016</v>
      </c>
      <c r="Q91" s="20">
        <f t="shared" si="54"/>
        <v>546.73227677798229</v>
      </c>
      <c r="R91" s="59">
        <f t="shared" si="55"/>
        <v>810.19517664582338</v>
      </c>
      <c r="S91" s="59">
        <f ca="1">AVERAGE(OFFSET($R$3,0,0,'Données projet'!$E$9+1,1))-AVERAGE(OFFSET($H$3,0,0,'Données projet'!$E$9+1,1))</f>
        <v>600.52384738314299</v>
      </c>
      <c r="T91" s="59">
        <f t="shared" si="88"/>
        <v>314.84650287986256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7.4213176247612953</v>
      </c>
      <c r="AA91" s="21">
        <f>EXP(-LN(2)/25)*AA90+(1-EXP(-LN(2)/25))/(LN(2)/25)*Calculateur!V91*Calculateur!X91*VLOOKUP('Données projet'!$B$9,Paramètres!$A$1:$I$89,3,0)*0.475*44/12</f>
        <v>34.172864528610205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41.594182153371499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3.4</v>
      </c>
      <c r="AI91" s="13">
        <f>IF('Données projet'!$A$62&gt;35,AI90+AH91-AQ90,IF(A91&lt;'Données projet'!$A$62,$AF$205^A91,IF(A91='Données projet'!$A$62,'Données projet'!$B$62,AI90+AH91-AQ90)))</f>
        <v>261.2</v>
      </c>
      <c r="AJ91" s="13">
        <f>AI91*VLOOKUP('Données projet'!$B$10,Paramètres!$A$1:$I$89,3,0)*VLOOKUP('Données projet'!$B$10,Paramètres!$A$1:$I$89,5,0)</f>
        <v>228.18432000000004</v>
      </c>
      <c r="AK91" s="13">
        <f t="shared" si="89"/>
        <v>55.889908157388689</v>
      </c>
      <c r="AL91" s="20">
        <f t="shared" si="58"/>
        <v>494.76261404078542</v>
      </c>
      <c r="AM91" s="59">
        <f t="shared" si="59"/>
        <v>758.22551390862645</v>
      </c>
      <c r="AN91" s="59">
        <f ca="1">AVERAGE(OFFSET($AM$3,0,0,'Données projet'!$E$10+1,1))-AVERAGE(OFFSET($H$3,0,0,'Données projet'!$E$10+1,1))</f>
        <v>436.77894860279537</v>
      </c>
      <c r="AO91" s="59">
        <f t="shared" si="90"/>
        <v>398.63561969573072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42.304476920981578</v>
      </c>
      <c r="AV91" s="21">
        <f>EXP(-LN(2)/25)*AV90+(1-EXP(-LN(2)/25))/(LN(2)/25)*Calculateur!AQ91*Calculateur!AS91*VLOOKUP('Données projet'!$B$10,Paramètres!$A$1:$I$89,3,0)*0.475*44/12</f>
        <v>9.6761977652725335</v>
      </c>
      <c r="AW91" s="21">
        <f>EXP(-LN(2)/2)*AW90+(1-EXP(-LN(2)/2))/(LN(2)/2)*AQ91*AT91*VLOOKUP('Données projet'!$B$10,Paramètres!$A$1:$I$89,3,0)*0.475*44/12</f>
        <v>2.9415043074013424E-9</v>
      </c>
      <c r="AX91" s="21">
        <f t="shared" si="60"/>
        <v>51.980674689195617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-1.3567387213697657E-13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344.97546176735341</v>
      </c>
      <c r="BJ91" s="59">
        <f t="shared" si="92"/>
        <v>331.15461126257492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88.232322110122411</v>
      </c>
      <c r="BQ91" s="21">
        <f>EXP(-LN(2)/25)*BQ90+(1-EXP(-LN(2)/25))/(LN(2)/25)*Calculateur!BL91*Calculateur!BN91*VLOOKUP('Données projet'!$B$11,Paramètres!$A$1:$I$89,3,0)*0.475*44/12</f>
        <v>2.2714061759203843</v>
      </c>
      <c r="BR91" s="21">
        <f>EXP(-LN(2)/2)*BR90+(1-EXP(-LN(2)/2))/(LN(2)/2)*BL91*BO91*VLOOKUP('Données projet'!$B$11,Paramètres!$A$1:$I$89,3,0)*0.475*44/12</f>
        <v>2.6008197431838562</v>
      </c>
      <c r="BS91" s="22">
        <f t="shared" si="63"/>
        <v>93.104548029226663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-1.7053025658242404E-13</v>
      </c>
      <c r="BZ91" s="13">
        <f>BY91*VLOOKUP('Données projet'!$B$12,Paramètres!$A$1:$I$89,3,0)*VLOOKUP('Données projet'!$B$12,Paramètres!$A$1:$I$89,5,0)</f>
        <v>-1.3567387213697657E-13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344.97546176735341</v>
      </c>
      <c r="CE91" s="59">
        <f t="shared" si="94"/>
        <v>331.15461126257492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88.232322110122411</v>
      </c>
      <c r="CL91" s="21">
        <f>EXP(-LN(2)/25)*CL90+(1-EXP(-LN(2)/25))/(LN(2)/25)*Calculateur!CG91*Calculateur!CI91*VLOOKUP('Données projet'!$B$12,Paramètres!$A$1:$I$89,3,0)*0.475*44/12</f>
        <v>2.2714061759203843</v>
      </c>
      <c r="CM91" s="21">
        <f>EXP(-LN(2)/2)*CM90+(1-EXP(-LN(2)/2))/(LN(2)/2)*CG91*CJ91*VLOOKUP('Données projet'!$B$12,Paramètres!$A$1:$I$89,3,0)*0.475*44/12</f>
        <v>2.6008197431838562</v>
      </c>
      <c r="CN91" s="22">
        <f t="shared" si="66"/>
        <v>93.104548029226663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227.19465047672969</v>
      </c>
      <c r="CZ91" s="59">
        <f t="shared" si="96"/>
        <v>529.77979244134417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31.231932317336469</v>
      </c>
      <c r="DG91" s="21">
        <f>EXP(-LN(2)/25)*DG90+(1-EXP(-LN(2)/25))/(LN(2)/25)*Calculateur!DB91*Calculateur!DD91*VLOOKUP('Données projet'!$B$13,Paramètres!$A$1:$I$89,3,0)*0.475*44/12</f>
        <v>6.3454582044687236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37.577390521805192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240.09151195692266</v>
      </c>
      <c r="DU91" s="59">
        <f t="shared" si="98"/>
        <v>559.47775134103165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33.273235083175408</v>
      </c>
      <c r="EB91" s="21">
        <f>EXP(-LN(2)/25)*EB90+(1-EXP(-LN(2)/25))/(LN(2)/25)*Calculateur!DW91*Calculateur!DY91*VLOOKUP('Données projet'!$B$14,Paramètres!$A$1:$I$89,3,0)*0.475*44/12</f>
        <v>6.7601940348261573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40.033429118001564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5.6843418860808015E-14</v>
      </c>
      <c r="EK91" s="17">
        <f>EJ91*VLOOKUP('Données projet'!$B$15,Paramètres!$A$1:$I$89,3,0)*VLOOKUP('Données projet'!$B$15,Paramètres!$A$1:$I$89,5,0)</f>
        <v>4.4337866711430253E-14</v>
      </c>
      <c r="EL91" s="13">
        <f t="shared" si="99"/>
        <v>7.3222115536967035E-13</v>
      </c>
      <c r="EM91" s="20">
        <f t="shared" si="73"/>
        <v>1.3525069634579169E-12</v>
      </c>
      <c r="EN91" s="59">
        <f t="shared" si="74"/>
        <v>263.46289986784245</v>
      </c>
      <c r="EO91" s="59">
        <f ca="1">AVERAGE(OFFSET($EN$3,0,0,'Données projet'!$E$15+1,1))-AVERAGE(OFFSET($H$3,0,0,'Données projet'!$E$15+1,1))</f>
        <v>328.79469965518484</v>
      </c>
      <c r="EP91" s="59">
        <f t="shared" si="100"/>
        <v>322.06400652269735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45.613649909336573</v>
      </c>
      <c r="EW91" s="21">
        <f>EXP(-LN(2)/25)*EW90+(1-EXP(-LN(2)/25))/(LN(2)/25)*Calculateur!ER91*Calculateur!ET91*VLOOKUP('Données projet'!$B$15,Paramètres!$A$1:$I$89,3,0)*0.475*44/12</f>
        <v>5.6173072779599833</v>
      </c>
      <c r="EX91" s="21">
        <f>EXP(-LN(2)/2)*EX90+(1-EXP(-LN(2)/2))/(LN(2)/2)*ER91*EU91*VLOOKUP('Données projet'!$B$15,Paramètres!$A$1:$I$89,3,0)*0.475*44/12</f>
        <v>0.10069039558933675</v>
      </c>
      <c r="EY91" s="22">
        <f t="shared" si="75"/>
        <v>51.331647582885893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9.1999999999999993</v>
      </c>
      <c r="FE91" s="12">
        <f>IF('Données projet'!$A$218&gt;35,FE90+FD91-FM90,IF(A91&lt;'Données projet'!$A$218,$FB$205^A91,IF(A91='Données projet'!$A$218,'Données projet'!$B$218,FE90+FD91-FM90)))</f>
        <v>432.59999999999997</v>
      </c>
      <c r="FF91" s="17">
        <f>FE91*VLOOKUP('Données projet'!$B$16,Paramètres!$A$1:$I$89,3,0)*VLOOKUP('Données projet'!$B$16,Paramètres!$A$1:$I$89,5,0)</f>
        <v>317.18231999999995</v>
      </c>
      <c r="FG91" s="13">
        <f t="shared" si="101"/>
        <v>74.766779107282645</v>
      </c>
      <c r="FH91" s="20">
        <f t="shared" si="76"/>
        <v>682.64468094518372</v>
      </c>
      <c r="FI91" s="59">
        <f t="shared" si="77"/>
        <v>946.10758081302481</v>
      </c>
      <c r="FJ91" s="59">
        <f ca="1">AVERAGE(OFFSET($FI$3,0,0,'Données projet'!$E$16+1,1))-AVERAGE(OFFSET($H$3,0,0,'Données projet'!$E$16+1,1))</f>
        <v>525.22234644068908</v>
      </c>
      <c r="FK91" s="59">
        <f t="shared" si="102"/>
        <v>311.5550296132094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3.0381342403124441</v>
      </c>
      <c r="FR91" s="21">
        <f>EXP(-LN(2)/25)*FR90+(1-EXP(-LN(2)/25))/(LN(2)/25)*Calculateur!FM91*Calculateur!FO91*VLOOKUP('Données projet'!$B$16,Paramètres!$A$1:$I$89,3,0)*0.475*44/12</f>
        <v>28.481167401045731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31.519301641358176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-1.7053025658242404E-13</v>
      </c>
      <c r="GA91" s="17">
        <f>FZ91*VLOOKUP('Données projet'!$B$17,Paramètres!$A$1:$I$89,3,0)*VLOOKUP('Données projet'!$B$17,Paramètres!$A$1:$I$89,5,0)</f>
        <v>-1.1173142411280423E-13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298.45881427802874</v>
      </c>
      <c r="GF91" s="59">
        <f t="shared" si="104"/>
        <v>287.00279305562356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58.952117547495781</v>
      </c>
      <c r="GM91" s="21">
        <f>EXP(-LN(2)/25)*GM90+(1-EXP(-LN(2)/25))/(LN(2)/25)*Calculateur!GH91*Calculateur!GJ91*VLOOKUP('Données projet'!$B$17,Paramètres!$A$1:$I$89,3,0)*0.475*44/12</f>
        <v>1.5176320953430316</v>
      </c>
      <c r="GN91" s="21">
        <f>EXP(-LN(2)/2)*GN90+(1-EXP(-LN(2)/2))/(LN(2)/2)*GH91*GK91*VLOOKUP('Données projet'!$B$17,Paramètres!$A$1:$I$89,3,0)*0.475*44/12</f>
        <v>2.1418515532102336</v>
      </c>
      <c r="GO91" s="21">
        <f t="shared" si="81"/>
        <v>62.611601196049044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135.66666666666666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7.333333333333333</v>
      </c>
      <c r="N92" s="13">
        <f>IF('Données projet'!$A$36&gt;35,N91+M92-V91,IF(A92&lt;'Données projet'!$A$36,$K$205^A92,IF(A92='Données projet'!$A$36,'Données projet'!$B$36,N91+M92-V91)))</f>
        <v>286.66666666666646</v>
      </c>
      <c r="O92" s="13">
        <f>N92*VLOOKUP('Données projet'!$B$9,Paramètres!$A$1:$I$89,3,0)*VLOOKUP('Données projet'!$B$9,Paramètres!$A$1:$I$89,5,0)</f>
        <v>259.37599999999981</v>
      </c>
      <c r="P92" s="13">
        <f t="shared" si="87"/>
        <v>62.58934777690127</v>
      </c>
      <c r="Q92" s="20">
        <f t="shared" si="54"/>
        <v>560.7563140447694</v>
      </c>
      <c r="R92" s="59">
        <f t="shared" si="55"/>
        <v>824.73739915295187</v>
      </c>
      <c r="S92" s="59">
        <f ca="1">AVERAGE(OFFSET($R$3,0,0,'Données projet'!$E$9+1,1))-AVERAGE(OFFSET($H$3,0,0,'Données projet'!$E$9+1,1))</f>
        <v>600.52384738314299</v>
      </c>
      <c r="T92" s="59">
        <f t="shared" si="88"/>
        <v>314.84650287986256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7.2757901126965168</v>
      </c>
      <c r="AA92" s="21">
        <f>EXP(-LN(2)/25)*AA91+(1-EXP(-LN(2)/25))/(LN(2)/25)*Calculateur!V92*Calculateur!X92*VLOOKUP('Données projet'!$B$9,Paramètres!$A$1:$I$89,3,0)*0.475*44/12</f>
        <v>33.238405751002517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40.514195863699037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3.4</v>
      </c>
      <c r="AI92" s="13">
        <f>IF('Données projet'!$A$62&gt;35,AI91+AH92-AQ91,IF(A92&lt;'Données projet'!$A$62,$AF$205^A92,IF(A92='Données projet'!$A$62,'Données projet'!$B$62,AI91+AH92-AQ91)))</f>
        <v>264.59999999999997</v>
      </c>
      <c r="AJ92" s="13">
        <f>AI92*VLOOKUP('Données projet'!$B$10,Paramètres!$A$1:$I$89,3,0)*VLOOKUP('Données projet'!$B$10,Paramètres!$A$1:$I$89,5,0)</f>
        <v>231.15455999999998</v>
      </c>
      <c r="AK92" s="13">
        <f t="shared" si="89"/>
        <v>56.532251598510484</v>
      </c>
      <c r="AL92" s="20">
        <f t="shared" si="58"/>
        <v>501.05453020073901</v>
      </c>
      <c r="AM92" s="59">
        <f t="shared" si="59"/>
        <v>765.03561530892148</v>
      </c>
      <c r="AN92" s="59">
        <f ca="1">AVERAGE(OFFSET($AM$3,0,0,'Données projet'!$E$10+1,1))-AVERAGE(OFFSET($H$3,0,0,'Données projet'!$E$10+1,1))</f>
        <v>436.77894860279537</v>
      </c>
      <c r="AO92" s="59">
        <f t="shared" si="90"/>
        <v>398.63561969573072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41.474911931744195</v>
      </c>
      <c r="AV92" s="21">
        <f>EXP(-LN(2)/25)*AV91+(1-EXP(-LN(2)/25))/(LN(2)/25)*Calculateur!AQ92*Calculateur!AS92*VLOOKUP('Données projet'!$B$10,Paramètres!$A$1:$I$89,3,0)*0.475*44/12</f>
        <v>9.411601628532031</v>
      </c>
      <c r="AW92" s="21">
        <f>EXP(-LN(2)/2)*AW91+(1-EXP(-LN(2)/2))/(LN(2)/2)*AQ92*AT92*VLOOKUP('Données projet'!$B$10,Paramètres!$A$1:$I$89,3,0)*0.475*44/12</f>
        <v>2.079957642652928E-9</v>
      </c>
      <c r="AX92" s="21">
        <f t="shared" si="60"/>
        <v>50.886513562356186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-1.3567387213697657E-13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344.97546176735341</v>
      </c>
      <c r="BJ92" s="59">
        <f t="shared" si="92"/>
        <v>331.15461126257492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86.50214008994547</v>
      </c>
      <c r="BQ92" s="21">
        <f>EXP(-LN(2)/25)*BQ91+(1-EXP(-LN(2)/25))/(LN(2)/25)*Calculateur!BL92*Calculateur!BN92*VLOOKUP('Données projet'!$B$11,Paramètres!$A$1:$I$89,3,0)*0.475*44/12</f>
        <v>2.2092944545917819</v>
      </c>
      <c r="BR92" s="21">
        <f>EXP(-LN(2)/2)*BR91+(1-EXP(-LN(2)/2))/(LN(2)/2)*BL92*BO92*VLOOKUP('Données projet'!$B$11,Paramètres!$A$1:$I$89,3,0)*0.475*44/12</f>
        <v>1.8390572770491598</v>
      </c>
      <c r="BS92" s="22">
        <f t="shared" si="63"/>
        <v>90.550491821586419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-1.7053025658242404E-13</v>
      </c>
      <c r="BZ92" s="13">
        <f>BY92*VLOOKUP('Données projet'!$B$12,Paramètres!$A$1:$I$89,3,0)*VLOOKUP('Données projet'!$B$12,Paramètres!$A$1:$I$89,5,0)</f>
        <v>-1.3567387213697657E-13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344.97546176735341</v>
      </c>
      <c r="CE92" s="59">
        <f t="shared" si="94"/>
        <v>331.15461126257492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86.50214008994547</v>
      </c>
      <c r="CL92" s="21">
        <f>EXP(-LN(2)/25)*CL91+(1-EXP(-LN(2)/25))/(LN(2)/25)*Calculateur!CG92*Calculateur!CI92*VLOOKUP('Données projet'!$B$12,Paramètres!$A$1:$I$89,3,0)*0.475*44/12</f>
        <v>2.2092944545917819</v>
      </c>
      <c r="CM92" s="21">
        <f>EXP(-LN(2)/2)*CM91+(1-EXP(-LN(2)/2))/(LN(2)/2)*CG92*CJ92*VLOOKUP('Données projet'!$B$12,Paramètres!$A$1:$I$89,3,0)*0.475*44/12</f>
        <v>1.8390572770491598</v>
      </c>
      <c r="CN92" s="22">
        <f t="shared" si="66"/>
        <v>90.550491821586419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227.19465047672969</v>
      </c>
      <c r="CZ92" s="59">
        <f t="shared" si="96"/>
        <v>529.77979244134417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30.619493174191224</v>
      </c>
      <c r="DG92" s="21">
        <f>EXP(-LN(2)/25)*DG91+(1-EXP(-LN(2)/25))/(LN(2)/25)*Calculateur!DB92*Calculateur!DD92*VLOOKUP('Données projet'!$B$13,Paramètres!$A$1:$I$89,3,0)*0.475*44/12</f>
        <v>6.1719413161743821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36.791434490365603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240.09151195692266</v>
      </c>
      <c r="DU92" s="59">
        <f t="shared" si="98"/>
        <v>559.47775134103165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32.620767237863809</v>
      </c>
      <c r="EB92" s="21">
        <f>EXP(-LN(2)/25)*EB91+(1-EXP(-LN(2)/25))/(LN(2)/25)*Calculateur!DW92*Calculateur!DY92*VLOOKUP('Données projet'!$B$14,Paramètres!$A$1:$I$89,3,0)*0.475*44/12</f>
        <v>6.5753361734406823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39.196103411304492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5.6843418860808015E-14</v>
      </c>
      <c r="EK92" s="17">
        <f>EJ92*VLOOKUP('Données projet'!$B$15,Paramètres!$A$1:$I$89,3,0)*VLOOKUP('Données projet'!$B$15,Paramètres!$A$1:$I$89,5,0)</f>
        <v>4.4337866711430253E-14</v>
      </c>
      <c r="EL92" s="13">
        <f t="shared" si="99"/>
        <v>7.3222115536967035E-13</v>
      </c>
      <c r="EM92" s="20">
        <f t="shared" si="73"/>
        <v>1.3525069634579169E-12</v>
      </c>
      <c r="EN92" s="59">
        <f t="shared" si="74"/>
        <v>263.98108510818389</v>
      </c>
      <c r="EO92" s="59">
        <f ca="1">AVERAGE(OFFSET($EN$3,0,0,'Données projet'!$E$15+1,1))-AVERAGE(OFFSET($H$3,0,0,'Données projet'!$E$15+1,1))</f>
        <v>328.79469965518484</v>
      </c>
      <c r="EP92" s="59">
        <f t="shared" si="100"/>
        <v>322.06400652269735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44.719194056193771</v>
      </c>
      <c r="EW92" s="21">
        <f>EXP(-LN(2)/25)*EW91+(1-EXP(-LN(2)/25))/(LN(2)/25)*Calculateur!ER92*Calculateur!ET92*VLOOKUP('Données projet'!$B$15,Paramètres!$A$1:$I$89,3,0)*0.475*44/12</f>
        <v>5.4637017150428164</v>
      </c>
      <c r="EX92" s="21">
        <f>EXP(-LN(2)/2)*EX91+(1-EXP(-LN(2)/2))/(LN(2)/2)*ER92*EU92*VLOOKUP('Données projet'!$B$15,Paramètres!$A$1:$I$89,3,0)*0.475*44/12</f>
        <v>7.1198861521576048E-2</v>
      </c>
      <c r="EY92" s="22">
        <f t="shared" si="75"/>
        <v>50.254094632758161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9.1999999999999993</v>
      </c>
      <c r="FE92" s="12">
        <f>IF('Données projet'!$A$218&gt;35,FE91+FD92-FM91,IF(A92&lt;'Données projet'!$A$218,$FB$205^A92,IF(A92='Données projet'!$A$218,'Données projet'!$B$218,FE91+FD92-FM91)))</f>
        <v>441.79999999999995</v>
      </c>
      <c r="FF92" s="17">
        <f>FE92*VLOOKUP('Données projet'!$B$16,Paramètres!$A$1:$I$89,3,0)*VLOOKUP('Données projet'!$B$16,Paramètres!$A$1:$I$89,5,0)</f>
        <v>323.92775999999992</v>
      </c>
      <c r="FG92" s="13">
        <f t="shared" si="101"/>
        <v>76.170019357015306</v>
      </c>
      <c r="FH92" s="20">
        <f t="shared" si="76"/>
        <v>696.83696571346809</v>
      </c>
      <c r="FI92" s="59">
        <f t="shared" si="77"/>
        <v>960.81805082165056</v>
      </c>
      <c r="FJ92" s="59">
        <f ca="1">AVERAGE(OFFSET($FI$3,0,0,'Données projet'!$E$16+1,1))-AVERAGE(OFFSET($H$3,0,0,'Données projet'!$E$16+1,1))</f>
        <v>525.22234644068908</v>
      </c>
      <c r="FK92" s="59">
        <f t="shared" si="102"/>
        <v>311.5550296132094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2.9785582809388274</v>
      </c>
      <c r="FR92" s="21">
        <f>EXP(-LN(2)/25)*FR91+(1-EXP(-LN(2)/25))/(LN(2)/25)*Calculateur!FM92*Calculateur!FO92*VLOOKUP('Données projet'!$B$16,Paramètres!$A$1:$I$89,3,0)*0.475*44/12</f>
        <v>27.702348380704635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30.680906661643462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-1.7053025658242404E-13</v>
      </c>
      <c r="GA92" s="17">
        <f>FZ92*VLOOKUP('Données projet'!$B$17,Paramètres!$A$1:$I$89,3,0)*VLOOKUP('Données projet'!$B$17,Paramètres!$A$1:$I$89,5,0)</f>
        <v>-1.1173142411280423E-13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298.45881427802874</v>
      </c>
      <c r="GF92" s="59">
        <f t="shared" si="104"/>
        <v>287.00279305562356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57.796102479630612</v>
      </c>
      <c r="GM92" s="21">
        <f>EXP(-LN(2)/25)*GM91+(1-EXP(-LN(2)/25))/(LN(2)/25)*Calculateur!GH92*Calculateur!GJ92*VLOOKUP('Données projet'!$B$17,Paramètres!$A$1:$I$89,3,0)*0.475*44/12</f>
        <v>1.4761323658870731</v>
      </c>
      <c r="GN92" s="21">
        <f>EXP(-LN(2)/2)*GN91+(1-EXP(-LN(2)/2))/(LN(2)/2)*GH92*GK92*VLOOKUP('Données projet'!$B$17,Paramètres!$A$1:$I$89,3,0)*0.475*44/12</f>
        <v>1.5145177575698956</v>
      </c>
      <c r="GO92" s="21">
        <f t="shared" si="81"/>
        <v>60.786752603087585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135.66666666666666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7.333333333333333</v>
      </c>
      <c r="N93" s="13">
        <f>IF('Données projet'!$A$36&gt;35,N92+M93-V92,IF(A93&lt;'Données projet'!$A$36,$K$205^A93,IF(A93='Données projet'!$A$36,'Données projet'!$B$36,N92+M93-V92)))</f>
        <v>293.99999999999977</v>
      </c>
      <c r="O93" s="13">
        <f>N93*VLOOKUP('Données projet'!$B$9,Paramètres!$A$1:$I$89,3,0)*VLOOKUP('Données projet'!$B$9,Paramètres!$A$1:$I$89,5,0)</f>
        <v>266.0111999999998</v>
      </c>
      <c r="P93" s="13">
        <f t="shared" si="87"/>
        <v>64.00201337612566</v>
      </c>
      <c r="Q93" s="20">
        <f t="shared" si="54"/>
        <v>574.77301329675186</v>
      </c>
      <c r="R93" s="59">
        <f t="shared" si="55"/>
        <v>839.26329428984468</v>
      </c>
      <c r="S93" s="59">
        <f ca="1">AVERAGE(OFFSET($R$3,0,0,'Données projet'!$E$9+1,1))-AVERAGE(OFFSET($H$3,0,0,'Données projet'!$E$9+1,1))</f>
        <v>600.52384738314299</v>
      </c>
      <c r="T93" s="59">
        <f t="shared" si="88"/>
        <v>314.84650287986256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7.1331163063803107</v>
      </c>
      <c r="AA93" s="21">
        <f>EXP(-LN(2)/25)*AA92+(1-EXP(-LN(2)/25))/(LN(2)/25)*Calculateur!V93*Calculateur!X93*VLOOKUP('Données projet'!$B$9,Paramètres!$A$1:$I$89,3,0)*0.475*44/12</f>
        <v>32.329499797809561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39.46261610418987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268</v>
      </c>
      <c r="AG93" s="12">
        <f>VLOOKUP(A93,'Données projet'!$A$61:$I$81,9,0)</f>
        <v>3.4</v>
      </c>
      <c r="AH93" s="12">
        <f t="array" ref="AH93">INDEX(AG:AG,MIN(IF(ISNUMBER(AG93:AG289),ROW(AG93:AG289),"")))</f>
        <v>3.4</v>
      </c>
      <c r="AI93" s="13">
        <f>IF('Données projet'!$A$62&gt;35,AI92+AH93-AQ92,IF(A93&lt;'Données projet'!$A$62,$AF$205^A93,IF(A93='Données projet'!$A$62,'Données projet'!$B$62,AI92+AH93-AQ92)))</f>
        <v>267.99999999999994</v>
      </c>
      <c r="AJ93" s="13">
        <f>AI93*VLOOKUP('Données projet'!$B$10,Paramètres!$A$1:$I$89,3,0)*VLOOKUP('Données projet'!$B$10,Paramètres!$A$1:$I$89,5,0)</f>
        <v>234.12479999999999</v>
      </c>
      <c r="AK93" s="13">
        <f t="shared" si="89"/>
        <v>57.173634982132555</v>
      </c>
      <c r="AL93" s="20">
        <f t="shared" si="58"/>
        <v>507.34477426054747</v>
      </c>
      <c r="AM93" s="59">
        <f t="shared" si="59"/>
        <v>771.83505525364023</v>
      </c>
      <c r="AN93" s="59">
        <f ca="1">AVERAGE(OFFSET($AM$3,0,0,'Données projet'!$E$10+1,1))-AVERAGE(OFFSET($H$3,0,0,'Données projet'!$E$10+1,1))</f>
        <v>436.77894860279537</v>
      </c>
      <c r="AO93" s="59">
        <f t="shared" si="90"/>
        <v>398.63561969573072</v>
      </c>
      <c r="AP93" s="15">
        <f>IF(ISNA(VLOOKUP(A93,'Données projet'!$A$61:$I$81,3,0)),0,VLOOKUP(A93,'Données projet'!$A$61:$I$81,3,0))</f>
        <v>16</v>
      </c>
      <c r="AQ93" s="15">
        <f>IF(ISNA(VLOOKUP(A93,'Données projet'!$A$61:$I$81,4,0)),0,VLOOKUP(A93,'Données projet'!$A$61:$I$81,4,0))</f>
        <v>14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4.3000000000000003E-2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44.731238029842856</v>
      </c>
      <c r="AV93" s="21">
        <f>EXP(-LN(2)/25)*AV92+(1-EXP(-LN(2)/25))/(LN(2)/25)*Calculateur!AQ93*Calculateur!AS93*VLOOKUP('Données projet'!$B$10,Paramètres!$A$1:$I$89,3,0)*0.475*44/12</f>
        <v>9.7333266248136194</v>
      </c>
      <c r="AW93" s="21">
        <f>EXP(-LN(2)/2)*AW92+(1-EXP(-LN(2)/2))/(LN(2)/2)*AQ93*AT93*VLOOKUP('Données projet'!$B$10,Paramètres!$A$1:$I$89,3,0)*0.475*44/12</f>
        <v>1.4707521537006712E-9</v>
      </c>
      <c r="AX93" s="21">
        <f t="shared" si="60"/>
        <v>54.46456465612723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-1.3567387213697657E-13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344.97546176735341</v>
      </c>
      <c r="BJ93" s="59">
        <f t="shared" si="92"/>
        <v>331.15461126257492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84.805885883877366</v>
      </c>
      <c r="BQ93" s="21">
        <f>EXP(-LN(2)/25)*BQ92+(1-EXP(-LN(2)/25))/(LN(2)/25)*Calculateur!BL93*Calculateur!BN93*VLOOKUP('Données projet'!$B$11,Paramètres!$A$1:$I$89,3,0)*0.475*44/12</f>
        <v>2.1488811815492235</v>
      </c>
      <c r="BR93" s="21">
        <f>EXP(-LN(2)/2)*BR92+(1-EXP(-LN(2)/2))/(LN(2)/2)*BL93*BO93*VLOOKUP('Données projet'!$B$11,Paramètres!$A$1:$I$89,3,0)*0.475*44/12</f>
        <v>1.3004098715919281</v>
      </c>
      <c r="BS93" s="22">
        <f t="shared" si="63"/>
        <v>88.255176937018518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-1.7053025658242404E-13</v>
      </c>
      <c r="BZ93" s="13">
        <f>BY93*VLOOKUP('Données projet'!$B$12,Paramètres!$A$1:$I$89,3,0)*VLOOKUP('Données projet'!$B$12,Paramètres!$A$1:$I$89,5,0)</f>
        <v>-1.3567387213697657E-13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344.97546176735341</v>
      </c>
      <c r="CE93" s="59">
        <f t="shared" si="94"/>
        <v>331.15461126257492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84.805885883877366</v>
      </c>
      <c r="CL93" s="21">
        <f>EXP(-LN(2)/25)*CL92+(1-EXP(-LN(2)/25))/(LN(2)/25)*Calculateur!CG93*Calculateur!CI93*VLOOKUP('Données projet'!$B$12,Paramètres!$A$1:$I$89,3,0)*0.475*44/12</f>
        <v>2.1488811815492235</v>
      </c>
      <c r="CM93" s="21">
        <f>EXP(-LN(2)/2)*CM92+(1-EXP(-LN(2)/2))/(LN(2)/2)*CG93*CJ93*VLOOKUP('Données projet'!$B$12,Paramètres!$A$1:$I$89,3,0)*0.475*44/12</f>
        <v>1.3004098715919281</v>
      </c>
      <c r="CN93" s="22">
        <f t="shared" si="66"/>
        <v>88.255176937018518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227.19465047672969</v>
      </c>
      <c r="CZ93" s="59">
        <f t="shared" si="96"/>
        <v>529.77979244134417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30.019063589092063</v>
      </c>
      <c r="DG93" s="21">
        <f>EXP(-LN(2)/25)*DG92+(1-EXP(-LN(2)/25))/(LN(2)/25)*Calculateur!DB93*Calculateur!DD93*VLOOKUP('Données projet'!$B$13,Paramètres!$A$1:$I$89,3,0)*0.475*44/12</f>
        <v>6.0031692563153056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36.022232845407366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240.09151195692266</v>
      </c>
      <c r="DU93" s="59">
        <f t="shared" si="98"/>
        <v>559.47775134103165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31.981093889032678</v>
      </c>
      <c r="EB93" s="21">
        <f>EXP(-LN(2)/25)*EB92+(1-EXP(-LN(2)/25))/(LN(2)/25)*Calculateur!DW93*Calculateur!DY93*VLOOKUP('Données projet'!$B$14,Paramètres!$A$1:$I$89,3,0)*0.475*44/12</f>
        <v>6.3955332599960455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38.376627149028721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5.6843418860808015E-14</v>
      </c>
      <c r="EK93" s="17">
        <f>EJ93*VLOOKUP('Données projet'!$B$15,Paramètres!$A$1:$I$89,3,0)*VLOOKUP('Données projet'!$B$15,Paramètres!$A$1:$I$89,5,0)</f>
        <v>4.4337866711430253E-14</v>
      </c>
      <c r="EL93" s="13">
        <f t="shared" si="99"/>
        <v>7.3222115536967035E-13</v>
      </c>
      <c r="EM93" s="20">
        <f t="shared" si="73"/>
        <v>1.3525069634579169E-12</v>
      </c>
      <c r="EN93" s="59">
        <f t="shared" si="74"/>
        <v>264.49028099309413</v>
      </c>
      <c r="EO93" s="59">
        <f ca="1">AVERAGE(OFFSET($EN$3,0,0,'Données projet'!$E$15+1,1))-AVERAGE(OFFSET($H$3,0,0,'Données projet'!$E$15+1,1))</f>
        <v>328.79469965518484</v>
      </c>
      <c r="EP93" s="59">
        <f t="shared" si="100"/>
        <v>322.06400652269735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43.842277936766905</v>
      </c>
      <c r="EW93" s="21">
        <f>EXP(-LN(2)/25)*EW92+(1-EXP(-LN(2)/25))/(LN(2)/25)*Calculateur!ER93*Calculateur!ET93*VLOOKUP('Données projet'!$B$15,Paramètres!$A$1:$I$89,3,0)*0.475*44/12</f>
        <v>5.3142965043213852</v>
      </c>
      <c r="EX93" s="21">
        <f>EXP(-LN(2)/2)*EX92+(1-EXP(-LN(2)/2))/(LN(2)/2)*ER93*EU93*VLOOKUP('Données projet'!$B$15,Paramètres!$A$1:$I$89,3,0)*0.475*44/12</f>
        <v>5.0345197794668374E-2</v>
      </c>
      <c r="EY93" s="22">
        <f t="shared" si="75"/>
        <v>49.206919638882958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451</v>
      </c>
      <c r="FC93" s="12">
        <f>VLOOKUP(A93,'Données projet'!$A$217:$I$237,9,0)</f>
        <v>9.1999999999999993</v>
      </c>
      <c r="FD93" s="12">
        <f t="array" ref="FD93">INDEX(FC:FC,MIN(IF(ISNUMBER(FC93:FC289),ROW(FC93:FC289),"")))</f>
        <v>9.1999999999999993</v>
      </c>
      <c r="FE93" s="12">
        <f>IF('Données projet'!$A$218&gt;35,FE92+FD93-FM92,IF(A93&lt;'Données projet'!$A$218,$FB$205^A93,IF(A93='Données projet'!$A$218,'Données projet'!$B$218,FE92+FD93-FM92)))</f>
        <v>450.99999999999994</v>
      </c>
      <c r="FF93" s="17">
        <f>FE93*VLOOKUP('Données projet'!$B$16,Paramètres!$A$1:$I$89,3,0)*VLOOKUP('Données projet'!$B$16,Paramètres!$A$1:$I$89,5,0)</f>
        <v>330.67319999999995</v>
      </c>
      <c r="FG93" s="13">
        <f t="shared" si="101"/>
        <v>77.56986214894971</v>
      </c>
      <c r="FH93" s="20">
        <f t="shared" si="76"/>
        <v>711.02333324275389</v>
      </c>
      <c r="FI93" s="59">
        <f t="shared" si="77"/>
        <v>975.51361423584672</v>
      </c>
      <c r="FJ93" s="59">
        <f ca="1">AVERAGE(OFFSET($FI$3,0,0,'Données projet'!$E$16+1,1))-AVERAGE(OFFSET($H$3,0,0,'Données projet'!$E$16+1,1))</f>
        <v>525.22234644068908</v>
      </c>
      <c r="FK93" s="59">
        <f t="shared" si="102"/>
        <v>311.5550296132094</v>
      </c>
      <c r="FL93" s="15">
        <f>IF(ISNA(VLOOKUP(A93,'Données projet'!$A$217:$I$237,3,0)),0,VLOOKUP(A93,'Données projet'!$A$217:$I$237,3,0))</f>
        <v>15</v>
      </c>
      <c r="FM93" s="15">
        <f>IF(ISNA(VLOOKUP(A93,'Données projet'!$A$217:$I$237,4,0)),0,VLOOKUP(A93,'Données projet'!$A$217:$I$237,4,0))</f>
        <v>31</v>
      </c>
      <c r="FN93" s="16">
        <f>IF(ISNA(VLOOKUP(A93,'Données projet'!$A$217:$I$237,5,0)),0%,VLOOKUP(A93,'Données projet'!$A$217:$I$237,5,0)*VLOOKUP('Données projet'!$B$16,Paramètres!$A$1:$I$89,7,0))</f>
        <v>0.129</v>
      </c>
      <c r="FO93" s="16">
        <f>IF(ISNA(VLOOKUP(A93,'Données projet'!$A$217:$I$237,6,0)),0%,VLOOKUP(A93,'Données projet'!$A$217:$I$237,6,0)*VLOOKUP('Données projet'!$B$16,Paramètres!$A$1:$I$89,7,0))</f>
        <v>0.15049999999999999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6.1614635680027421</v>
      </c>
      <c r="FR93" s="21">
        <f>EXP(-LN(2)/25)*FR92+(1-EXP(-LN(2)/25))/(LN(2)/25)*Calculateur!FM93*Calculateur!FO93*VLOOKUP('Données projet'!$B$16,Paramètres!$A$1:$I$89,3,0)*0.475*44/12</f>
        <v>30.71146870698216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36.872932274984905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-1.7053025658242404E-13</v>
      </c>
      <c r="GA93" s="17">
        <f>FZ93*VLOOKUP('Données projet'!$B$17,Paramètres!$A$1:$I$89,3,0)*VLOOKUP('Données projet'!$B$17,Paramètres!$A$1:$I$89,5,0)</f>
        <v>-1.1173142411280423E-13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298.45881427802874</v>
      </c>
      <c r="GF93" s="59">
        <f t="shared" si="104"/>
        <v>287.00279305562356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56.662756162146707</v>
      </c>
      <c r="GM93" s="21">
        <f>EXP(-LN(2)/25)*GM92+(1-EXP(-LN(2)/25))/(LN(2)/25)*Calculateur!GH93*Calculateur!GJ93*VLOOKUP('Données projet'!$B$17,Paramètres!$A$1:$I$89,3,0)*0.475*44/12</f>
        <v>1.4357674487154637</v>
      </c>
      <c r="GN93" s="21">
        <f>EXP(-LN(2)/2)*GN92+(1-EXP(-LN(2)/2))/(LN(2)/2)*GH93*GK93*VLOOKUP('Données projet'!$B$17,Paramètres!$A$1:$I$89,3,0)*0.475*44/12</f>
        <v>1.0709257766051168</v>
      </c>
      <c r="GO93" s="21">
        <f t="shared" si="81"/>
        <v>59.169449387467289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135.66666666666666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7.333333333333333</v>
      </c>
      <c r="N94" s="13">
        <f>IF('Données projet'!$A$36&gt;35,N93+M94-V93,IF(A94&lt;'Données projet'!$A$36,$K$205^A94,IF(A94='Données projet'!$A$36,'Données projet'!$B$36,N93+M94-V93)))</f>
        <v>301.33333333333309</v>
      </c>
      <c r="O94" s="13">
        <f>N94*VLOOKUP('Données projet'!$B$9,Paramètres!$A$1:$I$89,3,0)*VLOOKUP('Données projet'!$B$9,Paramètres!$A$1:$I$89,5,0)</f>
        <v>272.64639999999974</v>
      </c>
      <c r="P94" s="13">
        <f t="shared" si="87"/>
        <v>65.41058293969752</v>
      </c>
      <c r="Q94" s="20">
        <f t="shared" si="54"/>
        <v>588.7825786199727</v>
      </c>
      <c r="R94" s="59">
        <f t="shared" si="55"/>
        <v>853.77322208776388</v>
      </c>
      <c r="S94" s="59">
        <f ca="1">AVERAGE(OFFSET($R$3,0,0,'Données projet'!$E$9+1,1))-AVERAGE(OFFSET($H$3,0,0,'Données projet'!$E$9+1,1))</f>
        <v>600.52384738314299</v>
      </c>
      <c r="T94" s="59">
        <f t="shared" si="88"/>
        <v>314.84650287986256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6.9932402463835368</v>
      </c>
      <c r="AA94" s="21">
        <f>EXP(-LN(2)/25)*AA93+(1-EXP(-LN(2)/25))/(LN(2)/25)*Calculateur!V94*Calculateur!X94*VLOOKUP('Données projet'!$B$9,Paramètres!$A$1:$I$89,3,0)*0.475*44/12</f>
        <v>31.445447925703956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38.438688172087495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3.2</v>
      </c>
      <c r="AI94" s="13">
        <f>IF('Données projet'!$A$62&gt;35,AI93+AH94-AQ93,IF(A94&lt;'Données projet'!$A$62,$AF$205^A94,IF(A94='Données projet'!$A$62,'Données projet'!$B$62,AI93+AH94-AQ93)))</f>
        <v>257.19999999999993</v>
      </c>
      <c r="AJ94" s="13">
        <f>AI94*VLOOKUP('Données projet'!$B$10,Paramètres!$A$1:$I$89,3,0)*VLOOKUP('Données projet'!$B$10,Paramètres!$A$1:$I$89,5,0)</f>
        <v>224.68991999999997</v>
      </c>
      <c r="AK94" s="13">
        <f t="shared" si="89"/>
        <v>55.132961900876232</v>
      </c>
      <c r="AL94" s="20">
        <f t="shared" si="58"/>
        <v>487.35818597735943</v>
      </c>
      <c r="AM94" s="59">
        <f t="shared" si="59"/>
        <v>752.34882944515061</v>
      </c>
      <c r="AN94" s="59">
        <f ca="1">AVERAGE(OFFSET($AM$3,0,0,'Données projet'!$E$10+1,1))-AVERAGE(OFFSET($H$3,0,0,'Données projet'!$E$10+1,1))</f>
        <v>436.77894860279537</v>
      </c>
      <c r="AO94" s="59">
        <f t="shared" si="90"/>
        <v>398.63561969573072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43.854085735438829</v>
      </c>
      <c r="AV94" s="21">
        <f>EXP(-LN(2)/25)*AV93+(1-EXP(-LN(2)/25))/(LN(2)/25)*Calculateur!AQ94*Calculateur!AS94*VLOOKUP('Données projet'!$B$10,Paramètres!$A$1:$I$89,3,0)*0.475*44/12</f>
        <v>9.4671682964046902</v>
      </c>
      <c r="AW94" s="21">
        <f>EXP(-LN(2)/2)*AW93+(1-EXP(-LN(2)/2))/(LN(2)/2)*AQ94*AT94*VLOOKUP('Données projet'!$B$10,Paramètres!$A$1:$I$89,3,0)*0.475*44/12</f>
        <v>1.039978821326464E-9</v>
      </c>
      <c r="AX94" s="21">
        <f t="shared" si="60"/>
        <v>53.321254032883502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-1.3567387213697657E-13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344.97546176735341</v>
      </c>
      <c r="BJ94" s="59">
        <f t="shared" si="92"/>
        <v>331.15461126257492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83.142894188177351</v>
      </c>
      <c r="BQ94" s="21">
        <f>EXP(-LN(2)/25)*BQ93+(1-EXP(-LN(2)/25))/(LN(2)/25)*Calculateur!BL94*Calculateur!BN94*VLOOKUP('Données projet'!$B$11,Paramètres!$A$1:$I$89,3,0)*0.475*44/12</f>
        <v>2.0901199126350098</v>
      </c>
      <c r="BR94" s="21">
        <f>EXP(-LN(2)/2)*BR93+(1-EXP(-LN(2)/2))/(LN(2)/2)*BL94*BO94*VLOOKUP('Données projet'!$B$11,Paramètres!$A$1:$I$89,3,0)*0.475*44/12</f>
        <v>0.91952863852457989</v>
      </c>
      <c r="BS94" s="22">
        <f t="shared" si="63"/>
        <v>86.152542739336937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-1.7053025658242404E-13</v>
      </c>
      <c r="BZ94" s="13">
        <f>BY94*VLOOKUP('Données projet'!$B$12,Paramètres!$A$1:$I$89,3,0)*VLOOKUP('Données projet'!$B$12,Paramètres!$A$1:$I$89,5,0)</f>
        <v>-1.3567387213697657E-13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344.97546176735341</v>
      </c>
      <c r="CE94" s="59">
        <f t="shared" si="94"/>
        <v>331.15461126257492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83.142894188177351</v>
      </c>
      <c r="CL94" s="21">
        <f>EXP(-LN(2)/25)*CL93+(1-EXP(-LN(2)/25))/(LN(2)/25)*Calculateur!CG94*Calculateur!CI94*VLOOKUP('Données projet'!$B$12,Paramètres!$A$1:$I$89,3,0)*0.475*44/12</f>
        <v>2.0901199126350098</v>
      </c>
      <c r="CM94" s="21">
        <f>EXP(-LN(2)/2)*CM93+(1-EXP(-LN(2)/2))/(LN(2)/2)*CG94*CJ94*VLOOKUP('Données projet'!$B$12,Paramètres!$A$1:$I$89,3,0)*0.475*44/12</f>
        <v>0.91952863852457989</v>
      </c>
      <c r="CN94" s="22">
        <f t="shared" si="66"/>
        <v>86.152542739336937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227.19465047672969</v>
      </c>
      <c r="CZ94" s="59">
        <f t="shared" si="96"/>
        <v>529.77979244134417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29.430408061930812</v>
      </c>
      <c r="DG94" s="21">
        <f>EXP(-LN(2)/25)*DG93+(1-EXP(-LN(2)/25))/(LN(2)/25)*Calculateur!DB94*Calculateur!DD94*VLOOKUP('Données projet'!$B$13,Paramètres!$A$1:$I$89,3,0)*0.475*44/12</f>
        <v>5.839012277308413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35.269420339239225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240.09151195692266</v>
      </c>
      <c r="DU94" s="59">
        <f t="shared" si="98"/>
        <v>559.47775134103165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31.353964144409908</v>
      </c>
      <c r="EB94" s="21">
        <f>EXP(-LN(2)/25)*EB93+(1-EXP(-LN(2)/25))/(LN(2)/25)*Calculateur!DW94*Calculateur!DY94*VLOOKUP('Données projet'!$B$14,Paramètres!$A$1:$I$89,3,0)*0.475*44/12</f>
        <v>6.2206470666749762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37.574611211084886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5.6843418860808015E-14</v>
      </c>
      <c r="EK94" s="17">
        <f>EJ94*VLOOKUP('Données projet'!$B$15,Paramètres!$A$1:$I$89,3,0)*VLOOKUP('Données projet'!$B$15,Paramètres!$A$1:$I$89,5,0)</f>
        <v>4.4337866711430253E-14</v>
      </c>
      <c r="EL94" s="13">
        <f t="shared" si="99"/>
        <v>7.3222115536967035E-13</v>
      </c>
      <c r="EM94" s="20">
        <f t="shared" si="73"/>
        <v>1.3525069634579169E-12</v>
      </c>
      <c r="EN94" s="59">
        <f t="shared" si="74"/>
        <v>264.99064346779255</v>
      </c>
      <c r="EO94" s="59">
        <f ca="1">AVERAGE(OFFSET($EN$3,0,0,'Données projet'!$E$15+1,1))-AVERAGE(OFFSET($H$3,0,0,'Données projet'!$E$15+1,1))</f>
        <v>328.79469965518484</v>
      </c>
      <c r="EP94" s="59">
        <f t="shared" si="100"/>
        <v>322.06400652269735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42.982557607575977</v>
      </c>
      <c r="EW94" s="21">
        <f>EXP(-LN(2)/25)*EW93+(1-EXP(-LN(2)/25))/(LN(2)/25)*Calculateur!ER94*Calculateur!ET94*VLOOKUP('Données projet'!$B$15,Paramètres!$A$1:$I$89,3,0)*0.475*44/12</f>
        <v>5.1689767869440102</v>
      </c>
      <c r="EX94" s="21">
        <f>EXP(-LN(2)/2)*EX93+(1-EXP(-LN(2)/2))/(LN(2)/2)*ER94*EU94*VLOOKUP('Données projet'!$B$15,Paramètres!$A$1:$I$89,3,0)*0.475*44/12</f>
        <v>3.5599430760788024E-2</v>
      </c>
      <c r="EY94" s="22">
        <f t="shared" si="75"/>
        <v>48.187133825280775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8.6</v>
      </c>
      <c r="FE94" s="12">
        <f>IF('Données projet'!$A$218&gt;35,FE93+FD94-FM93,IF(A94&lt;'Données projet'!$A$218,$FB$205^A94,IF(A94='Données projet'!$A$218,'Données projet'!$B$218,FE93+FD94-FM93)))</f>
        <v>428.59999999999997</v>
      </c>
      <c r="FF94" s="17">
        <f>FE94*VLOOKUP('Données projet'!$B$16,Paramètres!$A$1:$I$89,3,0)*VLOOKUP('Données projet'!$B$16,Paramètres!$A$1:$I$89,5,0)</f>
        <v>314.24951999999996</v>
      </c>
      <c r="FG94" s="13">
        <f t="shared" si="101"/>
        <v>74.155594634888885</v>
      </c>
      <c r="FH94" s="20">
        <f t="shared" si="76"/>
        <v>676.47224132243139</v>
      </c>
      <c r="FI94" s="59">
        <f t="shared" si="77"/>
        <v>941.46288479022257</v>
      </c>
      <c r="FJ94" s="59">
        <f ca="1">AVERAGE(OFFSET($FI$3,0,0,'Données projet'!$E$16+1,1))-AVERAGE(OFFSET($H$3,0,0,'Données projet'!$E$16+1,1))</f>
        <v>525.22234644068908</v>
      </c>
      <c r="FK94" s="59">
        <f t="shared" si="102"/>
        <v>311.5550296132094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6.0406410255559013</v>
      </c>
      <c r="FR94" s="21">
        <f>EXP(-LN(2)/25)*FR93+(1-EXP(-LN(2)/25))/(LN(2)/25)*Calculateur!FM94*Calculateur!FO94*VLOOKUP('Données projet'!$B$16,Paramètres!$A$1:$I$89,3,0)*0.475*44/12</f>
        <v>29.871661980143784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35.912303005699684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-1.7053025658242404E-13</v>
      </c>
      <c r="GA94" s="17">
        <f>FZ94*VLOOKUP('Données projet'!$B$17,Paramètres!$A$1:$I$89,3,0)*VLOOKUP('Données projet'!$B$17,Paramètres!$A$1:$I$89,5,0)</f>
        <v>-1.1173142411280423E-13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298.45881427802874</v>
      </c>
      <c r="GF94" s="59">
        <f t="shared" si="104"/>
        <v>287.00279305562356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55.551634074675668</v>
      </c>
      <c r="GM94" s="21">
        <f>EXP(-LN(2)/25)*GM93+(1-EXP(-LN(2)/25))/(LN(2)/25)*Calculateur!GH94*Calculateur!GJ94*VLOOKUP('Données projet'!$B$17,Paramètres!$A$1:$I$89,3,0)*0.475*44/12</f>
        <v>1.3965063123266106</v>
      </c>
      <c r="GN94" s="21">
        <f>EXP(-LN(2)/2)*GN93+(1-EXP(-LN(2)/2))/(LN(2)/2)*GH94*GK94*VLOOKUP('Données projet'!$B$17,Paramètres!$A$1:$I$89,3,0)*0.475*44/12</f>
        <v>0.7572588787849478</v>
      </c>
      <c r="GO94" s="21">
        <f t="shared" si="81"/>
        <v>57.705399265787221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135.66666666666666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7.333333333333333</v>
      </c>
      <c r="N95" s="13">
        <f>IF('Données projet'!$A$36&gt;35,N94+M95-V94,IF(A95&lt;'Données projet'!$A$36,$K$205^A95,IF(A95='Données projet'!$A$36,'Données projet'!$B$36,N94+M95-V94)))</f>
        <v>308.6666666666664</v>
      </c>
      <c r="O95" s="13">
        <f>N95*VLOOKUP('Données projet'!$B$9,Paramètres!$A$1:$I$89,3,0)*VLOOKUP('Données projet'!$B$9,Paramètres!$A$1:$I$89,5,0)</f>
        <v>279.28159999999974</v>
      </c>
      <c r="P95" s="13">
        <f t="shared" si="87"/>
        <v>66.815167617634344</v>
      </c>
      <c r="Q95" s="20">
        <f t="shared" si="54"/>
        <v>602.78520360071263</v>
      </c>
      <c r="R95" s="59">
        <f t="shared" si="55"/>
        <v>868.26752937290917</v>
      </c>
      <c r="S95" s="59">
        <f ca="1">AVERAGE(OFFSET($R$3,0,0,'Données projet'!$E$9+1,1))-AVERAGE(OFFSET($H$3,0,0,'Données projet'!$E$9+1,1))</f>
        <v>600.52384738314299</v>
      </c>
      <c r="T95" s="59">
        <f t="shared" si="88"/>
        <v>314.84650287986256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6.8561070706073268</v>
      </c>
      <c r="AA95" s="21">
        <f>EXP(-LN(2)/25)*AA94+(1-EXP(-LN(2)/25))/(LN(2)/25)*Calculateur!V95*Calculateur!X95*VLOOKUP('Données projet'!$B$9,Paramètres!$A$1:$I$89,3,0)*0.475*44/12</f>
        <v>30.585570498531343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37.441677569138669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3.2</v>
      </c>
      <c r="AI95" s="13">
        <f>IF('Données projet'!$A$62&gt;35,AI94+AH95-AQ94,IF(A95&lt;'Données projet'!$A$62,$AF$205^A95,IF(A95='Données projet'!$A$62,'Données projet'!$B$62,AI94+AH95-AQ94)))</f>
        <v>260.39999999999992</v>
      </c>
      <c r="AJ95" s="13">
        <f>AI95*VLOOKUP('Données projet'!$B$10,Paramètres!$A$1:$I$89,3,0)*VLOOKUP('Données projet'!$B$10,Paramètres!$A$1:$I$89,5,0)</f>
        <v>227.48543999999993</v>
      </c>
      <c r="AK95" s="13">
        <f t="shared" si="89"/>
        <v>55.738627496252377</v>
      </c>
      <c r="AL95" s="20">
        <f t="shared" si="58"/>
        <v>493.28191755597277</v>
      </c>
      <c r="AM95" s="59">
        <f t="shared" si="59"/>
        <v>758.7642433281693</v>
      </c>
      <c r="AN95" s="59">
        <f ca="1">AVERAGE(OFFSET($AM$3,0,0,'Données projet'!$E$10+1,1))-AVERAGE(OFFSET($H$3,0,0,'Données projet'!$E$10+1,1))</f>
        <v>436.77894860279537</v>
      </c>
      <c r="AO95" s="59">
        <f t="shared" si="90"/>
        <v>398.63561969573072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42.994133862517991</v>
      </c>
      <c r="AV95" s="21">
        <f>EXP(-LN(2)/25)*AV94+(1-EXP(-LN(2)/25))/(LN(2)/25)*Calculateur!AQ95*Calculateur!AS95*VLOOKUP('Données projet'!$B$10,Paramètres!$A$1:$I$89,3,0)*0.475*44/12</f>
        <v>9.2082880814827615</v>
      </c>
      <c r="AW95" s="21">
        <f>EXP(-LN(2)/2)*AW94+(1-EXP(-LN(2)/2))/(LN(2)/2)*AQ95*AT95*VLOOKUP('Données projet'!$B$10,Paramètres!$A$1:$I$89,3,0)*0.475*44/12</f>
        <v>7.353760768503356E-10</v>
      </c>
      <c r="AX95" s="21">
        <f t="shared" si="60"/>
        <v>52.20242194473613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-1.3567387213697657E-13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344.97546176735341</v>
      </c>
      <c r="BJ95" s="59">
        <f t="shared" si="92"/>
        <v>331.15461126257492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81.512512745305244</v>
      </c>
      <c r="BQ95" s="21">
        <f>EXP(-LN(2)/25)*BQ94+(1-EXP(-LN(2)/25))/(LN(2)/25)*Calculateur!BL95*Calculateur!BN95*VLOOKUP('Données projet'!$B$11,Paramètres!$A$1:$I$89,3,0)*0.475*44/12</f>
        <v>2.0329654737093765</v>
      </c>
      <c r="BR95" s="21">
        <f>EXP(-LN(2)/2)*BR94+(1-EXP(-LN(2)/2))/(LN(2)/2)*BL95*BO95*VLOOKUP('Données projet'!$B$11,Paramètres!$A$1:$I$89,3,0)*0.475*44/12</f>
        <v>0.65020493579596406</v>
      </c>
      <c r="BS95" s="22">
        <f t="shared" si="63"/>
        <v>84.195683154810595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-1.7053025658242404E-13</v>
      </c>
      <c r="BZ95" s="13">
        <f>BY95*VLOOKUP('Données projet'!$B$12,Paramètres!$A$1:$I$89,3,0)*VLOOKUP('Données projet'!$B$12,Paramètres!$A$1:$I$89,5,0)</f>
        <v>-1.3567387213697657E-13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344.97546176735341</v>
      </c>
      <c r="CE95" s="59">
        <f t="shared" si="94"/>
        <v>331.15461126257492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81.512512745305244</v>
      </c>
      <c r="CL95" s="21">
        <f>EXP(-LN(2)/25)*CL94+(1-EXP(-LN(2)/25))/(LN(2)/25)*Calculateur!CG95*Calculateur!CI95*VLOOKUP('Données projet'!$B$12,Paramètres!$A$1:$I$89,3,0)*0.475*44/12</f>
        <v>2.0329654737093765</v>
      </c>
      <c r="CM95" s="21">
        <f>EXP(-LN(2)/2)*CM94+(1-EXP(-LN(2)/2))/(LN(2)/2)*CG95*CJ95*VLOOKUP('Données projet'!$B$12,Paramètres!$A$1:$I$89,3,0)*0.475*44/12</f>
        <v>0.65020493579596406</v>
      </c>
      <c r="CN95" s="22">
        <f t="shared" si="66"/>
        <v>84.195683154810595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227.19465047672969</v>
      </c>
      <c r="CZ95" s="59">
        <f t="shared" si="96"/>
        <v>529.77979244134417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28.853295710612773</v>
      </c>
      <c r="DG95" s="21">
        <f>EXP(-LN(2)/25)*DG94+(1-EXP(-LN(2)/25))/(LN(2)/25)*Calculateur!DB95*Calculateur!DD95*VLOOKUP('Données projet'!$B$13,Paramètres!$A$1:$I$89,3,0)*0.475*44/12</f>
        <v>5.6793441795251036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34.532639890137879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240.09151195692266</v>
      </c>
      <c r="DU95" s="59">
        <f t="shared" si="98"/>
        <v>559.47775134103165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30.739132031567816</v>
      </c>
      <c r="EB95" s="21">
        <f>EXP(-LN(2)/25)*EB94+(1-EXP(-LN(2)/25))/(LN(2)/25)*Calculateur!DW95*Calculateur!DY95*VLOOKUP('Données projet'!$B$14,Paramètres!$A$1:$I$89,3,0)*0.475*44/12</f>
        <v>6.0505431455071372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36.789675177074955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5.6843418860808015E-14</v>
      </c>
      <c r="EK95" s="17">
        <f>EJ95*VLOOKUP('Données projet'!$B$15,Paramètres!$A$1:$I$89,3,0)*VLOOKUP('Données projet'!$B$15,Paramètres!$A$1:$I$89,5,0)</f>
        <v>4.4337866711430253E-14</v>
      </c>
      <c r="EL95" s="13">
        <f t="shared" si="99"/>
        <v>7.3222115536967035E-13</v>
      </c>
      <c r="EM95" s="20">
        <f t="shared" si="73"/>
        <v>1.3525069634579169E-12</v>
      </c>
      <c r="EN95" s="59">
        <f t="shared" si="74"/>
        <v>265.4823257721979</v>
      </c>
      <c r="EO95" s="59">
        <f ca="1">AVERAGE(OFFSET($EN$3,0,0,'Données projet'!$E$15+1,1))-AVERAGE(OFFSET($H$3,0,0,'Données projet'!$E$15+1,1))</f>
        <v>328.79469965518484</v>
      </c>
      <c r="EP95" s="59">
        <f t="shared" si="100"/>
        <v>322.06400652269735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42.139695869662859</v>
      </c>
      <c r="EW95" s="21">
        <f>EXP(-LN(2)/25)*EW94+(1-EXP(-LN(2)/25))/(LN(2)/25)*Calculateur!ER95*Calculateur!ET95*VLOOKUP('Données projet'!$B$15,Paramètres!$A$1:$I$89,3,0)*0.475*44/12</f>
        <v>5.0276308448803508</v>
      </c>
      <c r="EX95" s="21">
        <f>EXP(-LN(2)/2)*EX94+(1-EXP(-LN(2)/2))/(LN(2)/2)*ER95*EU95*VLOOKUP('Données projet'!$B$15,Paramètres!$A$1:$I$89,3,0)*0.475*44/12</f>
        <v>2.5172598897334187E-2</v>
      </c>
      <c r="EY95" s="22">
        <f t="shared" si="75"/>
        <v>47.192499313440543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8.6</v>
      </c>
      <c r="FE95" s="12">
        <f>IF('Données projet'!$A$218&gt;35,FE94+FD95-FM94,IF(A95&lt;'Données projet'!$A$218,$FB$205^A95,IF(A95='Données projet'!$A$218,'Données projet'!$B$218,FE94+FD95-FM94)))</f>
        <v>437.2</v>
      </c>
      <c r="FF95" s="17">
        <f>FE95*VLOOKUP('Données projet'!$B$16,Paramètres!$A$1:$I$89,3,0)*VLOOKUP('Données projet'!$B$16,Paramètres!$A$1:$I$89,5,0)</f>
        <v>320.55503999999996</v>
      </c>
      <c r="FG95" s="13">
        <f t="shared" si="101"/>
        <v>75.468828878498272</v>
      </c>
      <c r="FH95" s="20">
        <f t="shared" si="76"/>
        <v>689.741571630051</v>
      </c>
      <c r="FI95" s="59">
        <f t="shared" si="77"/>
        <v>955.22389740224753</v>
      </c>
      <c r="FJ95" s="59">
        <f ca="1">AVERAGE(OFFSET($FI$3,0,0,'Données projet'!$E$16+1,1))-AVERAGE(OFFSET($H$3,0,0,'Données projet'!$E$16+1,1))</f>
        <v>525.22234644068908</v>
      </c>
      <c r="FK95" s="59">
        <f t="shared" si="102"/>
        <v>311.5550296132094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5.9221877394719691</v>
      </c>
      <c r="FR95" s="21">
        <f>EXP(-LN(2)/25)*FR94+(1-EXP(-LN(2)/25))/(LN(2)/25)*Calculateur!FM95*Calculateur!FO95*VLOOKUP('Données projet'!$B$16,Paramètres!$A$1:$I$89,3,0)*0.475*44/12</f>
        <v>29.054819812414323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34.977007551886288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-1.7053025658242404E-13</v>
      </c>
      <c r="GA95" s="17">
        <f>FZ95*VLOOKUP('Données projet'!$B$17,Paramètres!$A$1:$I$89,3,0)*VLOOKUP('Données projet'!$B$17,Paramètres!$A$1:$I$89,5,0)</f>
        <v>-1.1173142411280423E-13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298.45881427802874</v>
      </c>
      <c r="GF95" s="59">
        <f t="shared" si="104"/>
        <v>287.00279305562356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54.46230041362238</v>
      </c>
      <c r="GM95" s="21">
        <f>EXP(-LN(2)/25)*GM94+(1-EXP(-LN(2)/25))/(LN(2)/25)*Calculateur!GH95*Calculateur!GJ95*VLOOKUP('Données projet'!$B$17,Paramètres!$A$1:$I$89,3,0)*0.475*44/12</f>
        <v>1.3583187737769642</v>
      </c>
      <c r="GN95" s="21">
        <f>EXP(-LN(2)/2)*GN94+(1-EXP(-LN(2)/2))/(LN(2)/2)*GH95*GK95*VLOOKUP('Données projet'!$B$17,Paramètres!$A$1:$I$89,3,0)*0.475*44/12</f>
        <v>0.53546288830255839</v>
      </c>
      <c r="GO95" s="21">
        <f t="shared" si="81"/>
        <v>56.356082075701906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135.66666666666666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7.333333333333333</v>
      </c>
      <c r="N96" s="13">
        <f>IF('Données projet'!$A$36&gt;35,N95+M96-V95,IF(A96&lt;'Données projet'!$A$36,$K$205^A96,IF(A96='Données projet'!$A$36,'Données projet'!$B$36,N95+M96-V95)))</f>
        <v>315.99999999999972</v>
      </c>
      <c r="O96" s="13">
        <f>N96*VLOOKUP('Données projet'!$B$9,Paramètres!$A$1:$I$89,3,0)*VLOOKUP('Données projet'!$B$9,Paramètres!$A$1:$I$89,5,0)</f>
        <v>285.91679999999974</v>
      </c>
      <c r="P96" s="13">
        <f t="shared" si="87"/>
        <v>68.215872977287475</v>
      </c>
      <c r="Q96" s="20">
        <f t="shared" si="54"/>
        <v>616.7810721021084</v>
      </c>
      <c r="R96" s="59">
        <f t="shared" si="55"/>
        <v>882.74655058996586</v>
      </c>
      <c r="S96" s="59">
        <f ca="1">AVERAGE(OFFSET($R$3,0,0,'Données projet'!$E$9+1,1))-AVERAGE(OFFSET($H$3,0,0,'Données projet'!$E$9+1,1))</f>
        <v>600.52384738314299</v>
      </c>
      <c r="T96" s="59">
        <f t="shared" si="88"/>
        <v>314.84650287986256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6.7216629927651104</v>
      </c>
      <c r="AA96" s="21">
        <f>EXP(-LN(2)/25)*AA95+(1-EXP(-LN(2)/25))/(LN(2)/25)*Calculateur!V96*Calculateur!X96*VLOOKUP('Données projet'!$B$9,Paramètres!$A$1:$I$89,3,0)*0.475*44/12</f>
        <v>29.749206464823754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36.470869457588861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3.2</v>
      </c>
      <c r="AI96" s="13">
        <f>IF('Données projet'!$A$62&gt;35,AI95+AH96-AQ95,IF(A96&lt;'Données projet'!$A$62,$AF$205^A96,IF(A96='Données projet'!$A$62,'Données projet'!$B$62,AI95+AH96-AQ95)))</f>
        <v>263.59999999999991</v>
      </c>
      <c r="AJ96" s="13">
        <f>AI96*VLOOKUP('Données projet'!$B$10,Paramètres!$A$1:$I$89,3,0)*VLOOKUP('Données projet'!$B$10,Paramètres!$A$1:$I$89,5,0)</f>
        <v>230.28095999999994</v>
      </c>
      <c r="AK96" s="13">
        <f t="shared" si="89"/>
        <v>56.343427334913351</v>
      </c>
      <c r="AL96" s="20">
        <f t="shared" si="58"/>
        <v>499.20414127497389</v>
      </c>
      <c r="AM96" s="59">
        <f t="shared" si="59"/>
        <v>765.1696197628313</v>
      </c>
      <c r="AN96" s="59">
        <f ca="1">AVERAGE(OFFSET($AM$3,0,0,'Données projet'!$E$10+1,1))-AVERAGE(OFFSET($H$3,0,0,'Données projet'!$E$10+1,1))</f>
        <v>436.77894860279537</v>
      </c>
      <c r="AO96" s="59">
        <f t="shared" si="90"/>
        <v>398.63561969573072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42.151045121306282</v>
      </c>
      <c r="AV96" s="21">
        <f>EXP(-LN(2)/25)*AV95+(1-EXP(-LN(2)/25))/(LN(2)/25)*Calculateur!AQ96*Calculateur!AS96*VLOOKUP('Données projet'!$B$10,Paramètres!$A$1:$I$89,3,0)*0.475*44/12</f>
        <v>8.9564869596517909</v>
      </c>
      <c r="AW96" s="21">
        <f>EXP(-LN(2)/2)*AW95+(1-EXP(-LN(2)/2))/(LN(2)/2)*AQ96*AT96*VLOOKUP('Données projet'!$B$10,Paramètres!$A$1:$I$89,3,0)*0.475*44/12</f>
        <v>5.1998941066323201E-10</v>
      </c>
      <c r="AX96" s="21">
        <f t="shared" si="60"/>
        <v>51.107532081478062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-1.3567387213697657E-13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344.97546176735341</v>
      </c>
      <c r="BJ96" s="59">
        <f t="shared" si="92"/>
        <v>331.15461126257492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79.914102088093372</v>
      </c>
      <c r="BQ96" s="21">
        <f>EXP(-LN(2)/25)*BQ95+(1-EXP(-LN(2)/25))/(LN(2)/25)*Calculateur!BL96*Calculateur!BN96*VLOOKUP('Données projet'!$B$11,Paramètres!$A$1:$I$89,3,0)*0.475*44/12</f>
        <v>1.9773739259217857</v>
      </c>
      <c r="BR96" s="21">
        <f>EXP(-LN(2)/2)*BR95+(1-EXP(-LN(2)/2))/(LN(2)/2)*BL96*BO96*VLOOKUP('Données projet'!$B$11,Paramètres!$A$1:$I$89,3,0)*0.475*44/12</f>
        <v>0.45976431926228994</v>
      </c>
      <c r="BS96" s="22">
        <f t="shared" si="63"/>
        <v>82.351240333277445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-1.7053025658242404E-13</v>
      </c>
      <c r="BZ96" s="13">
        <f>BY96*VLOOKUP('Données projet'!$B$12,Paramètres!$A$1:$I$89,3,0)*VLOOKUP('Données projet'!$B$12,Paramètres!$A$1:$I$89,5,0)</f>
        <v>-1.3567387213697657E-13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344.97546176735341</v>
      </c>
      <c r="CE96" s="59">
        <f t="shared" si="94"/>
        <v>331.15461126257492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79.914102088093372</v>
      </c>
      <c r="CL96" s="21">
        <f>EXP(-LN(2)/25)*CL95+(1-EXP(-LN(2)/25))/(LN(2)/25)*Calculateur!CG96*Calculateur!CI96*VLOOKUP('Données projet'!$B$12,Paramètres!$A$1:$I$89,3,0)*0.475*44/12</f>
        <v>1.9773739259217857</v>
      </c>
      <c r="CM96" s="21">
        <f>EXP(-LN(2)/2)*CM95+(1-EXP(-LN(2)/2))/(LN(2)/2)*CG96*CJ96*VLOOKUP('Données projet'!$B$12,Paramètres!$A$1:$I$89,3,0)*0.475*44/12</f>
        <v>0.45976431926228994</v>
      </c>
      <c r="CN96" s="22">
        <f t="shared" si="66"/>
        <v>82.351240333277445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227.19465047672969</v>
      </c>
      <c r="CZ96" s="59">
        <f t="shared" si="96"/>
        <v>529.77979244134417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28.287500180500306</v>
      </c>
      <c r="DG96" s="21">
        <f>EXP(-LN(2)/25)*DG95+(1-EXP(-LN(2)/25))/(LN(2)/25)*Calculateur!DB96*Calculateur!DD96*VLOOKUP('Données projet'!$B$13,Paramètres!$A$1:$I$89,3,0)*0.475*44/12</f>
        <v>5.5240422142722592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33.811542394772566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240.09151195692266</v>
      </c>
      <c r="DU96" s="59">
        <f t="shared" si="98"/>
        <v>559.47775134103165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30.136356401447998</v>
      </c>
      <c r="EB96" s="21">
        <f>EXP(-LN(2)/25)*EB95+(1-EXP(-LN(2)/25))/(LN(2)/25)*Calculateur!DW96*Calculateur!DY96*VLOOKUP('Données projet'!$B$14,Paramètres!$A$1:$I$89,3,0)*0.475*44/12</f>
        <v>5.8850907250090092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36.021447126457005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5.6843418860808015E-14</v>
      </c>
      <c r="EK96" s="17">
        <f>EJ96*VLOOKUP('Données projet'!$B$15,Paramètres!$A$1:$I$89,3,0)*VLOOKUP('Données projet'!$B$15,Paramètres!$A$1:$I$89,5,0)</f>
        <v>4.4337866711430253E-14</v>
      </c>
      <c r="EL96" s="13">
        <f t="shared" si="99"/>
        <v>7.3222115536967035E-13</v>
      </c>
      <c r="EM96" s="20">
        <f t="shared" si="73"/>
        <v>1.3525069634579169E-12</v>
      </c>
      <c r="EN96" s="59">
        <f t="shared" si="74"/>
        <v>265.96547848785877</v>
      </c>
      <c r="EO96" s="59">
        <f ca="1">AVERAGE(OFFSET($EN$3,0,0,'Données projet'!$E$15+1,1))-AVERAGE(OFFSET($H$3,0,0,'Données projet'!$E$15+1,1))</f>
        <v>328.79469965518484</v>
      </c>
      <c r="EP96" s="59">
        <f t="shared" si="100"/>
        <v>322.06400652269735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41.313362136335321</v>
      </c>
      <c r="EW96" s="21">
        <f>EXP(-LN(2)/25)*EW95+(1-EXP(-LN(2)/25))/(LN(2)/25)*Calculateur!ER96*Calculateur!ET96*VLOOKUP('Données projet'!$B$15,Paramètres!$A$1:$I$89,3,0)*0.475*44/12</f>
        <v>4.8901500150354824</v>
      </c>
      <c r="EX96" s="21">
        <f>EXP(-LN(2)/2)*EX95+(1-EXP(-LN(2)/2))/(LN(2)/2)*ER96*EU96*VLOOKUP('Données projet'!$B$15,Paramètres!$A$1:$I$89,3,0)*0.475*44/12</f>
        <v>1.7799715380394012E-2</v>
      </c>
      <c r="EY96" s="22">
        <f t="shared" si="75"/>
        <v>46.221311866751194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8.6</v>
      </c>
      <c r="FE96" s="12">
        <f>IF('Données projet'!$A$218&gt;35,FE95+FD96-FM95,IF(A96&lt;'Données projet'!$A$218,$FB$205^A96,IF(A96='Données projet'!$A$218,'Données projet'!$B$218,FE95+FD96-FM95)))</f>
        <v>445.8</v>
      </c>
      <c r="FF96" s="17">
        <f>FE96*VLOOKUP('Données projet'!$B$16,Paramètres!$A$1:$I$89,3,0)*VLOOKUP('Données projet'!$B$16,Paramètres!$A$1:$I$89,5,0)</f>
        <v>326.86055999999996</v>
      </c>
      <c r="FG96" s="13">
        <f t="shared" si="101"/>
        <v>76.779059495206354</v>
      </c>
      <c r="FH96" s="20">
        <f t="shared" si="76"/>
        <v>703.00567062081757</v>
      </c>
      <c r="FI96" s="59">
        <f t="shared" si="77"/>
        <v>968.97114910867504</v>
      </c>
      <c r="FJ96" s="59">
        <f ca="1">AVERAGE(OFFSET($FI$3,0,0,'Données projet'!$E$16+1,1))-AVERAGE(OFFSET($H$3,0,0,'Données projet'!$E$16+1,1))</f>
        <v>525.22234644068908</v>
      </c>
      <c r="FK96" s="59">
        <f t="shared" si="102"/>
        <v>311.5550296132094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5.8060572500787719</v>
      </c>
      <c r="FR96" s="21">
        <f>EXP(-LN(2)/25)*FR95+(1-EXP(-LN(2)/25))/(LN(2)/25)*Calculateur!FM96*Calculateur!FO96*VLOOKUP('Données projet'!$B$16,Paramètres!$A$1:$I$89,3,0)*0.475*44/12</f>
        <v>28.260314236717285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34.066371486796058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-1.7053025658242404E-13</v>
      </c>
      <c r="GA96" s="17">
        <f>FZ96*VLOOKUP('Données projet'!$B$17,Paramètres!$A$1:$I$89,3,0)*VLOOKUP('Données projet'!$B$17,Paramètres!$A$1:$I$89,5,0)</f>
        <v>-1.1173142411280423E-13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298.45881427802874</v>
      </c>
      <c r="GF96" s="59">
        <f t="shared" si="104"/>
        <v>287.00279305562356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53.394327921234421</v>
      </c>
      <c r="GM96" s="21">
        <f>EXP(-LN(2)/25)*GM95+(1-EXP(-LN(2)/25))/(LN(2)/25)*Calculateur!GH96*Calculateur!GJ96*VLOOKUP('Données projet'!$B$17,Paramètres!$A$1:$I$89,3,0)*0.475*44/12</f>
        <v>1.3211754754771532</v>
      </c>
      <c r="GN96" s="21">
        <f>EXP(-LN(2)/2)*GN95+(1-EXP(-LN(2)/2))/(LN(2)/2)*GH96*GK96*VLOOKUP('Données projet'!$B$17,Paramètres!$A$1:$I$89,3,0)*0.475*44/12</f>
        <v>0.3786294393924739</v>
      </c>
      <c r="GO96" s="21">
        <f t="shared" si="81"/>
        <v>55.094132836104052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135.66666666666666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7.333333333333333</v>
      </c>
      <c r="N97" s="13">
        <f>IF('Données projet'!$A$36&gt;35,N96+M97-V96,IF(A97&lt;'Données projet'!$A$36,$K$205^A97,IF(A97='Données projet'!$A$36,'Données projet'!$B$36,N96+M97-V96)))</f>
        <v>323.33333333333303</v>
      </c>
      <c r="O97" s="13">
        <f>N97*VLOOKUP('Données projet'!$B$9,Paramètres!$A$1:$I$89,3,0)*VLOOKUP('Données projet'!$B$9,Paramètres!$A$1:$I$89,5,0)</f>
        <v>292.55199999999968</v>
      </c>
      <c r="P97" s="13">
        <f t="shared" si="87"/>
        <v>69.612799406689945</v>
      </c>
      <c r="Q97" s="20">
        <f t="shared" si="54"/>
        <v>630.77035896665097</v>
      </c>
      <c r="R97" s="59">
        <f t="shared" si="55"/>
        <v>897.21060855072017</v>
      </c>
      <c r="S97" s="59">
        <f ca="1">AVERAGE(OFFSET($R$3,0,0,'Données projet'!$E$9+1,1))-AVERAGE(OFFSET($H$3,0,0,'Données projet'!$E$9+1,1))</f>
        <v>600.52384738314299</v>
      </c>
      <c r="T97" s="59">
        <f t="shared" si="88"/>
        <v>314.84650287986256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6.5898552812865896</v>
      </c>
      <c r="AA97" s="21">
        <f>EXP(-LN(2)/25)*AA96+(1-EXP(-LN(2)/25))/(LN(2)/25)*Calculateur!V97*Calculateur!X97*VLOOKUP('Données projet'!$B$9,Paramètres!$A$1:$I$89,3,0)*0.475*44/12</f>
        <v>28.935712849600375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35.525568130886967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3.2</v>
      </c>
      <c r="AI97" s="13">
        <f>IF('Données projet'!$A$62&gt;35,AI96+AH97-AQ96,IF(A97&lt;'Données projet'!$A$62,$AF$205^A97,IF(A97='Données projet'!$A$62,'Données projet'!$B$62,AI96+AH97-AQ96)))</f>
        <v>266.7999999999999</v>
      </c>
      <c r="AJ97" s="13">
        <f>AI97*VLOOKUP('Données projet'!$B$10,Paramètres!$A$1:$I$89,3,0)*VLOOKUP('Données projet'!$B$10,Paramètres!$A$1:$I$89,5,0)</f>
        <v>233.07647999999995</v>
      </c>
      <c r="AK97" s="13">
        <f t="shared" si="89"/>
        <v>56.947373142454879</v>
      </c>
      <c r="AL97" s="20">
        <f t="shared" si="58"/>
        <v>505.12487755644207</v>
      </c>
      <c r="AM97" s="59">
        <f t="shared" si="59"/>
        <v>771.56512714051132</v>
      </c>
      <c r="AN97" s="59">
        <f ca="1">AVERAGE(OFFSET($AM$3,0,0,'Données projet'!$E$10+1,1))-AVERAGE(OFFSET($H$3,0,0,'Données projet'!$E$10+1,1))</f>
        <v>436.77894860279537</v>
      </c>
      <c r="AO97" s="59">
        <f t="shared" si="90"/>
        <v>398.63561969573072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41.324488836076377</v>
      </c>
      <c r="AV97" s="21">
        <f>EXP(-LN(2)/25)*AV96+(1-EXP(-LN(2)/25))/(LN(2)/25)*Calculateur!AQ97*Calculateur!AS97*VLOOKUP('Données projet'!$B$10,Paramètres!$A$1:$I$89,3,0)*0.475*44/12</f>
        <v>8.7115713527389342</v>
      </c>
      <c r="AW97" s="21">
        <f>EXP(-LN(2)/2)*AW96+(1-EXP(-LN(2)/2))/(LN(2)/2)*AQ97*AT97*VLOOKUP('Données projet'!$B$10,Paramètres!$A$1:$I$89,3,0)*0.475*44/12</f>
        <v>3.676880384251678E-10</v>
      </c>
      <c r="AX97" s="21">
        <f t="shared" si="60"/>
        <v>50.036060189182997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-1.3567387213697657E-13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344.97546176735341</v>
      </c>
      <c r="BJ97" s="59">
        <f t="shared" si="92"/>
        <v>331.15461126257492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78.347035288935189</v>
      </c>
      <c r="BQ97" s="21">
        <f>EXP(-LN(2)/25)*BQ96+(1-EXP(-LN(2)/25))/(LN(2)/25)*Calculateur!BL97*Calculateur!BN97*VLOOKUP('Données projet'!$B$11,Paramètres!$A$1:$I$89,3,0)*0.475*44/12</f>
        <v>1.9233025319318791</v>
      </c>
      <c r="BR97" s="21">
        <f>EXP(-LN(2)/2)*BR96+(1-EXP(-LN(2)/2))/(LN(2)/2)*BL97*BO97*VLOOKUP('Données projet'!$B$11,Paramètres!$A$1:$I$89,3,0)*0.475*44/12</f>
        <v>0.32510246789798203</v>
      </c>
      <c r="BS97" s="22">
        <f t="shared" si="63"/>
        <v>80.595440288765047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-1.7053025658242404E-13</v>
      </c>
      <c r="BZ97" s="13">
        <f>BY97*VLOOKUP('Données projet'!$B$12,Paramètres!$A$1:$I$89,3,0)*VLOOKUP('Données projet'!$B$12,Paramètres!$A$1:$I$89,5,0)</f>
        <v>-1.3567387213697657E-13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344.97546176735341</v>
      </c>
      <c r="CE97" s="59">
        <f t="shared" si="94"/>
        <v>331.15461126257492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78.347035288935189</v>
      </c>
      <c r="CL97" s="21">
        <f>EXP(-LN(2)/25)*CL96+(1-EXP(-LN(2)/25))/(LN(2)/25)*Calculateur!CG97*Calculateur!CI97*VLOOKUP('Données projet'!$B$12,Paramètres!$A$1:$I$89,3,0)*0.475*44/12</f>
        <v>1.9233025319318791</v>
      </c>
      <c r="CM97" s="21">
        <f>EXP(-LN(2)/2)*CM96+(1-EXP(-LN(2)/2))/(LN(2)/2)*CG97*CJ97*VLOOKUP('Données projet'!$B$12,Paramètres!$A$1:$I$89,3,0)*0.475*44/12</f>
        <v>0.32510246789798203</v>
      </c>
      <c r="CN97" s="22">
        <f t="shared" si="66"/>
        <v>80.595440288765047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227.19465047672969</v>
      </c>
      <c r="CZ97" s="59">
        <f t="shared" si="96"/>
        <v>529.77979244134417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27.732799555632145</v>
      </c>
      <c r="DG97" s="21">
        <f>EXP(-LN(2)/25)*DG96+(1-EXP(-LN(2)/25))/(LN(2)/25)*Calculateur!DB97*Calculateur!DD97*VLOOKUP('Données projet'!$B$13,Paramètres!$A$1:$I$89,3,0)*0.475*44/12</f>
        <v>5.3729869894262299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33.105786545058372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240.09151195692266</v>
      </c>
      <c r="DU97" s="59">
        <f t="shared" si="98"/>
        <v>559.47775134103165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29.545400833777997</v>
      </c>
      <c r="EB97" s="21">
        <f>EXP(-LN(2)/25)*EB96+(1-EXP(-LN(2)/25))/(LN(2)/25)*Calculateur!DW97*Calculateur!DY97*VLOOKUP('Données projet'!$B$14,Paramètres!$A$1:$I$89,3,0)*0.475*44/12</f>
        <v>5.7241626096501674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35.269563443428162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5.6843418860808015E-14</v>
      </c>
      <c r="EK97" s="17">
        <f>EJ97*VLOOKUP('Données projet'!$B$15,Paramètres!$A$1:$I$89,3,0)*VLOOKUP('Données projet'!$B$15,Paramètres!$A$1:$I$89,5,0)</f>
        <v>4.4337866711430253E-14</v>
      </c>
      <c r="EL97" s="13">
        <f t="shared" si="99"/>
        <v>7.3222115536967035E-13</v>
      </c>
      <c r="EM97" s="20">
        <f t="shared" si="73"/>
        <v>1.3525069634579169E-12</v>
      </c>
      <c r="EN97" s="59">
        <f t="shared" si="74"/>
        <v>266.44024958407056</v>
      </c>
      <c r="EO97" s="59">
        <f ca="1">AVERAGE(OFFSET($EN$3,0,0,'Données projet'!$E$15+1,1))-AVERAGE(OFFSET($H$3,0,0,'Données projet'!$E$15+1,1))</f>
        <v>328.79469965518484</v>
      </c>
      <c r="EP97" s="59">
        <f t="shared" si="100"/>
        <v>322.06400652269735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40.503232303504525</v>
      </c>
      <c r="EW97" s="21">
        <f>EXP(-LN(2)/25)*EW96+(1-EXP(-LN(2)/25))/(LN(2)/25)*Calculateur!ER97*Calculateur!ET97*VLOOKUP('Données projet'!$B$15,Paramètres!$A$1:$I$89,3,0)*0.475*44/12</f>
        <v>4.7564286057125242</v>
      </c>
      <c r="EX97" s="21">
        <f>EXP(-LN(2)/2)*EX96+(1-EXP(-LN(2)/2))/(LN(2)/2)*ER97*EU97*VLOOKUP('Données projet'!$B$15,Paramètres!$A$1:$I$89,3,0)*0.475*44/12</f>
        <v>1.2586299448667094E-2</v>
      </c>
      <c r="EY97" s="22">
        <f t="shared" si="75"/>
        <v>45.272247208665711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8.6</v>
      </c>
      <c r="FE97" s="12">
        <f>IF('Données projet'!$A$218&gt;35,FE96+FD97-FM96,IF(A97&lt;'Données projet'!$A$218,$FB$205^A97,IF(A97='Données projet'!$A$218,'Données projet'!$B$218,FE96+FD97-FM96)))</f>
        <v>454.40000000000003</v>
      </c>
      <c r="FF97" s="17">
        <f>FE97*VLOOKUP('Données projet'!$B$16,Paramètres!$A$1:$I$89,3,0)*VLOOKUP('Données projet'!$B$16,Paramètres!$A$1:$I$89,5,0)</f>
        <v>333.16608000000002</v>
      </c>
      <c r="FG97" s="13">
        <f t="shared" si="101"/>
        <v>78.086351108597128</v>
      </c>
      <c r="FH97" s="20">
        <f t="shared" si="76"/>
        <v>716.26465084747326</v>
      </c>
      <c r="FI97" s="59">
        <f t="shared" si="77"/>
        <v>982.70490043154246</v>
      </c>
      <c r="FJ97" s="59">
        <f ca="1">AVERAGE(OFFSET($FI$3,0,0,'Données projet'!$E$16+1,1))-AVERAGE(OFFSET($H$3,0,0,'Données projet'!$E$16+1,1))</f>
        <v>525.22234644068908</v>
      </c>
      <c r="FK97" s="59">
        <f t="shared" si="102"/>
        <v>311.5550296132094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5.6922040087499708</v>
      </c>
      <c r="FR97" s="21">
        <f>EXP(-LN(2)/25)*FR96+(1-EXP(-LN(2)/25))/(LN(2)/25)*Calculateur!FM97*Calculateur!FO97*VLOOKUP('Données projet'!$B$16,Paramètres!$A$1:$I$89,3,0)*0.475*44/12</f>
        <v>27.487534457768916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33.179738466518884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-1.7053025658242404E-13</v>
      </c>
      <c r="GA97" s="17">
        <f>FZ97*VLOOKUP('Données projet'!$B$17,Paramètres!$A$1:$I$89,3,0)*VLOOKUP('Données projet'!$B$17,Paramètres!$A$1:$I$89,5,0)</f>
        <v>-1.1173142411280423E-13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298.45881427802874</v>
      </c>
      <c r="GF97" s="59">
        <f t="shared" si="104"/>
        <v>287.00279305562356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52.347297718023292</v>
      </c>
      <c r="GM97" s="21">
        <f>EXP(-LN(2)/25)*GM96+(1-EXP(-LN(2)/25))/(LN(2)/25)*Calculateur!GH97*Calculateur!GJ97*VLOOKUP('Données projet'!$B$17,Paramètres!$A$1:$I$89,3,0)*0.475*44/12</f>
        <v>1.2850478626226318</v>
      </c>
      <c r="GN97" s="21">
        <f>EXP(-LN(2)/2)*GN96+(1-EXP(-LN(2)/2))/(LN(2)/2)*GH97*GK97*VLOOKUP('Données projet'!$B$17,Paramètres!$A$1:$I$89,3,0)*0.475*44/12</f>
        <v>0.2677314441512792</v>
      </c>
      <c r="GO97" s="21">
        <f t="shared" si="81"/>
        <v>53.900077024797206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135.66666666666666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7.333333333333333</v>
      </c>
      <c r="N98" s="13">
        <f>IF('Données projet'!$A$36&gt;35,N97+M98-V97,IF(A98&lt;'Données projet'!$A$36,$K$205^A98,IF(A98='Données projet'!$A$36,'Données projet'!$B$36,N97+M98-V97)))</f>
        <v>330.66666666666634</v>
      </c>
      <c r="O98" s="13">
        <f>N98*VLOOKUP('Données projet'!$B$9,Paramètres!$A$1:$I$89,3,0)*VLOOKUP('Données projet'!$B$9,Paramètres!$A$1:$I$89,5,0)</f>
        <v>299.18719999999968</v>
      </c>
      <c r="P98" s="13">
        <f t="shared" si="87"/>
        <v>71.00604248028047</v>
      </c>
      <c r="Q98" s="20">
        <f t="shared" si="54"/>
        <v>644.75323065315456</v>
      </c>
      <c r="R98" s="59">
        <f t="shared" si="55"/>
        <v>911.66001511634545</v>
      </c>
      <c r="S98" s="59">
        <f ca="1">AVERAGE(OFFSET($R$3,0,0,'Données projet'!$E$9+1,1))-AVERAGE(OFFSET($H$3,0,0,'Données projet'!$E$9+1,1))</f>
        <v>600.52384738314299</v>
      </c>
      <c r="T98" s="59">
        <f t="shared" si="88"/>
        <v>314.84650287986256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6.4606322386353972</v>
      </c>
      <c r="AA98" s="21">
        <f>EXP(-LN(2)/25)*AA97+(1-EXP(-LN(2)/25))/(LN(2)/25)*Calculateur!V98*Calculateur!X98*VLOOKUP('Données projet'!$B$9,Paramètres!$A$1:$I$89,3,0)*0.475*44/12</f>
        <v>28.144464260065046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34.605096498700441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270</v>
      </c>
      <c r="AG98" s="12">
        <f>VLOOKUP(A98,'Données projet'!$A$61:$I$81,9,0)</f>
        <v>3.2</v>
      </c>
      <c r="AH98" s="12">
        <f t="array" ref="AH98">INDEX(AG:AG,MIN(IF(ISNUMBER(AG98:AG294),ROW(AG98:AG294),"")))</f>
        <v>3.2</v>
      </c>
      <c r="AI98" s="13">
        <f>IF('Données projet'!$A$62&gt;35,AI97+AH98-AQ97,IF(A98&lt;'Données projet'!$A$62,$AF$205^A98,IF(A98='Données projet'!$A$62,'Données projet'!$B$62,AI97+AH98-AQ97)))</f>
        <v>269.99999999999989</v>
      </c>
      <c r="AJ98" s="13">
        <f>AI98*VLOOKUP('Données projet'!$B$10,Paramètres!$A$1:$I$89,3,0)*VLOOKUP('Données projet'!$B$10,Paramètres!$A$1:$I$89,5,0)</f>
        <v>235.87199999999996</v>
      </c>
      <c r="AK98" s="13">
        <f t="shared" si="89"/>
        <v>57.550476347015277</v>
      </c>
      <c r="AL98" s="20">
        <f t="shared" si="58"/>
        <v>511.04414630438487</v>
      </c>
      <c r="AM98" s="59">
        <f t="shared" si="59"/>
        <v>777.95093076757576</v>
      </c>
      <c r="AN98" s="59">
        <f ca="1">AVERAGE(OFFSET($AM$3,0,0,'Données projet'!$E$10+1,1))-AVERAGE(OFFSET($H$3,0,0,'Données projet'!$E$10+1,1))</f>
        <v>436.77894860279537</v>
      </c>
      <c r="AO98" s="59">
        <f t="shared" si="90"/>
        <v>398.63561969573072</v>
      </c>
      <c r="AP98" s="15">
        <f>IF(ISNA(VLOOKUP(A98,'Données projet'!$A$61:$I$81,3,0)),0,VLOOKUP(A98,'Données projet'!$A$61:$I$81,3,0))</f>
        <v>17</v>
      </c>
      <c r="AQ98" s="15">
        <f>IF(ISNA(VLOOKUP(A98,'Données projet'!$A$61:$I$81,4,0)),0,VLOOKUP(A98,'Données projet'!$A$61:$I$81,4,0))</f>
        <v>13</v>
      </c>
      <c r="AR98" s="16">
        <f>IF(ISNA(VLOOKUP(A98,'Données projet'!$A$61:$I$81,5,0)),0%,VLOOKUP(A98,'Données projet'!$A$61:$I$81,5,0)*VLOOKUP('Données projet'!$B$10,Paramètres!$A$1:$I$89,7,0))</f>
        <v>0.30099999999999999</v>
      </c>
      <c r="AS98" s="16">
        <f>IF(ISNA(VLOOKUP(A98,'Données projet'!$A$61:$I$81,6,0)),0%,VLOOKUP(A98,'Données projet'!$A$61:$I$81,6,0)*VLOOKUP('Données projet'!$B$10,Paramètres!$A$1:$I$89,7,0))</f>
        <v>4.3000000000000003E-2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44.293077223340497</v>
      </c>
      <c r="AV98" s="21">
        <f>EXP(-LN(2)/25)*AV97+(1-EXP(-LN(2)/25))/(LN(2)/25)*Calculateur!AQ98*Calculateur!AS98*VLOOKUP('Données projet'!$B$10,Paramètres!$A$1:$I$89,3,0)*0.475*44/12</f>
        <v>9.0110754467430478</v>
      </c>
      <c r="AW98" s="21">
        <f>EXP(-LN(2)/2)*AW97+(1-EXP(-LN(2)/2))/(LN(2)/2)*AQ98*AT98*VLOOKUP('Données projet'!$B$10,Paramètres!$A$1:$I$89,3,0)*0.475*44/12</f>
        <v>2.59994705331616E-10</v>
      </c>
      <c r="AX98" s="21">
        <f t="shared" si="60"/>
        <v>53.304152670343541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-1.3567387213697657E-13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344.97546176735341</v>
      </c>
      <c r="BJ98" s="59">
        <f t="shared" si="92"/>
        <v>331.15461126257492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76.810697713892125</v>
      </c>
      <c r="BQ98" s="21">
        <f>EXP(-LN(2)/25)*BQ97+(1-EXP(-LN(2)/25))/(LN(2)/25)*Calculateur!BL98*Calculateur!BN98*VLOOKUP('Données projet'!$B$11,Paramètres!$A$1:$I$89,3,0)*0.475*44/12</f>
        <v>1.8707097230541174</v>
      </c>
      <c r="BR98" s="21">
        <f>EXP(-LN(2)/2)*BR97+(1-EXP(-LN(2)/2))/(LN(2)/2)*BL98*BO98*VLOOKUP('Données projet'!$B$11,Paramètres!$A$1:$I$89,3,0)*0.475*44/12</f>
        <v>0.22988215963114497</v>
      </c>
      <c r="BS98" s="22">
        <f t="shared" si="63"/>
        <v>78.91128959657739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-1.7053025658242404E-13</v>
      </c>
      <c r="BZ98" s="13">
        <f>BY98*VLOOKUP('Données projet'!$B$12,Paramètres!$A$1:$I$89,3,0)*VLOOKUP('Données projet'!$B$12,Paramètres!$A$1:$I$89,5,0)</f>
        <v>-1.3567387213697657E-13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344.97546176735341</v>
      </c>
      <c r="CE98" s="59">
        <f t="shared" si="94"/>
        <v>331.15461126257492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76.810697713892125</v>
      </c>
      <c r="CL98" s="21">
        <f>EXP(-LN(2)/25)*CL97+(1-EXP(-LN(2)/25))/(LN(2)/25)*Calculateur!CG98*Calculateur!CI98*VLOOKUP('Données projet'!$B$12,Paramètres!$A$1:$I$89,3,0)*0.475*44/12</f>
        <v>1.8707097230541174</v>
      </c>
      <c r="CM98" s="21">
        <f>EXP(-LN(2)/2)*CM97+(1-EXP(-LN(2)/2))/(LN(2)/2)*CG98*CJ98*VLOOKUP('Données projet'!$B$12,Paramètres!$A$1:$I$89,3,0)*0.475*44/12</f>
        <v>0.22988215963114497</v>
      </c>
      <c r="CN98" s="22">
        <f t="shared" si="66"/>
        <v>78.91128959657739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227.19465047672969</v>
      </c>
      <c r="CZ98" s="59">
        <f t="shared" si="96"/>
        <v>529.77979244134417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27.188976271683675</v>
      </c>
      <c r="DG98" s="21">
        <f>EXP(-LN(2)/25)*DG97+(1-EXP(-LN(2)/25))/(LN(2)/25)*Calculateur!DB98*Calculateur!DD98*VLOOKUP('Données projet'!$B$13,Paramètres!$A$1:$I$89,3,0)*0.475*44/12</f>
        <v>5.2260623776472643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32.415038649330938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240.09151195692266</v>
      </c>
      <c r="DU98" s="59">
        <f t="shared" si="98"/>
        <v>559.47775134103165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28.9660335443427</v>
      </c>
      <c r="EB98" s="21">
        <f>EXP(-LN(2)/25)*EB97+(1-EXP(-LN(2)/25))/(LN(2)/25)*Calculateur!DW98*Calculateur!DY98*VLOOKUP('Données projet'!$B$14,Paramètres!$A$1:$I$89,3,0)*0.475*44/12</f>
        <v>5.5676350820686551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34.533668626411355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5.6843418860808015E-14</v>
      </c>
      <c r="EK98" s="17">
        <f>EJ98*VLOOKUP('Données projet'!$B$15,Paramètres!$A$1:$I$89,3,0)*VLOOKUP('Données projet'!$B$15,Paramètres!$A$1:$I$89,5,0)</f>
        <v>4.4337866711430253E-14</v>
      </c>
      <c r="EL98" s="13">
        <f t="shared" si="99"/>
        <v>7.3222115536967035E-13</v>
      </c>
      <c r="EM98" s="20">
        <f t="shared" si="73"/>
        <v>1.3525069634579169E-12</v>
      </c>
      <c r="EN98" s="59">
        <f t="shared" si="74"/>
        <v>266.90678446319225</v>
      </c>
      <c r="EO98" s="59">
        <f ca="1">AVERAGE(OFFSET($EN$3,0,0,'Données projet'!$E$15+1,1))-AVERAGE(OFFSET($H$3,0,0,'Données projet'!$E$15+1,1))</f>
        <v>328.79469965518484</v>
      </c>
      <c r="EP98" s="59">
        <f t="shared" si="100"/>
        <v>322.06400652269735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39.708988622565137</v>
      </c>
      <c r="EW98" s="21">
        <f>EXP(-LN(2)/25)*EW97+(1-EXP(-LN(2)/25))/(LN(2)/25)*Calculateur!ER98*Calculateur!ET98*VLOOKUP('Données projet'!$B$15,Paramètres!$A$1:$I$89,3,0)*0.475*44/12</f>
        <v>4.6263638153596061</v>
      </c>
      <c r="EX98" s="21">
        <f>EXP(-LN(2)/2)*EX97+(1-EXP(-LN(2)/2))/(LN(2)/2)*ER98*EU98*VLOOKUP('Données projet'!$B$15,Paramètres!$A$1:$I$89,3,0)*0.475*44/12</f>
        <v>8.8998576901970061E-3</v>
      </c>
      <c r="EY98" s="22">
        <f t="shared" si="75"/>
        <v>44.344252295614936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463</v>
      </c>
      <c r="FC98" s="12">
        <f>VLOOKUP(A98,'Données projet'!$A$217:$I$237,9,0)</f>
        <v>8.6</v>
      </c>
      <c r="FD98" s="12">
        <f t="array" ref="FD98">INDEX(FC:FC,MIN(IF(ISNUMBER(FC98:FC294),ROW(FC98:FC294),"")))</f>
        <v>8.6</v>
      </c>
      <c r="FE98" s="12">
        <f>IF('Données projet'!$A$218&gt;35,FE97+FD98-FM97,IF(A98&lt;'Données projet'!$A$218,$FB$205^A98,IF(A98='Données projet'!$A$218,'Données projet'!$B$218,FE97+FD98-FM97)))</f>
        <v>463.00000000000006</v>
      </c>
      <c r="FF98" s="17">
        <f>FE98*VLOOKUP('Données projet'!$B$16,Paramètres!$A$1:$I$89,3,0)*VLOOKUP('Données projet'!$B$16,Paramètres!$A$1:$I$89,5,0)</f>
        <v>339.47160000000002</v>
      </c>
      <c r="FG98" s="13">
        <f t="shared" si="101"/>
        <v>79.390765756136659</v>
      </c>
      <c r="FH98" s="20">
        <f t="shared" si="76"/>
        <v>729.51862035860461</v>
      </c>
      <c r="FI98" s="59">
        <f t="shared" si="77"/>
        <v>996.4254048217955</v>
      </c>
      <c r="FJ98" s="59">
        <f ca="1">AVERAGE(OFFSET($FI$3,0,0,'Données projet'!$E$16+1,1))-AVERAGE(OFFSET($H$3,0,0,'Données projet'!$E$16+1,1))</f>
        <v>525.22234644068908</v>
      </c>
      <c r="FK98" s="59">
        <f t="shared" si="102"/>
        <v>311.5550296132094</v>
      </c>
      <c r="FL98" s="15">
        <f>IF(ISNA(VLOOKUP(A98,'Données projet'!$A$217:$I$237,3,0)),0,VLOOKUP(A98,'Données projet'!$A$217:$I$237,3,0))</f>
        <v>16</v>
      </c>
      <c r="FM98" s="15">
        <f>IF(ISNA(VLOOKUP(A98,'Données projet'!$A$217:$I$237,4,0)),0,VLOOKUP(A98,'Données projet'!$A$217:$I$237,4,0))</f>
        <v>30</v>
      </c>
      <c r="FN98" s="16">
        <f>IF(ISNA(VLOOKUP(A98,'Données projet'!$A$217:$I$237,5,0)),0%,VLOOKUP(A98,'Données projet'!$A$217:$I$237,5,0)*VLOOKUP('Données projet'!$B$16,Paramètres!$A$1:$I$89,7,0))</f>
        <v>0.129</v>
      </c>
      <c r="FO98" s="16">
        <f>IF(ISNA(VLOOKUP(A98,'Données projet'!$A$217:$I$237,6,0)),0%,VLOOKUP(A98,'Données projet'!$A$217:$I$237,6,0)*VLOOKUP('Données projet'!$B$16,Paramètres!$A$1:$I$89,7,0))</f>
        <v>0.15049999999999999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8.7173378744386802</v>
      </c>
      <c r="FR98" s="21">
        <f>EXP(-LN(2)/25)*FR97+(1-EXP(-LN(2)/25))/(LN(2)/25)*Calculateur!FM98*Calculateur!FO98*VLOOKUP('Données projet'!$B$16,Paramètres!$A$1:$I$89,3,0)*0.475*44/12</f>
        <v>30.381024285305976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39.098362159744653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-1.7053025658242404E-13</v>
      </c>
      <c r="GA98" s="17">
        <f>FZ98*VLOOKUP('Données projet'!$B$17,Paramètres!$A$1:$I$89,3,0)*VLOOKUP('Données projet'!$B$17,Paramètres!$A$1:$I$89,5,0)</f>
        <v>-1.1173142411280423E-13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298.45881427802874</v>
      </c>
      <c r="GF98" s="59">
        <f t="shared" si="104"/>
        <v>287.00279305562356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51.320799138471763</v>
      </c>
      <c r="GM98" s="21">
        <f>EXP(-LN(2)/25)*GM97+(1-EXP(-LN(2)/25))/(LN(2)/25)*Calculateur!GH98*Calculateur!GJ98*VLOOKUP('Données projet'!$B$17,Paramètres!$A$1:$I$89,3,0)*0.475*44/12</f>
        <v>1.249908161241486</v>
      </c>
      <c r="GN98" s="21">
        <f>EXP(-LN(2)/2)*GN97+(1-EXP(-LN(2)/2))/(LN(2)/2)*GH98*GK98*VLOOKUP('Données projet'!$B$17,Paramètres!$A$1:$I$89,3,0)*0.475*44/12</f>
        <v>0.18931471969623695</v>
      </c>
      <c r="GO98" s="21">
        <f t="shared" si="81"/>
        <v>52.760022019409483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135.66666666666666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>
        <f>VLOOKUP(A99,'Données projet'!$A$35:$I$55,2,0)</f>
        <v>338</v>
      </c>
      <c r="L99" s="12">
        <f>VLOOKUP(A99,'Données projet'!$A$35:$I$55,9,0)</f>
        <v>7.333333333333333</v>
      </c>
      <c r="M99" s="12">
        <f t="array" ref="M99">INDEX(L:L,MIN(IF(ISNUMBER(L99:L295),ROW(L99:L295),"")))</f>
        <v>7.333333333333333</v>
      </c>
      <c r="N99" s="13">
        <f>IF('Données projet'!$A$36&gt;35,N98+M99-V98,IF(A99&lt;'Données projet'!$A$36,$K$205^A99,IF(A99='Données projet'!$A$36,'Données projet'!$B$36,N98+M99-V98)))</f>
        <v>337.99999999999966</v>
      </c>
      <c r="O99" s="13">
        <f>N99*VLOOKUP('Données projet'!$B$9,Paramètres!$A$1:$I$89,3,0)*VLOOKUP('Données projet'!$B$9,Paramètres!$A$1:$I$89,5,0)</f>
        <v>305.82239999999967</v>
      </c>
      <c r="P99" s="13">
        <f t="shared" si="87"/>
        <v>72.39569329126887</v>
      </c>
      <c r="Q99" s="20">
        <f t="shared" ref="Q99:Q130" si="107">(O99+P99)*0.475*44/12</f>
        <v>658.72984581562605</v>
      </c>
      <c r="R99" s="59">
        <f t="shared" si="55"/>
        <v>926.09507182080165</v>
      </c>
      <c r="S99" s="59">
        <f ca="1">AVERAGE(OFFSET($R$3,0,0,'Données projet'!$E$9+1,1))-AVERAGE(OFFSET($H$3,0,0,'Données projet'!$E$9+1,1))</f>
        <v>600.52384738314299</v>
      </c>
      <c r="T99" s="59">
        <f t="shared" si="88"/>
        <v>314.84650287986256</v>
      </c>
      <c r="U99" s="15">
        <f>IF(ISNA(VLOOKUP(A99,'Données projet'!$A$35:$I$55,3,0)),0,VLOOKUP(A99,'Données projet'!$A$35:$I$55,3,0))</f>
        <v>8</v>
      </c>
      <c r="V99" s="15">
        <f>IF(ISNA(VLOOKUP(A99,'Données projet'!$A$35:$I$55,4,0)),0,VLOOKUP(A99,'Données projet'!$A$35:$I$55,4,0))</f>
        <v>44</v>
      </c>
      <c r="W99" s="16">
        <f>IF(ISNA(VLOOKUP(A99,'Données projet'!$A$35:$I$55,5,0)),0%,VLOOKUP(A99,'Données projet'!$A$35:$I$55,5,0)*VLOOKUP('Données projet'!$B$9,Paramètres!$A$1:$I$89,7,0))</f>
        <v>0.17200000000000001</v>
      </c>
      <c r="X99" s="16">
        <f>IF(ISNA(VLOOKUP(A99,'Données projet'!$A$35:$I$55,6,0)),0%,VLOOKUP(A99,'Données projet'!$A$35:$I$55,6,0)*VLOOKUP('Données projet'!$B$9,Paramètres!$A$1:$I$89,7,0))</f>
        <v>0.129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13.903680789302218</v>
      </c>
      <c r="AA99" s="21">
        <f>EXP(-LN(2)/25)*AA98+(1-EXP(-LN(2)/25))/(LN(2)/25)*Calculateur!V99*Calculateur!X99*VLOOKUP('Données projet'!$B$9,Paramètres!$A$1:$I$89,3,0)*0.475*44/12</f>
        <v>33.029801905078003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46.933482694380217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3.2</v>
      </c>
      <c r="AI99" s="13">
        <f>IF('Données projet'!$A$62&gt;35,AI98+AH99-AQ98,IF(A99&lt;'Données projet'!$A$62,$AF$205^A99,IF(A99='Données projet'!$A$62,'Données projet'!$B$62,AI98+AH99-AQ98)))</f>
        <v>260.19999999999987</v>
      </c>
      <c r="AJ99" s="13">
        <f>AI99*VLOOKUP('Données projet'!$B$10,Paramètres!$A$1:$I$89,3,0)*VLOOKUP('Données projet'!$B$10,Paramètres!$A$1:$I$89,5,0)</f>
        <v>227.31071999999989</v>
      </c>
      <c r="AK99" s="13">
        <f t="shared" si="89"/>
        <v>55.700798883800765</v>
      </c>
      <c r="AL99" s="20">
        <f t="shared" si="58"/>
        <v>492.91172872261944</v>
      </c>
      <c r="AM99" s="59">
        <f t="shared" si="59"/>
        <v>760.27695472779499</v>
      </c>
      <c r="AN99" s="59">
        <f ca="1">AVERAGE(OFFSET($AM$3,0,0,'Données projet'!$E$10+1,1))-AVERAGE(OFFSET($H$3,0,0,'Données projet'!$E$10+1,1))</f>
        <v>436.77894860279537</v>
      </c>
      <c r="AO99" s="59">
        <f t="shared" si="90"/>
        <v>398.63561969573072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43.424516995100277</v>
      </c>
      <c r="AV99" s="21">
        <f>EXP(-LN(2)/25)*AV98+(1-EXP(-LN(2)/25))/(LN(2)/25)*Calculateur!AQ99*Calculateur!AS99*VLOOKUP('Données projet'!$B$10,Paramètres!$A$1:$I$89,3,0)*0.475*44/12</f>
        <v>8.7646671147799964</v>
      </c>
      <c r="AW99" s="21">
        <f>EXP(-LN(2)/2)*AW98+(1-EXP(-LN(2)/2))/(LN(2)/2)*AQ99*AT99*VLOOKUP('Données projet'!$B$10,Paramètres!$A$1:$I$89,3,0)*0.475*44/12</f>
        <v>1.838440192125839E-10</v>
      </c>
      <c r="AX99" s="21">
        <f t="shared" si="60"/>
        <v>52.189184110064119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-1.3567387213697657E-13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344.97546176735341</v>
      </c>
      <c r="BJ99" s="59">
        <f t="shared" si="92"/>
        <v>331.15461126257492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75.304486781622259</v>
      </c>
      <c r="BQ99" s="21">
        <f>EXP(-LN(2)/25)*BQ98+(1-EXP(-LN(2)/25))/(LN(2)/25)*Calculateur!BL99*Calculateur!BN99*VLOOKUP('Données projet'!$B$11,Paramètres!$A$1:$I$89,3,0)*0.475*44/12</f>
        <v>1.8195550673008538</v>
      </c>
      <c r="BR99" s="21">
        <f>EXP(-LN(2)/2)*BR98+(1-EXP(-LN(2)/2))/(LN(2)/2)*BL99*BO99*VLOOKUP('Données projet'!$B$11,Paramètres!$A$1:$I$89,3,0)*0.475*44/12</f>
        <v>0.16255123394899101</v>
      </c>
      <c r="BS99" s="22">
        <f t="shared" si="63"/>
        <v>77.286593082872102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-1.7053025658242404E-13</v>
      </c>
      <c r="BZ99" s="13">
        <f>BY99*VLOOKUP('Données projet'!$B$12,Paramètres!$A$1:$I$89,3,0)*VLOOKUP('Données projet'!$B$12,Paramètres!$A$1:$I$89,5,0)</f>
        <v>-1.3567387213697657E-13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344.97546176735341</v>
      </c>
      <c r="CE99" s="59">
        <f t="shared" si="94"/>
        <v>331.15461126257492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75.304486781622259</v>
      </c>
      <c r="CL99" s="21">
        <f>EXP(-LN(2)/25)*CL98+(1-EXP(-LN(2)/25))/(LN(2)/25)*Calculateur!CG99*Calculateur!CI99*VLOOKUP('Données projet'!$B$12,Paramètres!$A$1:$I$89,3,0)*0.475*44/12</f>
        <v>1.8195550673008538</v>
      </c>
      <c r="CM99" s="21">
        <f>EXP(-LN(2)/2)*CM98+(1-EXP(-LN(2)/2))/(LN(2)/2)*CG99*CJ99*VLOOKUP('Données projet'!$B$12,Paramètres!$A$1:$I$89,3,0)*0.475*44/12</f>
        <v>0.16255123394899101</v>
      </c>
      <c r="CN99" s="22">
        <f t="shared" si="66"/>
        <v>77.286593082872102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227.19465047672969</v>
      </c>
      <c r="CZ99" s="59">
        <f t="shared" si="96"/>
        <v>529.77979244134417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26.655817030633987</v>
      </c>
      <c r="DG99" s="21">
        <f>EXP(-LN(2)/25)*DG98+(1-EXP(-LN(2)/25))/(LN(2)/25)*Calculateur!DB99*Calculateur!DD99*VLOOKUP('Données projet'!$B$13,Paramètres!$A$1:$I$89,3,0)*0.475*44/12</f>
        <v>5.083155427103824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31.738972457737809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240.09151195692266</v>
      </c>
      <c r="DU99" s="59">
        <f t="shared" si="98"/>
        <v>559.47775134103165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28.398027294074076</v>
      </c>
      <c r="EB99" s="21">
        <f>EXP(-LN(2)/25)*EB98+(1-EXP(-LN(2)/25))/(LN(2)/25)*Calculateur!DW99*Calculateur!DY99*VLOOKUP('Données projet'!$B$14,Paramètres!$A$1:$I$89,3,0)*0.475*44/12</f>
        <v>5.4153878079602835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33.813415102034362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5.6843418860808015E-14</v>
      </c>
      <c r="EK99" s="17">
        <f>EJ99*VLOOKUP('Données projet'!$B$15,Paramètres!$A$1:$I$89,3,0)*VLOOKUP('Données projet'!$B$15,Paramètres!$A$1:$I$89,5,0)</f>
        <v>4.4337866711430253E-14</v>
      </c>
      <c r="EL99" s="13">
        <f t="shared" si="99"/>
        <v>7.3222115536967035E-13</v>
      </c>
      <c r="EM99" s="20">
        <f t="shared" si="73"/>
        <v>1.3525069634579169E-12</v>
      </c>
      <c r="EN99" s="59">
        <f t="shared" si="74"/>
        <v>267.36522600517691</v>
      </c>
      <c r="EO99" s="59">
        <f ca="1">AVERAGE(OFFSET($EN$3,0,0,'Données projet'!$E$15+1,1))-AVERAGE(OFFSET($H$3,0,0,'Données projet'!$E$15+1,1))</f>
        <v>328.79469965518484</v>
      </c>
      <c r="EP99" s="59">
        <f t="shared" si="100"/>
        <v>322.06400652269735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38.930319575768159</v>
      </c>
      <c r="EW99" s="21">
        <f>EXP(-LN(2)/25)*EW98+(1-EXP(-LN(2)/25))/(LN(2)/25)*Calculateur!ER99*Calculateur!ET99*VLOOKUP('Données projet'!$B$15,Paramètres!$A$1:$I$89,3,0)*0.475*44/12</f>
        <v>4.499855653538698</v>
      </c>
      <c r="EX99" s="21">
        <f>EXP(-LN(2)/2)*EX98+(1-EXP(-LN(2)/2))/(LN(2)/2)*ER99*EU99*VLOOKUP('Données projet'!$B$15,Paramètres!$A$1:$I$89,3,0)*0.475*44/12</f>
        <v>6.2931497243335468E-3</v>
      </c>
      <c r="EY99" s="22">
        <f t="shared" si="75"/>
        <v>43.43646837903119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8.1999999999999993</v>
      </c>
      <c r="FE99" s="12">
        <f>IF('Données projet'!$A$218&gt;35,FE98+FD99-FM98,IF(A99&lt;'Données projet'!$A$218,$FB$205^A99,IF(A99='Données projet'!$A$218,'Données projet'!$B$218,FE98+FD99-FM98)))</f>
        <v>441.20000000000005</v>
      </c>
      <c r="FF99" s="17">
        <f>FE99*VLOOKUP('Données projet'!$B$16,Paramètres!$A$1:$I$89,3,0)*VLOOKUP('Données projet'!$B$16,Paramètres!$A$1:$I$89,5,0)</f>
        <v>323.48784000000001</v>
      </c>
      <c r="FG99" s="13">
        <f t="shared" si="101"/>
        <v>76.078608105532638</v>
      </c>
      <c r="FH99" s="20">
        <f t="shared" si="76"/>
        <v>695.91156378380265</v>
      </c>
      <c r="FI99" s="59">
        <f t="shared" si="77"/>
        <v>963.27678978897825</v>
      </c>
      <c r="FJ99" s="59">
        <f ca="1">AVERAGE(OFFSET($FI$3,0,0,'Données projet'!$E$16+1,1))-AVERAGE(OFFSET($H$3,0,0,'Données projet'!$E$16+1,1))</f>
        <v>525.22234644068908</v>
      </c>
      <c r="FK99" s="59">
        <f t="shared" si="102"/>
        <v>311.5550296132094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8.5463961957720258</v>
      </c>
      <c r="FR99" s="21">
        <f>EXP(-LN(2)/25)*FR98+(1-EXP(-LN(2)/25))/(LN(2)/25)*Calculateur!FM99*Calculateur!FO99*VLOOKUP('Données projet'!$B$16,Paramètres!$A$1:$I$89,3,0)*0.475*44/12</f>
        <v>29.550253578555655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38.09664977432768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-1.7053025658242404E-13</v>
      </c>
      <c r="GA99" s="17">
        <f>FZ99*VLOOKUP('Données projet'!$B$17,Paramètres!$A$1:$I$89,3,0)*VLOOKUP('Données projet'!$B$17,Paramètres!$A$1:$I$89,5,0)</f>
        <v>-1.1173142411280423E-13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298.45881427802874</v>
      </c>
      <c r="GF99" s="59">
        <f t="shared" si="104"/>
        <v>287.00279305562356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50.314429569962932</v>
      </c>
      <c r="GM99" s="21">
        <f>EXP(-LN(2)/25)*GM98+(1-EXP(-LN(2)/25))/(LN(2)/25)*Calculateur!GH99*Calculateur!GJ99*VLOOKUP('Données projet'!$B$17,Paramètres!$A$1:$I$89,3,0)*0.475*44/12</f>
        <v>1.215729356842524</v>
      </c>
      <c r="GN99" s="21">
        <f>EXP(-LN(2)/2)*GN98+(1-EXP(-LN(2)/2))/(LN(2)/2)*GH99*GK99*VLOOKUP('Données projet'!$B$17,Paramètres!$A$1:$I$89,3,0)*0.475*44/12</f>
        <v>0.1338657220756396</v>
      </c>
      <c r="GO99" s="21">
        <f t="shared" si="81"/>
        <v>51.664024648881096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135.66666666666666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7.1111111111111107</v>
      </c>
      <c r="N100" s="13">
        <f>IF('Données projet'!$A$36&gt;35,N99+M100-V99,IF(A100&lt;'Données projet'!$A$36,$K$205^A100,IF(A100='Données projet'!$A$36,'Données projet'!$B$36,N99+M100-V99)))</f>
        <v>301.11111111111074</v>
      </c>
      <c r="O100" s="13">
        <f>N100*VLOOKUP('Données projet'!$B$9,Paramètres!$A$1:$I$89,3,0)*VLOOKUP('Données projet'!$B$9,Paramètres!$A$1:$I$89,5,0)</f>
        <v>272.445333333333</v>
      </c>
      <c r="P100" s="13">
        <f t="shared" si="87"/>
        <v>65.367958107525453</v>
      </c>
      <c r="Q100" s="20">
        <f t="shared" si="107"/>
        <v>588.35814925949501</v>
      </c>
      <c r="R100" s="59">
        <f t="shared" si="55"/>
        <v>856.17386387082354</v>
      </c>
      <c r="S100" s="59">
        <f ca="1">AVERAGE(OFFSET($R$3,0,0,'Données projet'!$E$9+1,1))-AVERAGE(OFFSET($H$3,0,0,'Données projet'!$E$9+1,1))</f>
        <v>600.52384738314299</v>
      </c>
      <c r="T100" s="59">
        <f t="shared" si="88"/>
        <v>314.84650287986256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13.631038089431913</v>
      </c>
      <c r="AA100" s="21">
        <f>EXP(-LN(2)/25)*AA99+(1-EXP(-LN(2)/25))/(LN(2)/25)*Calculateur!V100*Calculateur!X100*VLOOKUP('Données projet'!$B$9,Paramètres!$A$1:$I$89,3,0)*0.475*44/12</f>
        <v>32.126600235021854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45.757638324453765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3.2</v>
      </c>
      <c r="AI100" s="13">
        <f>IF('Données projet'!$A$62&gt;35,AI99+AH100-AQ99,IF(A100&lt;'Données projet'!$A$62,$AF$205^A100,IF(A100='Données projet'!$A$62,'Données projet'!$B$62,AI99+AH100-AQ99)))</f>
        <v>263.39999999999986</v>
      </c>
      <c r="AJ100" s="13">
        <f>AI100*VLOOKUP('Données projet'!$B$10,Paramètres!$A$1:$I$89,3,0)*VLOOKUP('Données projet'!$B$10,Paramètres!$A$1:$I$89,5,0)</f>
        <v>230.1062399999999</v>
      </c>
      <c r="AK100" s="13">
        <f t="shared" si="89"/>
        <v>56.30565248558618</v>
      </c>
      <c r="AL100" s="20">
        <f t="shared" si="58"/>
        <v>498.83404607906238</v>
      </c>
      <c r="AM100" s="59">
        <f t="shared" si="59"/>
        <v>766.64976069039085</v>
      </c>
      <c r="AN100" s="59">
        <f ca="1">AVERAGE(OFFSET($AM$3,0,0,'Données projet'!$E$10+1,1))-AVERAGE(OFFSET($H$3,0,0,'Données projet'!$E$10+1,1))</f>
        <v>436.77894860279537</v>
      </c>
      <c r="AO100" s="59">
        <f t="shared" si="90"/>
        <v>398.63561969573072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42.572988703166416</v>
      </c>
      <c r="AV100" s="21">
        <f>EXP(-LN(2)/25)*AV99+(1-EXP(-LN(2)/25))/(LN(2)/25)*Calculateur!AQ100*Calculateur!AS100*VLOOKUP('Données projet'!$B$10,Paramètres!$A$1:$I$89,3,0)*0.475*44/12</f>
        <v>8.5249968316125262</v>
      </c>
      <c r="AW100" s="21">
        <f>EXP(-LN(2)/2)*AW99+(1-EXP(-LN(2)/2))/(LN(2)/2)*AQ100*AT100*VLOOKUP('Données projet'!$B$10,Paramètres!$A$1:$I$89,3,0)*0.475*44/12</f>
        <v>1.29997352665808E-10</v>
      </c>
      <c r="AX100" s="21">
        <f t="shared" si="60"/>
        <v>51.097985534908943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-1.3567387213697657E-13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344.97546176735341</v>
      </c>
      <c r="BJ100" s="59">
        <f t="shared" si="92"/>
        <v>331.15461126257492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73.827811727036249</v>
      </c>
      <c r="BQ100" s="21">
        <f>EXP(-LN(2)/25)*BQ99+(1-EXP(-LN(2)/25))/(LN(2)/25)*Calculateur!BL100*Calculateur!BN100*VLOOKUP('Données projet'!$B$11,Paramètres!$A$1:$I$89,3,0)*0.475*44/12</f>
        <v>1.7697992382992696</v>
      </c>
      <c r="BR100" s="21">
        <f>EXP(-LN(2)/2)*BR99+(1-EXP(-LN(2)/2))/(LN(2)/2)*BL100*BO100*VLOOKUP('Données projet'!$B$11,Paramètres!$A$1:$I$89,3,0)*0.475*44/12</f>
        <v>0.11494107981557249</v>
      </c>
      <c r="BS100" s="22">
        <f t="shared" si="63"/>
        <v>75.712552045151085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-1.7053025658242404E-13</v>
      </c>
      <c r="BZ100" s="13">
        <f>BY100*VLOOKUP('Données projet'!$B$12,Paramètres!$A$1:$I$89,3,0)*VLOOKUP('Données projet'!$B$12,Paramètres!$A$1:$I$89,5,0)</f>
        <v>-1.3567387213697657E-13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344.97546176735341</v>
      </c>
      <c r="CE100" s="59">
        <f t="shared" si="94"/>
        <v>331.15461126257492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73.827811727036249</v>
      </c>
      <c r="CL100" s="21">
        <f>EXP(-LN(2)/25)*CL99+(1-EXP(-LN(2)/25))/(LN(2)/25)*Calculateur!CG100*Calculateur!CI100*VLOOKUP('Données projet'!$B$12,Paramètres!$A$1:$I$89,3,0)*0.475*44/12</f>
        <v>1.7697992382992696</v>
      </c>
      <c r="CM100" s="21">
        <f>EXP(-LN(2)/2)*CM99+(1-EXP(-LN(2)/2))/(LN(2)/2)*CG100*CJ100*VLOOKUP('Données projet'!$B$12,Paramètres!$A$1:$I$89,3,0)*0.475*44/12</f>
        <v>0.11494107981557249</v>
      </c>
      <c r="CN100" s="22">
        <f t="shared" si="66"/>
        <v>75.712552045151085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227.19465047672969</v>
      </c>
      <c r="CZ100" s="59">
        <f t="shared" si="96"/>
        <v>529.77979244134417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26.133112717106254</v>
      </c>
      <c r="DG100" s="21">
        <f>EXP(-LN(2)/25)*DG99+(1-EXP(-LN(2)/25))/(LN(2)/25)*Calculateur!DB100*Calculateur!DD100*VLOOKUP('Données projet'!$B$13,Paramètres!$A$1:$I$89,3,0)*0.475*44/12</f>
        <v>4.9441562746381438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31.077268991744397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240.09151195692266</v>
      </c>
      <c r="DU100" s="59">
        <f t="shared" si="98"/>
        <v>559.47775134103165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27.841159299923618</v>
      </c>
      <c r="EB100" s="21">
        <f>EXP(-LN(2)/25)*EB99+(1-EXP(-LN(2)/25))/(LN(2)/25)*Calculateur!DW100*Calculateur!DY100*VLOOKUP('Données projet'!$B$14,Paramètres!$A$1:$I$89,3,0)*0.475*44/12</f>
        <v>5.2673037435687418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33.108463043492357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5.6843418860808015E-14</v>
      </c>
      <c r="EK100" s="17">
        <f>EJ100*VLOOKUP('Données projet'!$B$15,Paramètres!$A$1:$I$89,3,0)*VLOOKUP('Données projet'!$B$15,Paramètres!$A$1:$I$89,5,0)</f>
        <v>4.4337866711430253E-14</v>
      </c>
      <c r="EL100" s="13">
        <f t="shared" si="99"/>
        <v>7.3222115536967035E-13</v>
      </c>
      <c r="EM100" s="20">
        <f t="shared" si="73"/>
        <v>1.3525069634579169E-12</v>
      </c>
      <c r="EN100" s="59">
        <f t="shared" si="74"/>
        <v>267.81571461132989</v>
      </c>
      <c r="EO100" s="59">
        <f ca="1">AVERAGE(OFFSET($EN$3,0,0,'Données projet'!$E$15+1,1))-AVERAGE(OFFSET($H$3,0,0,'Données projet'!$E$15+1,1))</f>
        <v>328.79469965518484</v>
      </c>
      <c r="EP100" s="59">
        <f t="shared" si="100"/>
        <v>322.06400652269735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38.16691975403765</v>
      </c>
      <c r="EW100" s="21">
        <f>EXP(-LN(2)/25)*EW99+(1-EXP(-LN(2)/25))/(LN(2)/25)*Calculateur!ER100*Calculateur!ET100*VLOOKUP('Données projet'!$B$15,Paramètres!$A$1:$I$89,3,0)*0.475*44/12</f>
        <v>4.376806864055558</v>
      </c>
      <c r="EX100" s="21">
        <f>EXP(-LN(2)/2)*EX99+(1-EXP(-LN(2)/2))/(LN(2)/2)*ER100*EU100*VLOOKUP('Données projet'!$B$15,Paramètres!$A$1:$I$89,3,0)*0.475*44/12</f>
        <v>4.449928845098503E-3</v>
      </c>
      <c r="EY100" s="22">
        <f t="shared" si="75"/>
        <v>42.548176546938308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8.1999999999999993</v>
      </c>
      <c r="FE100" s="12">
        <f>IF('Données projet'!$A$218&gt;35,FE99+FD100-FM99,IF(A100&lt;'Données projet'!$A$218,$FB$205^A100,IF(A100='Données projet'!$A$218,'Données projet'!$B$218,FE99+FD100-FM99)))</f>
        <v>449.40000000000003</v>
      </c>
      <c r="FF100" s="17">
        <f>FE100*VLOOKUP('Données projet'!$B$16,Paramètres!$A$1:$I$89,3,0)*VLOOKUP('Données projet'!$B$16,Paramètres!$A$1:$I$89,5,0)</f>
        <v>329.50008000000003</v>
      </c>
      <c r="FG100" s="13">
        <f t="shared" si="101"/>
        <v>77.326651857769278</v>
      </c>
      <c r="FH100" s="20">
        <f t="shared" si="76"/>
        <v>708.55655798561486</v>
      </c>
      <c r="FI100" s="59">
        <f t="shared" si="77"/>
        <v>976.37227259694339</v>
      </c>
      <c r="FJ100" s="59">
        <f ca="1">AVERAGE(OFFSET($FI$3,0,0,'Données projet'!$E$16+1,1))-AVERAGE(OFFSET($H$3,0,0,'Données projet'!$E$16+1,1))</f>
        <v>525.22234644068908</v>
      </c>
      <c r="FK100" s="59">
        <f t="shared" si="102"/>
        <v>311.5550296132094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8.378806579159896</v>
      </c>
      <c r="FR100" s="21">
        <f>EXP(-LN(2)/25)*FR99+(1-EXP(-LN(2)/25))/(LN(2)/25)*Calculateur!FM100*Calculateur!FO100*VLOOKUP('Données projet'!$B$16,Paramètres!$A$1:$I$89,3,0)*0.475*44/12</f>
        <v>28.742200340469754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37.12100691962965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-1.7053025658242404E-13</v>
      </c>
      <c r="GA100" s="17">
        <f>FZ100*VLOOKUP('Données projet'!$B$17,Paramètres!$A$1:$I$89,3,0)*VLOOKUP('Données projet'!$B$17,Paramètres!$A$1:$I$89,5,0)</f>
        <v>-1.1173142411280423E-13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298.45881427802874</v>
      </c>
      <c r="GF100" s="59">
        <f t="shared" si="104"/>
        <v>287.00279305562356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49.327794294867729</v>
      </c>
      <c r="GM100" s="21">
        <f>EXP(-LN(2)/25)*GM99+(1-EXP(-LN(2)/25))/(LN(2)/25)*Calculateur!GH100*Calculateur!GJ100*VLOOKUP('Données projet'!$B$17,Paramètres!$A$1:$I$89,3,0)*0.475*44/12</f>
        <v>1.1824851736472368</v>
      </c>
      <c r="GN100" s="21">
        <f>EXP(-LN(2)/2)*GN99+(1-EXP(-LN(2)/2))/(LN(2)/2)*GH100*GK100*VLOOKUP('Données projet'!$B$17,Paramètres!$A$1:$I$89,3,0)*0.475*44/12</f>
        <v>9.4657359848118475E-2</v>
      </c>
      <c r="GO100" s="21">
        <f t="shared" si="81"/>
        <v>50.604936828363087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135.66666666666666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7.1111111111111107</v>
      </c>
      <c r="N101" s="13">
        <f>IF('Données projet'!$A$36&gt;35,N100+M101-V100,IF(A101&lt;'Données projet'!$A$36,$K$205^A101,IF(A101='Données projet'!$A$36,'Données projet'!$B$36,N100+M101-V100)))</f>
        <v>308.22222222222183</v>
      </c>
      <c r="O101" s="13">
        <f>N101*VLOOKUP('Données projet'!$B$9,Paramètres!$A$1:$I$89,3,0)*VLOOKUP('Données projet'!$B$9,Paramètres!$A$1:$I$89,5,0)</f>
        <v>278.8794666666663</v>
      </c>
      <c r="P101" s="13">
        <f t="shared" si="87"/>
        <v>66.730152740440701</v>
      </c>
      <c r="Q101" s="20">
        <f t="shared" si="107"/>
        <v>601.93675380071136</v>
      </c>
      <c r="R101" s="59">
        <f t="shared" si="55"/>
        <v>870.19514204801771</v>
      </c>
      <c r="S101" s="59">
        <f ca="1">AVERAGE(OFFSET($R$3,0,0,'Données projet'!$E$9+1,1))-AVERAGE(OFFSET($H$3,0,0,'Données projet'!$E$9+1,1))</f>
        <v>600.52384738314299</v>
      </c>
      <c r="T101" s="59">
        <f t="shared" si="88"/>
        <v>314.84650287986256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13.363741746610437</v>
      </c>
      <c r="AA101" s="21">
        <f>EXP(-LN(2)/25)*AA100+(1-EXP(-LN(2)/25))/(LN(2)/25)*Calculateur!V101*Calculateur!X101*VLOOKUP('Données projet'!$B$9,Paramètres!$A$1:$I$89,3,0)*0.475*44/12</f>
        <v>31.248096662130703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44.611838408741136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3.2</v>
      </c>
      <c r="AI101" s="13">
        <f>IF('Données projet'!$A$62&gt;35,AI100+AH101-AQ100,IF(A101&lt;'Données projet'!$A$62,$AF$205^A101,IF(A101='Données projet'!$A$62,'Données projet'!$B$62,AI100+AH101-AQ100)))</f>
        <v>266.59999999999985</v>
      </c>
      <c r="AJ101" s="13">
        <f>AI101*VLOOKUP('Données projet'!$B$10,Paramètres!$A$1:$I$89,3,0)*VLOOKUP('Données projet'!$B$10,Paramètres!$A$1:$I$89,5,0)</f>
        <v>232.90175999999991</v>
      </c>
      <c r="AK101" s="13">
        <f t="shared" si="89"/>
        <v>56.909651332233828</v>
      </c>
      <c r="AL101" s="20">
        <f t="shared" si="58"/>
        <v>504.7548747369737</v>
      </c>
      <c r="AM101" s="59">
        <f t="shared" si="59"/>
        <v>773.01326298428012</v>
      </c>
      <c r="AN101" s="59">
        <f ca="1">AVERAGE(OFFSET($AM$3,0,0,'Données projet'!$E$10+1,1))-AVERAGE(OFFSET($H$3,0,0,'Données projet'!$E$10+1,1))</f>
        <v>436.77894860279537</v>
      </c>
      <c r="AO101" s="59">
        <f t="shared" si="90"/>
        <v>398.63561969573072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41.73815836165641</v>
      </c>
      <c r="AV101" s="21">
        <f>EXP(-LN(2)/25)*AV100+(1-EXP(-LN(2)/25))/(LN(2)/25)*Calculateur!AQ101*Calculateur!AS101*VLOOKUP('Données projet'!$B$10,Paramètres!$A$1:$I$89,3,0)*0.475*44/12</f>
        <v>8.2918803449419816</v>
      </c>
      <c r="AW101" s="21">
        <f>EXP(-LN(2)/2)*AW100+(1-EXP(-LN(2)/2))/(LN(2)/2)*AQ101*AT101*VLOOKUP('Données projet'!$B$10,Paramètres!$A$1:$I$89,3,0)*0.475*44/12</f>
        <v>9.192200960629195E-11</v>
      </c>
      <c r="AX101" s="21">
        <f t="shared" si="60"/>
        <v>50.030038706690313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-1.3567387213697657E-13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344.97546176735341</v>
      </c>
      <c r="BJ101" s="59">
        <f t="shared" si="92"/>
        <v>331.15461126257492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72.380093369587826</v>
      </c>
      <c r="BQ101" s="21">
        <f>EXP(-LN(2)/25)*BQ100+(1-EXP(-LN(2)/25))/(LN(2)/25)*Calculateur!BL101*Calculateur!BN101*VLOOKUP('Données projet'!$B$11,Paramètres!$A$1:$I$89,3,0)*0.475*44/12</f>
        <v>1.721403985058279</v>
      </c>
      <c r="BR101" s="21">
        <f>EXP(-LN(2)/2)*BR100+(1-EXP(-LN(2)/2))/(LN(2)/2)*BL101*BO101*VLOOKUP('Données projet'!$B$11,Paramètres!$A$1:$I$89,3,0)*0.475*44/12</f>
        <v>8.1275616974495507E-2</v>
      </c>
      <c r="BS101" s="22">
        <f t="shared" si="63"/>
        <v>74.182772971620594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-1.7053025658242404E-13</v>
      </c>
      <c r="BZ101" s="13">
        <f>BY101*VLOOKUP('Données projet'!$B$12,Paramètres!$A$1:$I$89,3,0)*VLOOKUP('Données projet'!$B$12,Paramètres!$A$1:$I$89,5,0)</f>
        <v>-1.3567387213697657E-13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344.97546176735341</v>
      </c>
      <c r="CE101" s="59">
        <f t="shared" si="94"/>
        <v>331.15461126257492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72.380093369587826</v>
      </c>
      <c r="CL101" s="21">
        <f>EXP(-LN(2)/25)*CL100+(1-EXP(-LN(2)/25))/(LN(2)/25)*Calculateur!CG101*Calculateur!CI101*VLOOKUP('Données projet'!$B$12,Paramètres!$A$1:$I$89,3,0)*0.475*44/12</f>
        <v>1.721403985058279</v>
      </c>
      <c r="CM101" s="21">
        <f>EXP(-LN(2)/2)*CM100+(1-EXP(-LN(2)/2))/(LN(2)/2)*CG101*CJ101*VLOOKUP('Données projet'!$B$12,Paramètres!$A$1:$I$89,3,0)*0.475*44/12</f>
        <v>8.1275616974495507E-2</v>
      </c>
      <c r="CN101" s="22">
        <f t="shared" si="66"/>
        <v>74.182772971620594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227.19465047672969</v>
      </c>
      <c r="CZ101" s="59">
        <f t="shared" si="96"/>
        <v>529.77979244134417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25.620658316348649</v>
      </c>
      <c r="DG101" s="21">
        <f>EXP(-LN(2)/25)*DG100+(1-EXP(-LN(2)/25))/(LN(2)/25)*Calculateur!DB101*Calculateur!DD101*VLOOKUP('Données projet'!$B$13,Paramètres!$A$1:$I$89,3,0)*0.475*44/12</f>
        <v>4.808958061306285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30.429616377654934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240.09151195692266</v>
      </c>
      <c r="DU101" s="59">
        <f t="shared" si="98"/>
        <v>559.47775134103165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27.295211147482512</v>
      </c>
      <c r="EB101" s="21">
        <f>EXP(-LN(2)/25)*EB100+(1-EXP(-LN(2)/25))/(LN(2)/25)*Calculateur!DW101*Calculateur!DY101*VLOOKUP('Données projet'!$B$14,Paramètres!$A$1:$I$89,3,0)*0.475*44/12</f>
        <v>5.1232690457053893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32.418480193187904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5.6843418860808015E-14</v>
      </c>
      <c r="EK101" s="17">
        <f>EJ101*VLOOKUP('Données projet'!$B$15,Paramètres!$A$1:$I$89,3,0)*VLOOKUP('Données projet'!$B$15,Paramètres!$A$1:$I$89,5,0)</f>
        <v>4.4337866711430253E-14</v>
      </c>
      <c r="EL101" s="13">
        <f t="shared" si="99"/>
        <v>7.3222115536967035E-13</v>
      </c>
      <c r="EM101" s="20">
        <f t="shared" si="73"/>
        <v>1.3525069634579169E-12</v>
      </c>
      <c r="EN101" s="59">
        <f t="shared" si="74"/>
        <v>268.25838824730772</v>
      </c>
      <c r="EO101" s="59">
        <f ca="1">AVERAGE(OFFSET($EN$3,0,0,'Données projet'!$E$15+1,1))-AVERAGE(OFFSET($H$3,0,0,'Données projet'!$E$15+1,1))</f>
        <v>328.79469965518484</v>
      </c>
      <c r="EP101" s="59">
        <f t="shared" si="100"/>
        <v>322.06400652269735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37.418489737183357</v>
      </c>
      <c r="EW101" s="21">
        <f>EXP(-LN(2)/25)*EW100+(1-EXP(-LN(2)/25))/(LN(2)/25)*Calculateur!ER101*Calculateur!ET101*VLOOKUP('Données projet'!$B$15,Paramètres!$A$1:$I$89,3,0)*0.475*44/12</f>
        <v>4.2571228501916893</v>
      </c>
      <c r="EX101" s="21">
        <f>EXP(-LN(2)/2)*EX100+(1-EXP(-LN(2)/2))/(LN(2)/2)*ER101*EU101*VLOOKUP('Données projet'!$B$15,Paramètres!$A$1:$I$89,3,0)*0.475*44/12</f>
        <v>3.1465748621667734E-3</v>
      </c>
      <c r="EY101" s="22">
        <f t="shared" si="75"/>
        <v>41.678759162237213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8.1999999999999993</v>
      </c>
      <c r="FE101" s="12">
        <f>IF('Données projet'!$A$218&gt;35,FE100+FD101-FM100,IF(A101&lt;'Données projet'!$A$218,$FB$205^A101,IF(A101='Données projet'!$A$218,'Données projet'!$B$218,FE100+FD101-FM100)))</f>
        <v>457.6</v>
      </c>
      <c r="FF101" s="17">
        <f>FE101*VLOOKUP('Données projet'!$B$16,Paramètres!$A$1:$I$89,3,0)*VLOOKUP('Données projet'!$B$16,Paramètres!$A$1:$I$89,5,0)</f>
        <v>335.51231999999999</v>
      </c>
      <c r="FG101" s="13">
        <f t="shared" si="101"/>
        <v>78.572047549311222</v>
      </c>
      <c r="FH101" s="20">
        <f t="shared" si="76"/>
        <v>721.19694014838376</v>
      </c>
      <c r="FI101" s="59">
        <f t="shared" si="77"/>
        <v>989.45532839569012</v>
      </c>
      <c r="FJ101" s="59">
        <f ca="1">AVERAGE(OFFSET($FI$3,0,0,'Données projet'!$E$16+1,1))-AVERAGE(OFFSET($H$3,0,0,'Données projet'!$E$16+1,1))</f>
        <v>525.22234644068908</v>
      </c>
      <c r="FK101" s="59">
        <f t="shared" si="102"/>
        <v>311.5550296132094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8.2145032927099564</v>
      </c>
      <c r="FR101" s="21">
        <f>EXP(-LN(2)/25)*FR100+(1-EXP(-LN(2)/25))/(LN(2)/25)*Calculateur!FM101*Calculateur!FO101*VLOOKUP('Données projet'!$B$16,Paramètres!$A$1:$I$89,3,0)*0.475*44/12</f>
        <v>27.956243360672985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36.170746653382942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-1.7053025658242404E-13</v>
      </c>
      <c r="GA101" s="17">
        <f>FZ101*VLOOKUP('Données projet'!$B$17,Paramètres!$A$1:$I$89,3,0)*VLOOKUP('Données projet'!$B$17,Paramètres!$A$1:$I$89,5,0)</f>
        <v>-1.1173142411280423E-13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298.45881427802874</v>
      </c>
      <c r="GF101" s="59">
        <f t="shared" si="104"/>
        <v>287.00279305562356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48.360506335729049</v>
      </c>
      <c r="GM101" s="21">
        <f>EXP(-LN(2)/25)*GM100+(1-EXP(-LN(2)/25))/(LN(2)/25)*Calculateur!GH101*Calculateur!GJ101*VLOOKUP('Données projet'!$B$17,Paramètres!$A$1:$I$89,3,0)*0.475*44/12</f>
        <v>1.1501500543896606</v>
      </c>
      <c r="GN101" s="21">
        <f>EXP(-LN(2)/2)*GN100+(1-EXP(-LN(2)/2))/(LN(2)/2)*GH101*GK101*VLOOKUP('Données projet'!$B$17,Paramètres!$A$1:$I$89,3,0)*0.475*44/12</f>
        <v>6.6932861037819799E-2</v>
      </c>
      <c r="GO101" s="21">
        <f t="shared" si="81"/>
        <v>49.577589251156532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135.66666666666666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7.1111111111111107</v>
      </c>
      <c r="N102" s="13">
        <f>IF('Données projet'!$A$36&gt;35,N101+M102-V101,IF(A102&lt;'Données projet'!$A$36,$K$205^A102,IF(A102='Données projet'!$A$36,'Données projet'!$B$36,N101+M102-V101)))</f>
        <v>315.33333333333292</v>
      </c>
      <c r="O102" s="13">
        <f>N102*VLOOKUP('Données projet'!$B$9,Paramètres!$A$1:$I$89,3,0)*VLOOKUP('Données projet'!$B$9,Paramètres!$A$1:$I$89,5,0)</f>
        <v>285.31359999999961</v>
      </c>
      <c r="P102" s="13">
        <f t="shared" si="87"/>
        <v>68.088693753445611</v>
      </c>
      <c r="Q102" s="20">
        <f t="shared" si="107"/>
        <v>615.50899495391707</v>
      </c>
      <c r="R102" s="59">
        <f t="shared" si="55"/>
        <v>884.20237743928703</v>
      </c>
      <c r="S102" s="59">
        <f ca="1">AVERAGE(OFFSET($R$3,0,0,'Données projet'!$E$9+1,1))-AVERAGE(OFFSET($H$3,0,0,'Données projet'!$E$9+1,1))</f>
        <v>600.52384738314299</v>
      </c>
      <c r="T102" s="59">
        <f t="shared" si="88"/>
        <v>314.84650287986256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13.10168692203702</v>
      </c>
      <c r="AA102" s="21">
        <f>EXP(-LN(2)/25)*AA101+(1-EXP(-LN(2)/25))/(LN(2)/25)*Calculateur!V102*Calculateur!X102*VLOOKUP('Données projet'!$B$9,Paramètres!$A$1:$I$89,3,0)*0.475*44/12</f>
        <v>30.393615815638753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43.495302737675772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3.2</v>
      </c>
      <c r="AI102" s="13">
        <f>IF('Données projet'!$A$62&gt;35,AI101+AH102-AQ101,IF(A102&lt;'Données projet'!$A$62,$AF$205^A102,IF(A102='Données projet'!$A$62,'Données projet'!$B$62,AI101+AH102-AQ101)))</f>
        <v>269.79999999999984</v>
      </c>
      <c r="AJ102" s="13">
        <f>AI102*VLOOKUP('Données projet'!$B$10,Paramètres!$A$1:$I$89,3,0)*VLOOKUP('Données projet'!$B$10,Paramètres!$A$1:$I$89,5,0)</f>
        <v>235.69727999999992</v>
      </c>
      <c r="AK102" s="13">
        <f t="shared" si="89"/>
        <v>57.512806870145788</v>
      </c>
      <c r="AL102" s="20">
        <f t="shared" si="58"/>
        <v>510.67423463217045</v>
      </c>
      <c r="AM102" s="59">
        <f t="shared" si="59"/>
        <v>779.36761711754048</v>
      </c>
      <c r="AN102" s="59">
        <f ca="1">AVERAGE(OFFSET($AM$3,0,0,'Données projet'!$E$10+1,1))-AVERAGE(OFFSET($H$3,0,0,'Données projet'!$E$10+1,1))</f>
        <v>436.77894860279537</v>
      </c>
      <c r="AO102" s="59">
        <f t="shared" si="90"/>
        <v>398.63561969573072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40.919698533947184</v>
      </c>
      <c r="AV102" s="21">
        <f>EXP(-LN(2)/25)*AV101+(1-EXP(-LN(2)/25))/(LN(2)/25)*Calculateur!AQ102*Calculateur!AS102*VLOOKUP('Données projet'!$B$10,Paramètres!$A$1:$I$89,3,0)*0.475*44/12</f>
        <v>8.0651384408585063</v>
      </c>
      <c r="AW102" s="21">
        <f>EXP(-LN(2)/2)*AW101+(1-EXP(-LN(2)/2))/(LN(2)/2)*AQ102*AT102*VLOOKUP('Données projet'!$B$10,Paramètres!$A$1:$I$89,3,0)*0.475*44/12</f>
        <v>6.4998676332904001E-11</v>
      </c>
      <c r="AX102" s="21">
        <f t="shared" si="60"/>
        <v>48.984836974870689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-1.3567387213697657E-13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344.97546176735341</v>
      </c>
      <c r="BJ102" s="59">
        <f t="shared" si="92"/>
        <v>331.15461126257492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70.960763886107955</v>
      </c>
      <c r="BQ102" s="21">
        <f>EXP(-LN(2)/25)*BQ101+(1-EXP(-LN(2)/25))/(LN(2)/25)*Calculateur!BL102*Calculateur!BN102*VLOOKUP('Données projet'!$B$11,Paramètres!$A$1:$I$89,3,0)*0.475*44/12</f>
        <v>1.6743321025621591</v>
      </c>
      <c r="BR102" s="21">
        <f>EXP(-LN(2)/2)*BR101+(1-EXP(-LN(2)/2))/(LN(2)/2)*BL102*BO102*VLOOKUP('Données projet'!$B$11,Paramètres!$A$1:$I$89,3,0)*0.475*44/12</f>
        <v>5.7470539907786243E-2</v>
      </c>
      <c r="BS102" s="22">
        <f t="shared" si="63"/>
        <v>72.692566528577899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-1.7053025658242404E-13</v>
      </c>
      <c r="BZ102" s="13">
        <f>BY102*VLOOKUP('Données projet'!$B$12,Paramètres!$A$1:$I$89,3,0)*VLOOKUP('Données projet'!$B$12,Paramètres!$A$1:$I$89,5,0)</f>
        <v>-1.3567387213697657E-13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344.97546176735341</v>
      </c>
      <c r="CE102" s="59">
        <f t="shared" si="94"/>
        <v>331.15461126257492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70.960763886107955</v>
      </c>
      <c r="CL102" s="21">
        <f>EXP(-LN(2)/25)*CL101+(1-EXP(-LN(2)/25))/(LN(2)/25)*Calculateur!CG102*Calculateur!CI102*VLOOKUP('Données projet'!$B$12,Paramètres!$A$1:$I$89,3,0)*0.475*44/12</f>
        <v>1.6743321025621591</v>
      </c>
      <c r="CM102" s="21">
        <f>EXP(-LN(2)/2)*CM101+(1-EXP(-LN(2)/2))/(LN(2)/2)*CG102*CJ102*VLOOKUP('Données projet'!$B$12,Paramètres!$A$1:$I$89,3,0)*0.475*44/12</f>
        <v>5.7470539907786243E-2</v>
      </c>
      <c r="CN102" s="22">
        <f t="shared" si="66"/>
        <v>72.692566528577899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227.19465047672969</v>
      </c>
      <c r="CZ102" s="59">
        <f t="shared" si="96"/>
        <v>529.77979244134417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25.118252833823583</v>
      </c>
      <c r="DG102" s="21">
        <f>EXP(-LN(2)/25)*DG101+(1-EXP(-LN(2)/25))/(LN(2)/25)*Calculateur!DB102*Calculateur!DD102*VLOOKUP('Données projet'!$B$13,Paramètres!$A$1:$I$89,3,0)*0.475*44/12</f>
        <v>4.6774568502277516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29.795709684051335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240.09151195692266</v>
      </c>
      <c r="DU102" s="59">
        <f t="shared" si="98"/>
        <v>559.47775134103165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26.759968705315284</v>
      </c>
      <c r="EB102" s="21">
        <f>EXP(-LN(2)/25)*EB101+(1-EXP(-LN(2)/25))/(LN(2)/25)*Calculateur!DW102*Calculateur!DY102*VLOOKUP('Données projet'!$B$14,Paramètres!$A$1:$I$89,3,0)*0.475*44/12</f>
        <v>4.983172984229566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31.743141689544849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5.6843418860808015E-14</v>
      </c>
      <c r="EK102" s="17">
        <f>EJ102*VLOOKUP('Données projet'!$B$15,Paramètres!$A$1:$I$89,3,0)*VLOOKUP('Données projet'!$B$15,Paramètres!$A$1:$I$89,5,0)</f>
        <v>4.4337866711430253E-14</v>
      </c>
      <c r="EL102" s="13">
        <f t="shared" si="99"/>
        <v>7.3222115536967035E-13</v>
      </c>
      <c r="EM102" s="20">
        <f t="shared" si="73"/>
        <v>1.3525069634579169E-12</v>
      </c>
      <c r="EN102" s="59">
        <f t="shared" si="74"/>
        <v>268.69338248537133</v>
      </c>
      <c r="EO102" s="59">
        <f ca="1">AVERAGE(OFFSET($EN$3,0,0,'Données projet'!$E$15+1,1))-AVERAGE(OFFSET($H$3,0,0,'Données projet'!$E$15+1,1))</f>
        <v>328.79469965518484</v>
      </c>
      <c r="EP102" s="59">
        <f t="shared" si="100"/>
        <v>322.06400652269735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36.684735976462342</v>
      </c>
      <c r="EW102" s="21">
        <f>EXP(-LN(2)/25)*EW101+(1-EXP(-LN(2)/25))/(LN(2)/25)*Calculateur!ER102*Calculateur!ET102*VLOOKUP('Données projet'!$B$15,Paramètres!$A$1:$I$89,3,0)*0.475*44/12</f>
        <v>4.1407116019808363</v>
      </c>
      <c r="EX102" s="21">
        <f>EXP(-LN(2)/2)*EX101+(1-EXP(-LN(2)/2))/(LN(2)/2)*ER102*EU102*VLOOKUP('Données projet'!$B$15,Paramètres!$A$1:$I$89,3,0)*0.475*44/12</f>
        <v>2.2249644225492515E-3</v>
      </c>
      <c r="EY102" s="22">
        <f t="shared" si="75"/>
        <v>40.827672542865727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8.1999999999999993</v>
      </c>
      <c r="FE102" s="12">
        <f>IF('Données projet'!$A$218&gt;35,FE101+FD102-FM101,IF(A102&lt;'Données projet'!$A$218,$FB$205^A102,IF(A102='Données projet'!$A$218,'Données projet'!$B$218,FE101+FD102-FM101)))</f>
        <v>465.8</v>
      </c>
      <c r="FF102" s="17">
        <f>FE102*VLOOKUP('Données projet'!$B$16,Paramètres!$A$1:$I$89,3,0)*VLOOKUP('Données projet'!$B$16,Paramètres!$A$1:$I$89,5,0)</f>
        <v>341.52456000000001</v>
      </c>
      <c r="FG102" s="13">
        <f t="shared" si="101"/>
        <v>79.81484810622409</v>
      </c>
      <c r="FH102" s="20">
        <f t="shared" si="76"/>
        <v>733.83280245167361</v>
      </c>
      <c r="FI102" s="59">
        <f t="shared" si="77"/>
        <v>1002.5261849370436</v>
      </c>
      <c r="FJ102" s="59">
        <f ca="1">AVERAGE(OFFSET($FI$3,0,0,'Données projet'!$E$16+1,1))-AVERAGE(OFFSET($H$3,0,0,'Données projet'!$E$16+1,1))</f>
        <v>525.22234644068908</v>
      </c>
      <c r="FK102" s="59">
        <f t="shared" si="102"/>
        <v>311.5550296132094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8.0534218934921906</v>
      </c>
      <c r="FR102" s="21">
        <f>EXP(-LN(2)/25)*FR101+(1-EXP(-LN(2)/25))/(LN(2)/25)*Calculateur!FM102*Calculateur!FO102*VLOOKUP('Données projet'!$B$16,Paramètres!$A$1:$I$89,3,0)*0.475*44/12</f>
        <v>27.191778415820441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35.245200309312629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-1.7053025658242404E-13</v>
      </c>
      <c r="GA102" s="17">
        <f>FZ102*VLOOKUP('Données projet'!$B$17,Paramètres!$A$1:$I$89,3,0)*VLOOKUP('Données projet'!$B$17,Paramètres!$A$1:$I$89,5,0)</f>
        <v>-1.1173142411280423E-13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298.45881427802874</v>
      </c>
      <c r="GF102" s="59">
        <f t="shared" si="104"/>
        <v>287.00279305562356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47.412186303481683</v>
      </c>
      <c r="GM102" s="21">
        <f>EXP(-LN(2)/25)*GM101+(1-EXP(-LN(2)/25))/(LN(2)/25)*Calculateur!GH102*Calculateur!GJ102*VLOOKUP('Données projet'!$B$17,Paramètres!$A$1:$I$89,3,0)*0.475*44/12</f>
        <v>1.1186991406686126</v>
      </c>
      <c r="GN102" s="21">
        <f>EXP(-LN(2)/2)*GN101+(1-EXP(-LN(2)/2))/(LN(2)/2)*GH102*GK102*VLOOKUP('Données projet'!$B$17,Paramètres!$A$1:$I$89,3,0)*0.475*44/12</f>
        <v>4.7328679924059237E-2</v>
      </c>
      <c r="GO102" s="21">
        <f t="shared" si="81"/>
        <v>48.57821412407435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135.66666666666666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7.1111111111111107</v>
      </c>
      <c r="N103" s="13">
        <f>IF('Données projet'!$A$36&gt;35,N102+M103-V102,IF(A103&lt;'Données projet'!$A$36,$K$205^A103,IF(A103='Données projet'!$A$36,'Données projet'!$B$36,N102+M103-V102)))</f>
        <v>322.444444444444</v>
      </c>
      <c r="O103" s="13">
        <f>N103*VLOOKUP('Données projet'!$B$9,Paramètres!$A$1:$I$89,3,0)*VLOOKUP('Données projet'!$B$9,Paramètres!$A$1:$I$89,5,0)</f>
        <v>291.74773333333292</v>
      </c>
      <c r="P103" s="13">
        <f t="shared" si="87"/>
        <v>69.443673025334732</v>
      </c>
      <c r="Q103" s="20">
        <f t="shared" si="107"/>
        <v>629.07503274134626</v>
      </c>
      <c r="R103" s="59">
        <f t="shared" si="55"/>
        <v>898.19586328725086</v>
      </c>
      <c r="S103" s="59">
        <f ca="1">AVERAGE(OFFSET($R$3,0,0,'Données projet'!$E$9+1,1))-AVERAGE(OFFSET($H$3,0,0,'Données projet'!$E$9+1,1))</f>
        <v>600.52384738314299</v>
      </c>
      <c r="T103" s="59">
        <f t="shared" si="88"/>
        <v>314.84650287986256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12.844770832735827</v>
      </c>
      <c r="AA103" s="21">
        <f>EXP(-LN(2)/25)*AA102+(1-EXP(-LN(2)/25))/(LN(2)/25)*Calculateur!V103*Calculateur!X103*VLOOKUP('Données projet'!$B$9,Paramètres!$A$1:$I$89,3,0)*0.475*44/12</f>
        <v>29.562500792829322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42.407271625565151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273</v>
      </c>
      <c r="AG103" s="12">
        <f>VLOOKUP(A103,'Données projet'!$A$61:$I$81,9,0)</f>
        <v>3.2</v>
      </c>
      <c r="AH103" s="12">
        <f t="array" ref="AH103">INDEX(AG:AG,MIN(IF(ISNUMBER(AG103:AG299),ROW(AG103:AG299),"")))</f>
        <v>3.2</v>
      </c>
      <c r="AI103" s="13">
        <f>IF('Données projet'!$A$62&gt;35,AI102+AH103-AQ102,IF(A103&lt;'Données projet'!$A$62,$AF$205^A103,IF(A103='Données projet'!$A$62,'Données projet'!$B$62,AI102+AH103-AQ102)))</f>
        <v>272.99999999999983</v>
      </c>
      <c r="AJ103" s="13">
        <f>AI103*VLOOKUP('Données projet'!$B$10,Paramètres!$A$1:$I$89,3,0)*VLOOKUP('Données projet'!$B$10,Paramètres!$A$1:$I$89,5,0)</f>
        <v>238.49279999999987</v>
      </c>
      <c r="AK103" s="13">
        <f t="shared" si="89"/>
        <v>58.115130258576542</v>
      </c>
      <c r="AL103" s="20">
        <f t="shared" si="58"/>
        <v>516.59214520035391</v>
      </c>
      <c r="AM103" s="59">
        <f t="shared" si="59"/>
        <v>785.71297574625851</v>
      </c>
      <c r="AN103" s="59">
        <f ca="1">AVERAGE(OFFSET($AM$3,0,0,'Données projet'!$E$10+1,1))-AVERAGE(OFFSET($H$3,0,0,'Données projet'!$E$10+1,1))</f>
        <v>436.77894860279537</v>
      </c>
      <c r="AO103" s="59">
        <f t="shared" si="90"/>
        <v>398.63561969573072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273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4.3000000000000003E-2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119.4749527699428</v>
      </c>
      <c r="AV103" s="21">
        <f>EXP(-LN(2)/25)*AV102+(1-EXP(-LN(2)/25))/(LN(2)/25)*Calculateur!AQ103*Calculateur!AS103*VLOOKUP('Données projet'!$B$10,Paramètres!$A$1:$I$89,3,0)*0.475*44/12</f>
        <v>19.136768692160139</v>
      </c>
      <c r="AW103" s="21">
        <f>EXP(-LN(2)/2)*AW102+(1-EXP(-LN(2)/2))/(LN(2)/2)*AQ103*AT103*VLOOKUP('Données projet'!$B$10,Paramètres!$A$1:$I$89,3,0)*0.475*44/12</f>
        <v>4.5961004803145975E-11</v>
      </c>
      <c r="AX103" s="21">
        <f t="shared" si="60"/>
        <v>138.61172146214889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-1.3567387213697657E-13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344.97546176735341</v>
      </c>
      <c r="BJ103" s="59">
        <f t="shared" si="92"/>
        <v>331.15461126257492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69.569266588093626</v>
      </c>
      <c r="BQ103" s="21">
        <f>EXP(-LN(2)/25)*BQ102+(1-EXP(-LN(2)/25))/(LN(2)/25)*Calculateur!BL103*Calculateur!BN103*VLOOKUP('Données projet'!$B$11,Paramètres!$A$1:$I$89,3,0)*0.475*44/12</f>
        <v>1.6285474031682983</v>
      </c>
      <c r="BR103" s="21">
        <f>EXP(-LN(2)/2)*BR102+(1-EXP(-LN(2)/2))/(LN(2)/2)*BL103*BO103*VLOOKUP('Données projet'!$B$11,Paramètres!$A$1:$I$89,3,0)*0.475*44/12</f>
        <v>4.0637808487247754E-2</v>
      </c>
      <c r="BS103" s="22">
        <f t="shared" si="63"/>
        <v>71.238451799749171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-1.7053025658242404E-13</v>
      </c>
      <c r="BZ103" s="13">
        <f>BY103*VLOOKUP('Données projet'!$B$12,Paramètres!$A$1:$I$89,3,0)*VLOOKUP('Données projet'!$B$12,Paramètres!$A$1:$I$89,5,0)</f>
        <v>-1.3567387213697657E-13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344.97546176735341</v>
      </c>
      <c r="CE103" s="59">
        <f t="shared" si="94"/>
        <v>331.15461126257492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69.569266588093626</v>
      </c>
      <c r="CL103" s="21">
        <f>EXP(-LN(2)/25)*CL102+(1-EXP(-LN(2)/25))/(LN(2)/25)*Calculateur!CG103*Calculateur!CI103*VLOOKUP('Données projet'!$B$12,Paramètres!$A$1:$I$89,3,0)*0.475*44/12</f>
        <v>1.6285474031682983</v>
      </c>
      <c r="CM103" s="21">
        <f>EXP(-LN(2)/2)*CM102+(1-EXP(-LN(2)/2))/(LN(2)/2)*CG103*CJ103*VLOOKUP('Données projet'!$B$12,Paramètres!$A$1:$I$89,3,0)*0.475*44/12</f>
        <v>4.0637808487247754E-2</v>
      </c>
      <c r="CN103" s="22">
        <f t="shared" si="66"/>
        <v>71.238451799749171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227.19465047672969</v>
      </c>
      <c r="CZ103" s="59">
        <f t="shared" si="96"/>
        <v>529.77979244134417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24.625699216373746</v>
      </c>
      <c r="DG103" s="21">
        <f>EXP(-LN(2)/25)*DG102+(1-EXP(-LN(2)/25))/(LN(2)/25)*Calculateur!DB103*Calculateur!DD103*VLOOKUP('Données projet'!$B$13,Paramètres!$A$1:$I$89,3,0)*0.475*44/12</f>
        <v>4.5495515466815082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29.175250763055253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240.09151195692266</v>
      </c>
      <c r="DU103" s="59">
        <f t="shared" si="98"/>
        <v>559.47775134103165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26.235222040973301</v>
      </c>
      <c r="EB103" s="21">
        <f>EXP(-LN(2)/25)*EB102+(1-EXP(-LN(2)/25))/(LN(2)/25)*Calculateur!DW103*Calculateur!DY103*VLOOKUP('Données projet'!$B$14,Paramètres!$A$1:$I$89,3,0)*0.475*44/12</f>
        <v>4.8469078569221304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31.082129897895431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5.6843418860808015E-14</v>
      </c>
      <c r="EK103" s="17">
        <f>EJ103*VLOOKUP('Données projet'!$B$15,Paramètres!$A$1:$I$89,3,0)*VLOOKUP('Données projet'!$B$15,Paramètres!$A$1:$I$89,5,0)</f>
        <v>4.4337866711430253E-14</v>
      </c>
      <c r="EL103" s="13">
        <f t="shared" si="99"/>
        <v>7.3222115536967035E-13</v>
      </c>
      <c r="EM103" s="20">
        <f t="shared" si="73"/>
        <v>1.3525069634579169E-12</v>
      </c>
      <c r="EN103" s="59">
        <f t="shared" si="74"/>
        <v>269.12083054590602</v>
      </c>
      <c r="EO103" s="59">
        <f ca="1">AVERAGE(OFFSET($EN$3,0,0,'Données projet'!$E$15+1,1))-AVERAGE(OFFSET($H$3,0,0,'Données projet'!$E$15+1,1))</f>
        <v>328.79469965518484</v>
      </c>
      <c r="EP103" s="59">
        <f t="shared" si="100"/>
        <v>322.06400652269735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35.965370679443467</v>
      </c>
      <c r="EW103" s="21">
        <f>EXP(-LN(2)/25)*EW102+(1-EXP(-LN(2)/25))/(LN(2)/25)*Calculateur!ER103*Calculateur!ET103*VLOOKUP('Données projet'!$B$15,Paramètres!$A$1:$I$89,3,0)*0.475*44/12</f>
        <v>4.0274836254741109</v>
      </c>
      <c r="EX103" s="21">
        <f>EXP(-LN(2)/2)*EX102+(1-EXP(-LN(2)/2))/(LN(2)/2)*ER103*EU103*VLOOKUP('Données projet'!$B$15,Paramètres!$A$1:$I$89,3,0)*0.475*44/12</f>
        <v>1.5732874310833867E-3</v>
      </c>
      <c r="EY103" s="22">
        <f t="shared" si="75"/>
        <v>39.994427592348664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474</v>
      </c>
      <c r="FC103" s="12">
        <f>VLOOKUP(A103,'Données projet'!$A$217:$I$237,9,0)</f>
        <v>8.1999999999999993</v>
      </c>
      <c r="FD103" s="12">
        <f t="array" ref="FD103">INDEX(FC:FC,MIN(IF(ISNUMBER(FC103:FC299),ROW(FC103:FC299),"")))</f>
        <v>8.1999999999999993</v>
      </c>
      <c r="FE103" s="12">
        <f>IF('Données projet'!$A$218&gt;35,FE102+FD103-FM102,IF(A103&lt;'Données projet'!$A$218,$FB$205^A103,IF(A103='Données projet'!$A$218,'Données projet'!$B$218,FE102+FD103-FM102)))</f>
        <v>474</v>
      </c>
      <c r="FF103" s="17">
        <f>FE103*VLOOKUP('Données projet'!$B$16,Paramètres!$A$1:$I$89,3,0)*VLOOKUP('Données projet'!$B$16,Paramètres!$A$1:$I$89,5,0)</f>
        <v>347.53680000000003</v>
      </c>
      <c r="FG103" s="13">
        <f t="shared" si="101"/>
        <v>81.055104484402264</v>
      </c>
      <c r="FH103" s="20">
        <f t="shared" si="76"/>
        <v>746.46423364366728</v>
      </c>
      <c r="FI103" s="59">
        <f t="shared" si="77"/>
        <v>1015.585064189572</v>
      </c>
      <c r="FJ103" s="59">
        <f ca="1">AVERAGE(OFFSET($FI$3,0,0,'Données projet'!$E$16+1,1))-AVERAGE(OFFSET($H$3,0,0,'Données projet'!$E$16+1,1))</f>
        <v>525.22234644068908</v>
      </c>
      <c r="FK103" s="59">
        <f t="shared" si="102"/>
        <v>311.5550296132094</v>
      </c>
      <c r="FL103" s="15">
        <f>IF(ISNA(VLOOKUP(A103,'Données projet'!$A$217:$I$237,3,0)),0,VLOOKUP(A103,'Données projet'!$A$217:$I$237,3,0))</f>
        <v>17</v>
      </c>
      <c r="FM103" s="15">
        <f>IF(ISNA(VLOOKUP(A103,'Données projet'!$A$217:$I$237,4,0)),0,VLOOKUP(A103,'Données projet'!$A$217:$I$237,4,0))</f>
        <v>29</v>
      </c>
      <c r="FN103" s="16">
        <f>IF(ISNA(VLOOKUP(A103,'Données projet'!$A$217:$I$237,5,0)),0%,VLOOKUP(A103,'Données projet'!$A$217:$I$237,5,0)*VLOOKUP('Données projet'!$B$16,Paramètres!$A$1:$I$89,7,0))</f>
        <v>0.129</v>
      </c>
      <c r="FO103" s="16">
        <f>IF(ISNA(VLOOKUP(A103,'Données projet'!$A$217:$I$237,6,0)),0%,VLOOKUP(A103,'Données projet'!$A$217:$I$237,6,0)*VLOOKUP('Données projet'!$B$16,Paramètres!$A$1:$I$89,7,0))</f>
        <v>0.15049999999999999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10.927695232848519</v>
      </c>
      <c r="FR103" s="21">
        <f>EXP(-LN(2)/25)*FR102+(1-EXP(-LN(2)/25))/(LN(2)/25)*Calculateur!FM103*Calculateur!FO103*VLOOKUP('Données projet'!$B$16,Paramètres!$A$1:$I$89,3,0)*0.475*44/12</f>
        <v>29.971851111118006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40.899546343966527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-1.7053025658242404E-13</v>
      </c>
      <c r="GA103" s="17">
        <f>FZ103*VLOOKUP('Données projet'!$B$17,Paramètres!$A$1:$I$89,3,0)*VLOOKUP('Données projet'!$B$17,Paramètres!$A$1:$I$89,5,0)</f>
        <v>-1.1173142411280423E-13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298.45881427802874</v>
      </c>
      <c r="GF103" s="59">
        <f t="shared" si="104"/>
        <v>287.00279305562356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46.482462248648581</v>
      </c>
      <c r="GM103" s="21">
        <f>EXP(-LN(2)/25)*GM102+(1-EXP(-LN(2)/25))/(LN(2)/25)*Calculateur!GH103*Calculateur!GJ103*VLOOKUP('Données projet'!$B$17,Paramètres!$A$1:$I$89,3,0)*0.475*44/12</f>
        <v>1.0881082538371984</v>
      </c>
      <c r="GN103" s="21">
        <f>EXP(-LN(2)/2)*GN102+(1-EXP(-LN(2)/2))/(LN(2)/2)*GH103*GK103*VLOOKUP('Données projet'!$B$17,Paramètres!$A$1:$I$89,3,0)*0.475*44/12</f>
        <v>3.34664305189099E-2</v>
      </c>
      <c r="GO103" s="21">
        <f t="shared" si="81"/>
        <v>47.604036933004686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135.66666666666666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7.1111111111111107</v>
      </c>
      <c r="N104" s="13">
        <f>IF('Données projet'!$A$36&gt;35,N103+M104-V103,IF(A104&lt;'Données projet'!$A$36,$K$205^A104,IF(A104='Données projet'!$A$36,'Données projet'!$B$36,N103+M104-V103)))</f>
        <v>329.55555555555509</v>
      </c>
      <c r="O104" s="13">
        <f>N104*VLOOKUP('Données projet'!$B$9,Paramètres!$A$1:$I$89,3,0)*VLOOKUP('Données projet'!$B$9,Paramètres!$A$1:$I$89,5,0)</f>
        <v>298.18186666666622</v>
      </c>
      <c r="P104" s="13">
        <f t="shared" si="87"/>
        <v>70.795178150955209</v>
      </c>
      <c r="Q104" s="20">
        <f t="shared" si="107"/>
        <v>642.635019724024</v>
      </c>
      <c r="R104" s="59">
        <f t="shared" si="55"/>
        <v>912.17588306224366</v>
      </c>
      <c r="S104" s="59">
        <f ca="1">AVERAGE(OFFSET($R$3,0,0,'Données projet'!$E$9+1,1))-AVERAGE(OFFSET($H$3,0,0,'Données projet'!$E$9+1,1))</f>
        <v>600.52384738314299</v>
      </c>
      <c r="T104" s="59">
        <f t="shared" si="88"/>
        <v>314.84650287986256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12.59289271124249</v>
      </c>
      <c r="AA104" s="21">
        <f>EXP(-LN(2)/25)*AA103+(1-EXP(-LN(2)/25))/(LN(2)/25)*Calculateur!V104*Calculateur!X104*VLOOKUP('Données projet'!$B$9,Paramètres!$A$1:$I$89,3,0)*0.475*44/12</f>
        <v>28.754112654025054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41.347005365267542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-1.4897523215040567E-13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436.77894860279537</v>
      </c>
      <c r="AO104" s="59">
        <f t="shared" si="90"/>
        <v>398.63561969573072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117.13212181864985</v>
      </c>
      <c r="AV104" s="21">
        <f>EXP(-LN(2)/25)*AV103+(1-EXP(-LN(2)/25))/(LN(2)/25)*Calculateur!AQ104*Calculateur!AS104*VLOOKUP('Données projet'!$B$10,Paramètres!$A$1:$I$89,3,0)*0.475*44/12</f>
        <v>18.613472745914091</v>
      </c>
      <c r="AW104" s="21">
        <f>EXP(-LN(2)/2)*AW103+(1-EXP(-LN(2)/2))/(LN(2)/2)*AQ104*AT104*VLOOKUP('Données projet'!$B$10,Paramètres!$A$1:$I$89,3,0)*0.475*44/12</f>
        <v>3.2499338166452E-11</v>
      </c>
      <c r="AX104" s="21">
        <f t="shared" si="60"/>
        <v>135.74559456459642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-1.3567387213697657E-13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344.97546176735341</v>
      </c>
      <c r="BJ104" s="59">
        <f t="shared" si="92"/>
        <v>331.15461126257492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68.205055703363811</v>
      </c>
      <c r="BQ104" s="21">
        <f>EXP(-LN(2)/25)*BQ103+(1-EXP(-LN(2)/25))/(LN(2)/25)*Calculateur!BL104*Calculateur!BN104*VLOOKUP('Données projet'!$B$11,Paramètres!$A$1:$I$89,3,0)*0.475*44/12</f>
        <v>1.5840146887870754</v>
      </c>
      <c r="BR104" s="21">
        <f>EXP(-LN(2)/2)*BR103+(1-EXP(-LN(2)/2))/(LN(2)/2)*BL104*BO104*VLOOKUP('Données projet'!$B$11,Paramètres!$A$1:$I$89,3,0)*0.475*44/12</f>
        <v>2.8735269953893122E-2</v>
      </c>
      <c r="BS104" s="22">
        <f t="shared" si="63"/>
        <v>69.817805662104789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-1.7053025658242404E-13</v>
      </c>
      <c r="BZ104" s="13">
        <f>BY104*VLOOKUP('Données projet'!$B$12,Paramètres!$A$1:$I$89,3,0)*VLOOKUP('Données projet'!$B$12,Paramètres!$A$1:$I$89,5,0)</f>
        <v>-1.3567387213697657E-13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344.97546176735341</v>
      </c>
      <c r="CE104" s="59">
        <f t="shared" si="94"/>
        <v>331.15461126257492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68.205055703363811</v>
      </c>
      <c r="CL104" s="21">
        <f>EXP(-LN(2)/25)*CL103+(1-EXP(-LN(2)/25))/(LN(2)/25)*Calculateur!CG104*Calculateur!CI104*VLOOKUP('Données projet'!$B$12,Paramètres!$A$1:$I$89,3,0)*0.475*44/12</f>
        <v>1.5840146887870754</v>
      </c>
      <c r="CM104" s="21">
        <f>EXP(-LN(2)/2)*CM103+(1-EXP(-LN(2)/2))/(LN(2)/2)*CG104*CJ104*VLOOKUP('Données projet'!$B$12,Paramètres!$A$1:$I$89,3,0)*0.475*44/12</f>
        <v>2.8735269953893122E-2</v>
      </c>
      <c r="CN104" s="22">
        <f t="shared" si="66"/>
        <v>69.817805662104789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227.19465047672969</v>
      </c>
      <c r="CZ104" s="59">
        <f t="shared" si="96"/>
        <v>529.77979244134417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24.142804274934058</v>
      </c>
      <c r="DG104" s="21">
        <f>EXP(-LN(2)/25)*DG103+(1-EXP(-LN(2)/25))/(LN(2)/25)*Calculateur!DB104*Calculateur!DD104*VLOOKUP('Données projet'!$B$13,Paramètres!$A$1:$I$89,3,0)*0.475*44/12</f>
        <v>4.4251438203869844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28.567948095321043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240.09151195692266</v>
      </c>
      <c r="DU104" s="59">
        <f t="shared" si="98"/>
        <v>559.47775134103165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25.720765338655202</v>
      </c>
      <c r="EB104" s="21">
        <f>EXP(-LN(2)/25)*EB103+(1-EXP(-LN(2)/25))/(LN(2)/25)*Calculateur!DW104*Calculateur!DY104*VLOOKUP('Données projet'!$B$14,Paramètres!$A$1:$I$89,3,0)*0.475*44/12</f>
        <v>4.7143689066867882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30.435134245341992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5.6843418860808015E-14</v>
      </c>
      <c r="EK104" s="17">
        <f>EJ104*VLOOKUP('Données projet'!$B$15,Paramètres!$A$1:$I$89,3,0)*VLOOKUP('Données projet'!$B$15,Paramètres!$A$1:$I$89,5,0)</f>
        <v>4.4337866711430253E-14</v>
      </c>
      <c r="EL104" s="13">
        <f t="shared" si="99"/>
        <v>7.3222115536967035E-13</v>
      </c>
      <c r="EM104" s="20">
        <f t="shared" si="73"/>
        <v>1.3525069634579169E-12</v>
      </c>
      <c r="EN104" s="59">
        <f t="shared" si="74"/>
        <v>269.54086333822107</v>
      </c>
      <c r="EO104" s="59">
        <f ca="1">AVERAGE(OFFSET($EN$3,0,0,'Données projet'!$E$15+1,1))-AVERAGE(OFFSET($H$3,0,0,'Données projet'!$E$15+1,1))</f>
        <v>328.79469965518484</v>
      </c>
      <c r="EP104" s="59">
        <f t="shared" si="100"/>
        <v>322.06400652269735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35.260111697129624</v>
      </c>
      <c r="EW104" s="21">
        <f>EXP(-LN(2)/25)*EW103+(1-EXP(-LN(2)/25))/(LN(2)/25)*Calculateur!ER104*Calculateur!ET104*VLOOKUP('Données projet'!$B$15,Paramètres!$A$1:$I$89,3,0)*0.475*44/12</f>
        <v>3.9173518739393622</v>
      </c>
      <c r="EX104" s="21">
        <f>EXP(-LN(2)/2)*EX103+(1-EXP(-LN(2)/2))/(LN(2)/2)*ER104*EU104*VLOOKUP('Données projet'!$B$15,Paramètres!$A$1:$I$89,3,0)*0.475*44/12</f>
        <v>1.1124822112746258E-3</v>
      </c>
      <c r="EY104" s="22">
        <f t="shared" si="75"/>
        <v>39.17857605328026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7.8</v>
      </c>
      <c r="FE104" s="12">
        <f>IF('Données projet'!$A$218&gt;35,FE103+FD104-FM103,IF(A104&lt;'Données projet'!$A$218,$FB$205^A104,IF(A104='Données projet'!$A$218,'Données projet'!$B$218,FE103+FD104-FM103)))</f>
        <v>452.8</v>
      </c>
      <c r="FF104" s="17">
        <f>FE104*VLOOKUP('Données projet'!$B$16,Paramètres!$A$1:$I$89,3,0)*VLOOKUP('Données projet'!$B$16,Paramètres!$A$1:$I$89,5,0)</f>
        <v>331.99296000000004</v>
      </c>
      <c r="FG104" s="13">
        <f t="shared" si="101"/>
        <v>77.843353721455856</v>
      </c>
      <c r="FH104" s="20">
        <f t="shared" si="76"/>
        <v>713.79824639820242</v>
      </c>
      <c r="FI104" s="59">
        <f t="shared" si="77"/>
        <v>983.33910973642219</v>
      </c>
      <c r="FJ104" s="59">
        <f ca="1">AVERAGE(OFFSET($FI$3,0,0,'Données projet'!$E$16+1,1))-AVERAGE(OFFSET($H$3,0,0,'Données projet'!$E$16+1,1))</f>
        <v>525.22234644068908</v>
      </c>
      <c r="FK104" s="59">
        <f t="shared" si="102"/>
        <v>311.5550296132094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10.713409794568314</v>
      </c>
      <c r="FR104" s="21">
        <f>EXP(-LN(2)/25)*FR103+(1-EXP(-LN(2)/25))/(LN(2)/25)*Calculateur!FM104*Calculateur!FO104*VLOOKUP('Données projet'!$B$16,Paramètres!$A$1:$I$89,3,0)*0.475*44/12</f>
        <v>29.152269266333334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39.865679060901648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-1.7053025658242404E-13</v>
      </c>
      <c r="GA104" s="17">
        <f>FZ104*VLOOKUP('Données projet'!$B$17,Paramètres!$A$1:$I$89,3,0)*VLOOKUP('Données projet'!$B$17,Paramètres!$A$1:$I$89,5,0)</f>
        <v>-1.1173142411280423E-13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298.45881427802874</v>
      </c>
      <c r="GF104" s="59">
        <f t="shared" si="104"/>
        <v>287.00279305562356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45.570969515455076</v>
      </c>
      <c r="GM104" s="21">
        <f>EXP(-LN(2)/25)*GM103+(1-EXP(-LN(2)/25))/(LN(2)/25)*Calculateur!GH104*Calculateur!GJ104*VLOOKUP('Données projet'!$B$17,Paramètres!$A$1:$I$89,3,0)*0.475*44/12</f>
        <v>1.0583538764148941</v>
      </c>
      <c r="GN104" s="21">
        <f>EXP(-LN(2)/2)*GN103+(1-EXP(-LN(2)/2))/(LN(2)/2)*GH104*GK104*VLOOKUP('Données projet'!$B$17,Paramètres!$A$1:$I$89,3,0)*0.475*44/12</f>
        <v>2.3664339962029619E-2</v>
      </c>
      <c r="GO104" s="21">
        <f t="shared" si="81"/>
        <v>46.652987731831999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135.66666666666666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7.1111111111111107</v>
      </c>
      <c r="N105" s="13">
        <f>IF('Données projet'!$A$36&gt;35,N104+M105-V104,IF(A105&lt;'Données projet'!$A$36,$K$205^A105,IF(A105='Données projet'!$A$36,'Données projet'!$B$36,N104+M105-V104)))</f>
        <v>336.66666666666617</v>
      </c>
      <c r="O105" s="13">
        <f>N105*VLOOKUP('Données projet'!$B$9,Paramètres!$A$1:$I$89,3,0)*VLOOKUP('Données projet'!$B$9,Paramètres!$A$1:$I$89,5,0)</f>
        <v>304.61599999999953</v>
      </c>
      <c r="P105" s="13">
        <f t="shared" si="87"/>
        <v>72.143292729010327</v>
      </c>
      <c r="Q105" s="20">
        <f t="shared" si="107"/>
        <v>656.18910150302543</v>
      </c>
      <c r="R105" s="59">
        <f t="shared" si="55"/>
        <v>926.14271100366614</v>
      </c>
      <c r="S105" s="59">
        <f ca="1">AVERAGE(OFFSET($R$3,0,0,'Données projet'!$E$9+1,1))-AVERAGE(OFFSET($H$3,0,0,'Données projet'!$E$9+1,1))</f>
        <v>600.52384738314299</v>
      </c>
      <c r="T105" s="59">
        <f t="shared" si="88"/>
        <v>314.84650287986256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12.345953766081152</v>
      </c>
      <c r="AA105" s="21">
        <f>EXP(-LN(2)/25)*AA104+(1-EXP(-LN(2)/25))/(LN(2)/25)*Calculateur!V105*Calculateur!X105*VLOOKUP('Données projet'!$B$9,Paramètres!$A$1:$I$89,3,0)*0.475*44/12</f>
        <v>27.967829931387673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40.313783697468821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-1.4897523215040567E-13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436.77894860279537</v>
      </c>
      <c r="AO105" s="59">
        <f t="shared" si="90"/>
        <v>398.63561969573072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114.83523235332598</v>
      </c>
      <c r="AV105" s="21">
        <f>EXP(-LN(2)/25)*AV104+(1-EXP(-LN(2)/25))/(LN(2)/25)*Calculateur!AQ105*Calculateur!AS105*VLOOKUP('Données projet'!$B$10,Paramètres!$A$1:$I$89,3,0)*0.475*44/12</f>
        <v>18.104486354837082</v>
      </c>
      <c r="AW105" s="21">
        <f>EXP(-LN(2)/2)*AW104+(1-EXP(-LN(2)/2))/(LN(2)/2)*AQ105*AT105*VLOOKUP('Données projet'!$B$10,Paramètres!$A$1:$I$89,3,0)*0.475*44/12</f>
        <v>2.2980502401572988E-11</v>
      </c>
      <c r="AX105" s="21">
        <f t="shared" si="60"/>
        <v>132.93971870818606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-1.3567387213697657E-13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344.97546176735341</v>
      </c>
      <c r="BJ105" s="59">
        <f t="shared" si="92"/>
        <v>331.15461126257492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66.867596161997071</v>
      </c>
      <c r="BQ105" s="21">
        <f>EXP(-LN(2)/25)*BQ104+(1-EXP(-LN(2)/25))/(LN(2)/25)*Calculateur!BL105*Calculateur!BN105*VLOOKUP('Données projet'!$B$11,Paramètres!$A$1:$I$89,3,0)*0.475*44/12</f>
        <v>1.5406997238224807</v>
      </c>
      <c r="BR105" s="21">
        <f>EXP(-LN(2)/2)*BR104+(1-EXP(-LN(2)/2))/(LN(2)/2)*BL105*BO105*VLOOKUP('Données projet'!$B$11,Paramètres!$A$1:$I$89,3,0)*0.475*44/12</f>
        <v>2.0318904243623877E-2</v>
      </c>
      <c r="BS105" s="22">
        <f t="shared" si="63"/>
        <v>68.428614790063179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-1.7053025658242404E-13</v>
      </c>
      <c r="BZ105" s="13">
        <f>BY105*VLOOKUP('Données projet'!$B$12,Paramètres!$A$1:$I$89,3,0)*VLOOKUP('Données projet'!$B$12,Paramètres!$A$1:$I$89,5,0)</f>
        <v>-1.3567387213697657E-13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344.97546176735341</v>
      </c>
      <c r="CE105" s="59">
        <f t="shared" si="94"/>
        <v>331.15461126257492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66.867596161997071</v>
      </c>
      <c r="CL105" s="21">
        <f>EXP(-LN(2)/25)*CL104+(1-EXP(-LN(2)/25))/(LN(2)/25)*Calculateur!CG105*Calculateur!CI105*VLOOKUP('Données projet'!$B$12,Paramètres!$A$1:$I$89,3,0)*0.475*44/12</f>
        <v>1.5406997238224807</v>
      </c>
      <c r="CM105" s="21">
        <f>EXP(-LN(2)/2)*CM104+(1-EXP(-LN(2)/2))/(LN(2)/2)*CG105*CJ105*VLOOKUP('Données projet'!$B$12,Paramètres!$A$1:$I$89,3,0)*0.475*44/12</f>
        <v>2.0318904243623877E-2</v>
      </c>
      <c r="CN105" s="22">
        <f t="shared" si="66"/>
        <v>68.428614790063179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227.19465047672969</v>
      </c>
      <c r="CZ105" s="59">
        <f t="shared" si="96"/>
        <v>529.77979244134417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23.669378608759171</v>
      </c>
      <c r="DG105" s="21">
        <f>EXP(-LN(2)/25)*DG104+(1-EXP(-LN(2)/25))/(LN(2)/25)*Calculateur!DB105*Calculateur!DD105*VLOOKUP('Données projet'!$B$13,Paramètres!$A$1:$I$89,3,0)*0.475*44/12</f>
        <v>4.3041380299103027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27.973516638669473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240.09151195692266</v>
      </c>
      <c r="DU105" s="59">
        <f t="shared" si="98"/>
        <v>559.47775134103165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25.216396818481957</v>
      </c>
      <c r="EB105" s="21">
        <f>EXP(-LN(2)/25)*EB104+(1-EXP(-LN(2)/25))/(LN(2)/25)*Calculateur!DW105*Calculateur!DY105*VLOOKUP('Données projet'!$B$14,Paramètres!$A$1:$I$89,3,0)*0.475*44/12</f>
        <v>4.5854542410155519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29.801851059497508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5.6843418860808015E-14</v>
      </c>
      <c r="EK105" s="17">
        <f>EJ105*VLOOKUP('Données projet'!$B$15,Paramètres!$A$1:$I$89,3,0)*VLOOKUP('Données projet'!$B$15,Paramètres!$A$1:$I$89,5,0)</f>
        <v>4.4337866711430253E-14</v>
      </c>
      <c r="EL105" s="13">
        <f t="shared" si="99"/>
        <v>7.3222115536967035E-13</v>
      </c>
      <c r="EM105" s="20">
        <f t="shared" si="73"/>
        <v>1.3525069634579169E-12</v>
      </c>
      <c r="EN105" s="59">
        <f t="shared" si="74"/>
        <v>269.95360950064213</v>
      </c>
      <c r="EO105" s="59">
        <f ca="1">AVERAGE(OFFSET($EN$3,0,0,'Données projet'!$E$15+1,1))-AVERAGE(OFFSET($H$3,0,0,'Données projet'!$E$15+1,1))</f>
        <v>328.79469965518484</v>
      </c>
      <c r="EP105" s="59">
        <f t="shared" si="100"/>
        <v>322.06400652269735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34.568682413293452</v>
      </c>
      <c r="EW105" s="21">
        <f>EXP(-LN(2)/25)*EW104+(1-EXP(-LN(2)/25))/(LN(2)/25)*Calculateur!ER105*Calculateur!ET105*VLOOKUP('Données projet'!$B$15,Paramètres!$A$1:$I$89,3,0)*0.475*44/12</f>
        <v>3.8102316809419086</v>
      </c>
      <c r="EX105" s="21">
        <f>EXP(-LN(2)/2)*EX104+(1-EXP(-LN(2)/2))/(LN(2)/2)*ER105*EU105*VLOOKUP('Données projet'!$B$15,Paramètres!$A$1:$I$89,3,0)*0.475*44/12</f>
        <v>7.8664371554169334E-4</v>
      </c>
      <c r="EY105" s="22">
        <f t="shared" si="75"/>
        <v>38.379700737950905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7.8</v>
      </c>
      <c r="FE105" s="12">
        <f>IF('Données projet'!$A$218&gt;35,FE104+FD105-FM104,IF(A105&lt;'Données projet'!$A$218,$FB$205^A105,IF(A105='Données projet'!$A$218,'Données projet'!$B$218,FE104+FD105-FM104)))</f>
        <v>460.6</v>
      </c>
      <c r="FF105" s="17">
        <f>FE105*VLOOKUP('Données projet'!$B$16,Paramètres!$A$1:$I$89,3,0)*VLOOKUP('Données projet'!$B$16,Paramètres!$A$1:$I$89,5,0)</f>
        <v>337.71192000000002</v>
      </c>
      <c r="FG105" s="13">
        <f t="shared" si="101"/>
        <v>79.027028989100984</v>
      </c>
      <c r="FH105" s="20">
        <f t="shared" si="76"/>
        <v>725.82033615601756</v>
      </c>
      <c r="FI105" s="59">
        <f t="shared" si="77"/>
        <v>995.77394565665827</v>
      </c>
      <c r="FJ105" s="59">
        <f ca="1">AVERAGE(OFFSET($FI$3,0,0,'Données projet'!$E$16+1,1))-AVERAGE(OFFSET($H$3,0,0,'Données projet'!$E$16+1,1))</f>
        <v>525.22234644068908</v>
      </c>
      <c r="FK105" s="59">
        <f t="shared" si="102"/>
        <v>311.5550296132094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10.503326363031572</v>
      </c>
      <c r="FR105" s="21">
        <f>EXP(-LN(2)/25)*FR104+(1-EXP(-LN(2)/25))/(LN(2)/25)*Calculateur!FM105*Calculateur!FO105*VLOOKUP('Données projet'!$B$16,Paramètres!$A$1:$I$89,3,0)*0.475*44/12</f>
        <v>28.355098930194238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38.858425293225807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-1.7053025658242404E-13</v>
      </c>
      <c r="GA105" s="17">
        <f>FZ105*VLOOKUP('Données projet'!$B$17,Paramètres!$A$1:$I$89,3,0)*VLOOKUP('Données projet'!$B$17,Paramètres!$A$1:$I$89,5,0)</f>
        <v>-1.1173142411280423E-13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298.45881427802874</v>
      </c>
      <c r="GF105" s="59">
        <f t="shared" si="104"/>
        <v>287.00279305562356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44.677350598803827</v>
      </c>
      <c r="GM105" s="21">
        <f>EXP(-LN(2)/25)*GM104+(1-EXP(-LN(2)/25))/(LN(2)/25)*Calculateur!GH105*Calculateur!GJ105*VLOOKUP('Données projet'!$B$17,Paramètres!$A$1:$I$89,3,0)*0.475*44/12</f>
        <v>1.0294131340079173</v>
      </c>
      <c r="GN105" s="21">
        <f>EXP(-LN(2)/2)*GN104+(1-EXP(-LN(2)/2))/(LN(2)/2)*GH105*GK105*VLOOKUP('Données projet'!$B$17,Paramètres!$A$1:$I$89,3,0)*0.475*44/12</f>
        <v>1.673321525945495E-2</v>
      </c>
      <c r="GO105" s="21">
        <f t="shared" si="81"/>
        <v>45.723496948071201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135.66666666666666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7.1111111111111107</v>
      </c>
      <c r="N106" s="13">
        <f>IF('Données projet'!$A$36&gt;35,N105+M106-V105,IF(A106&lt;'Données projet'!$A$36,$K$205^A106,IF(A106='Données projet'!$A$36,'Données projet'!$B$36,N105+M106-V105)))</f>
        <v>343.77777777777726</v>
      </c>
      <c r="O106" s="13">
        <f>N106*VLOOKUP('Données projet'!$B$9,Paramètres!$A$1:$I$89,3,0)*VLOOKUP('Données projet'!$B$9,Paramètres!$A$1:$I$89,5,0)</f>
        <v>311.05013333333284</v>
      </c>
      <c r="P106" s="13">
        <f t="shared" si="87"/>
        <v>73.488096624860688</v>
      </c>
      <c r="Q106" s="20">
        <f t="shared" si="107"/>
        <v>669.73741717718713</v>
      </c>
      <c r="R106" s="59">
        <f t="shared" si="55"/>
        <v>940.09661261709311</v>
      </c>
      <c r="S106" s="59">
        <f ca="1">AVERAGE(OFFSET($R$3,0,0,'Données projet'!$E$9+1,1))-AVERAGE(OFFSET($H$3,0,0,'Données projet'!$E$9+1,1))</f>
        <v>600.52384738314299</v>
      </c>
      <c r="T106" s="59">
        <f t="shared" si="88"/>
        <v>314.84650287986256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12.103857143016544</v>
      </c>
      <c r="AA106" s="21">
        <f>EXP(-LN(2)/25)*AA105+(1-EXP(-LN(2)/25))/(LN(2)/25)*Calculateur!V106*Calculateur!X106*VLOOKUP('Données projet'!$B$9,Paramètres!$A$1:$I$89,3,0)*0.475*44/12</f>
        <v>27.203048151149623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39.306905294166171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-1.4897523215040567E-13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436.77894860279537</v>
      </c>
      <c r="AO106" s="59">
        <f t="shared" si="90"/>
        <v>398.63561969573072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112.58338348945286</v>
      </c>
      <c r="AV106" s="21">
        <f>EXP(-LN(2)/25)*AV105+(1-EXP(-LN(2)/25))/(LN(2)/25)*Calculateur!AQ106*Calculateur!AS106*VLOOKUP('Données projet'!$B$10,Paramètres!$A$1:$I$89,3,0)*0.475*44/12</f>
        <v>17.609418223390502</v>
      </c>
      <c r="AW106" s="21">
        <f>EXP(-LN(2)/2)*AW105+(1-EXP(-LN(2)/2))/(LN(2)/2)*AQ106*AT106*VLOOKUP('Données projet'!$B$10,Paramètres!$A$1:$I$89,3,0)*0.475*44/12</f>
        <v>1.6249669083226E-11</v>
      </c>
      <c r="AX106" s="21">
        <f t="shared" si="60"/>
        <v>130.19280171285962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-1.3567387213697657E-13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344.97546176735341</v>
      </c>
      <c r="BJ106" s="59">
        <f t="shared" si="92"/>
        <v>331.15461126257492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65.556363386466757</v>
      </c>
      <c r="BQ106" s="21">
        <f>EXP(-LN(2)/25)*BQ105+(1-EXP(-LN(2)/25))/(LN(2)/25)*Calculateur!BL106*Calculateur!BN106*VLOOKUP('Données projet'!$B$11,Paramètres!$A$1:$I$89,3,0)*0.475*44/12</f>
        <v>1.4985692088526779</v>
      </c>
      <c r="BR106" s="21">
        <f>EXP(-LN(2)/2)*BR105+(1-EXP(-LN(2)/2))/(LN(2)/2)*BL106*BO106*VLOOKUP('Données projet'!$B$11,Paramètres!$A$1:$I$89,3,0)*0.475*44/12</f>
        <v>1.4367634976946561E-2</v>
      </c>
      <c r="BS106" s="22">
        <f t="shared" si="63"/>
        <v>67.069300230296378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-1.7053025658242404E-13</v>
      </c>
      <c r="BZ106" s="13">
        <f>BY106*VLOOKUP('Données projet'!$B$12,Paramètres!$A$1:$I$89,3,0)*VLOOKUP('Données projet'!$B$12,Paramètres!$A$1:$I$89,5,0)</f>
        <v>-1.3567387213697657E-13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344.97546176735341</v>
      </c>
      <c r="CE106" s="59">
        <f t="shared" si="94"/>
        <v>331.15461126257492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65.556363386466757</v>
      </c>
      <c r="CL106" s="21">
        <f>EXP(-LN(2)/25)*CL105+(1-EXP(-LN(2)/25))/(LN(2)/25)*Calculateur!CG106*Calculateur!CI106*VLOOKUP('Données projet'!$B$12,Paramètres!$A$1:$I$89,3,0)*0.475*44/12</f>
        <v>1.4985692088526779</v>
      </c>
      <c r="CM106" s="21">
        <f>EXP(-LN(2)/2)*CM105+(1-EXP(-LN(2)/2))/(LN(2)/2)*CG106*CJ106*VLOOKUP('Données projet'!$B$12,Paramètres!$A$1:$I$89,3,0)*0.475*44/12</f>
        <v>1.4367634976946561E-2</v>
      </c>
      <c r="CN106" s="22">
        <f t="shared" si="66"/>
        <v>67.069300230296378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227.19465047672969</v>
      </c>
      <c r="CZ106" s="59">
        <f t="shared" si="96"/>
        <v>529.77979244134417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23.20523653113683</v>
      </c>
      <c r="DG106" s="21">
        <f>EXP(-LN(2)/25)*DG105+(1-EXP(-LN(2)/25))/(LN(2)/25)*Calculateur!DB106*Calculateur!DD106*VLOOKUP('Données projet'!$B$13,Paramètres!$A$1:$I$89,3,0)*0.475*44/12</f>
        <v>4.1864411491376234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27.391677680274455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240.09151195692266</v>
      </c>
      <c r="DU106" s="59">
        <f t="shared" si="98"/>
        <v>559.47775134103165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24.721918657354887</v>
      </c>
      <c r="EB106" s="21">
        <f>EXP(-LN(2)/25)*EB105+(1-EXP(-LN(2)/25))/(LN(2)/25)*Calculateur!DW106*Calculateur!DY106*VLOOKUP('Données projet'!$B$14,Paramètres!$A$1:$I$89,3,0)*0.475*44/12</f>
        <v>4.4600647536564235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29.181983411011309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5.6843418860808015E-14</v>
      </c>
      <c r="EK106" s="17">
        <f>EJ106*VLOOKUP('Données projet'!$B$15,Paramètres!$A$1:$I$89,3,0)*VLOOKUP('Données projet'!$B$15,Paramètres!$A$1:$I$89,5,0)</f>
        <v>4.4337866711430253E-14</v>
      </c>
      <c r="EL106" s="13">
        <f t="shared" si="99"/>
        <v>7.3222115536967035E-13</v>
      </c>
      <c r="EM106" s="20">
        <f t="shared" si="73"/>
        <v>1.3525069634579169E-12</v>
      </c>
      <c r="EN106" s="59">
        <f t="shared" si="74"/>
        <v>270.35919543990735</v>
      </c>
      <c r="EO106" s="59">
        <f ca="1">AVERAGE(OFFSET($EN$3,0,0,'Données projet'!$E$15+1,1))-AVERAGE(OFFSET($H$3,0,0,'Données projet'!$E$15+1,1))</f>
        <v>328.79469965518484</v>
      </c>
      <c r="EP106" s="59">
        <f t="shared" si="100"/>
        <v>322.06400652269735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33.890811635983084</v>
      </c>
      <c r="EW106" s="21">
        <f>EXP(-LN(2)/25)*EW105+(1-EXP(-LN(2)/25))/(LN(2)/25)*Calculateur!ER106*Calculateur!ET106*VLOOKUP('Données projet'!$B$15,Paramètres!$A$1:$I$89,3,0)*0.475*44/12</f>
        <v>3.7060406952551763</v>
      </c>
      <c r="EX106" s="21">
        <f>EXP(-LN(2)/2)*EX105+(1-EXP(-LN(2)/2))/(LN(2)/2)*ER106*EU106*VLOOKUP('Données projet'!$B$15,Paramètres!$A$1:$I$89,3,0)*0.475*44/12</f>
        <v>5.5624110563731288E-4</v>
      </c>
      <c r="EY106" s="22">
        <f t="shared" si="75"/>
        <v>37.597408572343895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7.8</v>
      </c>
      <c r="FE106" s="12">
        <f>IF('Données projet'!$A$218&gt;35,FE105+FD106-FM105,IF(A106&lt;'Données projet'!$A$218,$FB$205^A106,IF(A106='Données projet'!$A$218,'Données projet'!$B$218,FE105+FD106-FM105)))</f>
        <v>468.40000000000003</v>
      </c>
      <c r="FF106" s="17">
        <f>FE106*VLOOKUP('Données projet'!$B$16,Paramètres!$A$1:$I$89,3,0)*VLOOKUP('Données projet'!$B$16,Paramètres!$A$1:$I$89,5,0)</f>
        <v>343.43088</v>
      </c>
      <c r="FG106" s="13">
        <f t="shared" si="101"/>
        <v>80.208373214173363</v>
      </c>
      <c r="FH106" s="20">
        <f t="shared" si="76"/>
        <v>737.83836601468522</v>
      </c>
      <c r="FI106" s="59">
        <f t="shared" si="77"/>
        <v>1008.1975614545912</v>
      </c>
      <c r="FJ106" s="59">
        <f ca="1">AVERAGE(OFFSET($FI$3,0,0,'Données projet'!$E$16+1,1))-AVERAGE(OFFSET($H$3,0,0,'Données projet'!$E$16+1,1))</f>
        <v>525.22234644068908</v>
      </c>
      <c r="FK106" s="59">
        <f t="shared" si="102"/>
        <v>311.5550296132094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10.297362539449026</v>
      </c>
      <c r="FR106" s="21">
        <f>EXP(-LN(2)/25)*FR105+(1-EXP(-LN(2)/25))/(LN(2)/25)*Calculateur!FM106*Calculateur!FO106*VLOOKUP('Données projet'!$B$16,Paramètres!$A$1:$I$89,3,0)*0.475*44/12</f>
        <v>27.579727258818231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37.877089798267257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-1.7053025658242404E-13</v>
      </c>
      <c r="GA106" s="17">
        <f>FZ106*VLOOKUP('Données projet'!$B$17,Paramètres!$A$1:$I$89,3,0)*VLOOKUP('Données projet'!$B$17,Paramètres!$A$1:$I$89,5,0)</f>
        <v>-1.1173142411280423E-13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298.45881427802874</v>
      </c>
      <c r="GF106" s="59">
        <f t="shared" si="104"/>
        <v>287.00279305562356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43.801255004054383</v>
      </c>
      <c r="GM106" s="21">
        <f>EXP(-LN(2)/25)*GM105+(1-EXP(-LN(2)/25))/(LN(2)/25)*Calculateur!GH106*Calculateur!GJ106*VLOOKUP('Données projet'!$B$17,Paramètres!$A$1:$I$89,3,0)*0.475*44/12</f>
        <v>1.0012637777239868</v>
      </c>
      <c r="GN106" s="21">
        <f>EXP(-LN(2)/2)*GN105+(1-EXP(-LN(2)/2))/(LN(2)/2)*GH106*GK106*VLOOKUP('Données projet'!$B$17,Paramètres!$A$1:$I$89,3,0)*0.475*44/12</f>
        <v>1.1832169981014809E-2</v>
      </c>
      <c r="GO106" s="21">
        <f t="shared" si="81"/>
        <v>44.81435095175938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135.66666666666666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7.1111111111111107</v>
      </c>
      <c r="N107" s="13">
        <f>IF('Données projet'!$A$36&gt;35,N106+M107-V106,IF(A107&lt;'Données projet'!$A$36,$K$205^A107,IF(A107='Données projet'!$A$36,'Données projet'!$B$36,N106+M107-V106)))</f>
        <v>350.88888888888835</v>
      </c>
      <c r="O107" s="13">
        <f>N107*VLOOKUP('Données projet'!$B$9,Paramètres!$A$1:$I$89,3,0)*VLOOKUP('Données projet'!$B$9,Paramètres!$A$1:$I$89,5,0)</f>
        <v>317.4842666666662</v>
      </c>
      <c r="P107" s="13">
        <f t="shared" si="87"/>
        <v>74.82966621096746</v>
      </c>
      <c r="Q107" s="20">
        <f t="shared" si="107"/>
        <v>683.28009976187866</v>
      </c>
      <c r="R107" s="59">
        <f t="shared" si="55"/>
        <v>954.03784513175788</v>
      </c>
      <c r="S107" s="59">
        <f ca="1">AVERAGE(OFFSET($R$3,0,0,'Données projet'!$E$9+1,1))-AVERAGE(OFFSET($H$3,0,0,'Données projet'!$E$9+1,1))</f>
        <v>600.52384738314299</v>
      </c>
      <c r="T107" s="59">
        <f t="shared" si="88"/>
        <v>314.84650287986256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11.866507887065874</v>
      </c>
      <c r="AA107" s="21">
        <f>EXP(-LN(2)/25)*AA106+(1-EXP(-LN(2)/25))/(LN(2)/25)*Calculateur!V107*Calculateur!X107*VLOOKUP('Données projet'!$B$9,Paramètres!$A$1:$I$89,3,0)*0.475*44/12</f>
        <v>26.459179368910309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38.325687255976185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-1.4897523215040567E-13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436.77894860279537</v>
      </c>
      <c r="AO107" s="59">
        <f t="shared" si="90"/>
        <v>398.63561969573072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110.37569200830811</v>
      </c>
      <c r="AV107" s="21">
        <f>EXP(-LN(2)/25)*AV106+(1-EXP(-LN(2)/25))/(LN(2)/25)*Calculateur!AQ107*Calculateur!AS107*VLOOKUP('Données projet'!$B$10,Paramètres!$A$1:$I$89,3,0)*0.475*44/12</f>
        <v>17.12788775603283</v>
      </c>
      <c r="AW107" s="21">
        <f>EXP(-LN(2)/2)*AW106+(1-EXP(-LN(2)/2))/(LN(2)/2)*AQ107*AT107*VLOOKUP('Données projet'!$B$10,Paramètres!$A$1:$I$89,3,0)*0.475*44/12</f>
        <v>1.1490251200786494E-11</v>
      </c>
      <c r="AX107" s="21">
        <f t="shared" si="60"/>
        <v>127.50357976435244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-1.3567387213697657E-13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344.97546176735341</v>
      </c>
      <c r="BJ107" s="59">
        <f t="shared" si="92"/>
        <v>331.15461126257492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64.27084308589157</v>
      </c>
      <c r="BQ107" s="21">
        <f>EXP(-LN(2)/25)*BQ106+(1-EXP(-LN(2)/25))/(LN(2)/25)*Calculateur!BL107*Calculateur!BN107*VLOOKUP('Données projet'!$B$11,Paramètres!$A$1:$I$89,3,0)*0.475*44/12</f>
        <v>1.4575907550302718</v>
      </c>
      <c r="BR107" s="21">
        <f>EXP(-LN(2)/2)*BR106+(1-EXP(-LN(2)/2))/(LN(2)/2)*BL107*BO107*VLOOKUP('Données projet'!$B$11,Paramètres!$A$1:$I$89,3,0)*0.475*44/12</f>
        <v>1.0159452121811938E-2</v>
      </c>
      <c r="BS107" s="22">
        <f t="shared" si="63"/>
        <v>65.73859329304365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-1.7053025658242404E-13</v>
      </c>
      <c r="BZ107" s="13">
        <f>BY107*VLOOKUP('Données projet'!$B$12,Paramètres!$A$1:$I$89,3,0)*VLOOKUP('Données projet'!$B$12,Paramètres!$A$1:$I$89,5,0)</f>
        <v>-1.3567387213697657E-13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344.97546176735341</v>
      </c>
      <c r="CE107" s="59">
        <f t="shared" si="94"/>
        <v>331.15461126257492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64.27084308589157</v>
      </c>
      <c r="CL107" s="21">
        <f>EXP(-LN(2)/25)*CL106+(1-EXP(-LN(2)/25))/(LN(2)/25)*Calculateur!CG107*Calculateur!CI107*VLOOKUP('Données projet'!$B$12,Paramètres!$A$1:$I$89,3,0)*0.475*44/12</f>
        <v>1.4575907550302718</v>
      </c>
      <c r="CM107" s="21">
        <f>EXP(-LN(2)/2)*CM106+(1-EXP(-LN(2)/2))/(LN(2)/2)*CG107*CJ107*VLOOKUP('Données projet'!$B$12,Paramètres!$A$1:$I$89,3,0)*0.475*44/12</f>
        <v>1.0159452121811938E-2</v>
      </c>
      <c r="CN107" s="22">
        <f t="shared" si="66"/>
        <v>65.73859329304365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227.19465047672969</v>
      </c>
      <c r="CZ107" s="59">
        <f t="shared" si="96"/>
        <v>529.77979244134417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22.750195996557949</v>
      </c>
      <c r="DG107" s="21">
        <f>EXP(-LN(2)/25)*DG106+(1-EXP(-LN(2)/25))/(LN(2)/25)*Calculateur!DB107*Calculateur!DD107*VLOOKUP('Données projet'!$B$13,Paramètres!$A$1:$I$89,3,0)*0.475*44/12</f>
        <v>4.0719626957590833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26.822158692317032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240.09151195692266</v>
      </c>
      <c r="DU107" s="59">
        <f t="shared" si="98"/>
        <v>559.47775134103165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24.237136911365624</v>
      </c>
      <c r="EB107" s="21">
        <f>EXP(-LN(2)/25)*EB106+(1-EXP(-LN(2)/25))/(LN(2)/25)*Calculateur!DW107*Calculateur!DY107*VLOOKUP('Données projet'!$B$14,Paramètres!$A$1:$I$89,3,0)*0.475*44/12</f>
        <v>4.3381040484230766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28.575240959788701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5.6843418860808015E-14</v>
      </c>
      <c r="EK107" s="17">
        <f>EJ107*VLOOKUP('Données projet'!$B$15,Paramètres!$A$1:$I$89,3,0)*VLOOKUP('Données projet'!$B$15,Paramètres!$A$1:$I$89,5,0)</f>
        <v>4.4337866711430253E-14</v>
      </c>
      <c r="EL107" s="13">
        <f t="shared" si="99"/>
        <v>7.3222115536967035E-13</v>
      </c>
      <c r="EM107" s="20">
        <f t="shared" si="73"/>
        <v>1.3525069634579169E-12</v>
      </c>
      <c r="EN107" s="59">
        <f t="shared" si="74"/>
        <v>270.75774536988064</v>
      </c>
      <c r="EO107" s="59">
        <f ca="1">AVERAGE(OFFSET($EN$3,0,0,'Données projet'!$E$15+1,1))-AVERAGE(OFFSET($H$3,0,0,'Données projet'!$E$15+1,1))</f>
        <v>328.79469965518484</v>
      </c>
      <c r="EP107" s="59">
        <f t="shared" si="100"/>
        <v>322.06400652269735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33.226233491155426</v>
      </c>
      <c r="EW107" s="21">
        <f>EXP(-LN(2)/25)*EW106+(1-EXP(-LN(2)/25))/(LN(2)/25)*Calculateur!ER107*Calculateur!ET107*VLOOKUP('Données projet'!$B$15,Paramètres!$A$1:$I$89,3,0)*0.475*44/12</f>
        <v>3.6046988175512138</v>
      </c>
      <c r="EX107" s="21">
        <f>EXP(-LN(2)/2)*EX106+(1-EXP(-LN(2)/2))/(LN(2)/2)*ER107*EU107*VLOOKUP('Données projet'!$B$15,Paramètres!$A$1:$I$89,3,0)*0.475*44/12</f>
        <v>3.9332185777084667E-4</v>
      </c>
      <c r="EY107" s="22">
        <f t="shared" si="75"/>
        <v>36.831325630564415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7.8</v>
      </c>
      <c r="FE107" s="12">
        <f>IF('Données projet'!$A$218&gt;35,FE106+FD107-FM106,IF(A107&lt;'Données projet'!$A$218,$FB$205^A107,IF(A107='Données projet'!$A$218,'Données projet'!$B$218,FE106+FD107-FM106)))</f>
        <v>476.20000000000005</v>
      </c>
      <c r="FF107" s="17">
        <f>FE107*VLOOKUP('Données projet'!$B$16,Paramètres!$A$1:$I$89,3,0)*VLOOKUP('Données projet'!$B$16,Paramètres!$A$1:$I$89,5,0)</f>
        <v>349.14984000000004</v>
      </c>
      <c r="FG107" s="13">
        <f t="shared" si="101"/>
        <v>81.387429694625482</v>
      </c>
      <c r="FH107" s="20">
        <f t="shared" si="76"/>
        <v>749.85241138480615</v>
      </c>
      <c r="FI107" s="59">
        <f t="shared" si="77"/>
        <v>1020.6101567546855</v>
      </c>
      <c r="FJ107" s="59">
        <f ca="1">AVERAGE(OFFSET($FI$3,0,0,'Données projet'!$E$16+1,1))-AVERAGE(OFFSET($H$3,0,0,'Données projet'!$E$16+1,1))</f>
        <v>525.22234644068908</v>
      </c>
      <c r="FK107" s="59">
        <f t="shared" si="102"/>
        <v>311.5550296132094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10.095437540821404</v>
      </c>
      <c r="FR107" s="21">
        <f>EXP(-LN(2)/25)*FR106+(1-EXP(-LN(2)/25))/(LN(2)/25)*Calculateur!FM107*Calculateur!FO107*VLOOKUP('Données projet'!$B$16,Paramètres!$A$1:$I$89,3,0)*0.475*44/12</f>
        <v>26.825558166571025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36.920995707392429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-1.7053025658242404E-13</v>
      </c>
      <c r="GA107" s="17">
        <f>FZ107*VLOOKUP('Données projet'!$B$17,Paramètres!$A$1:$I$89,3,0)*VLOOKUP('Données projet'!$B$17,Paramètres!$A$1:$I$89,5,0)</f>
        <v>-1.1173142411280423E-13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298.45881427802874</v>
      </c>
      <c r="GF107" s="59">
        <f t="shared" si="104"/>
        <v>287.00279305562356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42.942339109552428</v>
      </c>
      <c r="GM107" s="21">
        <f>EXP(-LN(2)/25)*GM106+(1-EXP(-LN(2)/25))/(LN(2)/25)*Calculateur!GH107*Calculateur!GJ107*VLOOKUP('Données projet'!$B$17,Paramètres!$A$1:$I$89,3,0)*0.475*44/12</f>
        <v>0.97388416706795067</v>
      </c>
      <c r="GN107" s="21">
        <f>EXP(-LN(2)/2)*GN106+(1-EXP(-LN(2)/2))/(LN(2)/2)*GH107*GK107*VLOOKUP('Données projet'!$B$17,Paramètres!$A$1:$I$89,3,0)*0.475*44/12</f>
        <v>8.3666076297274749E-3</v>
      </c>
      <c r="GO107" s="21">
        <f t="shared" si="81"/>
        <v>43.924589884250103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135.66666666666666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358</v>
      </c>
      <c r="L108" s="12">
        <f>VLOOKUP(A108,'Données projet'!$A$35:$I$55,9,0)</f>
        <v>7.1111111111111107</v>
      </c>
      <c r="M108" s="12">
        <f t="array" ref="M108">INDEX(L:L,MIN(IF(ISNUMBER(L108:L304),ROW(L108:L304),"")))</f>
        <v>7.1111111111111107</v>
      </c>
      <c r="N108" s="13">
        <f>IF('Données projet'!$A$36&gt;35,N107+M108-V107,IF(A108&lt;'Données projet'!$A$36,$K$205^A108,IF(A108='Données projet'!$A$36,'Données projet'!$B$36,N107+M108-V107)))</f>
        <v>357.99999999999943</v>
      </c>
      <c r="O108" s="13">
        <f>N108*VLOOKUP('Données projet'!$B$9,Paramètres!$A$1:$I$89,3,0)*VLOOKUP('Données projet'!$B$9,Paramètres!$A$1:$I$89,5,0)</f>
        <v>323.91839999999945</v>
      </c>
      <c r="P108" s="13">
        <f t="shared" si="87"/>
        <v>76.168074587292963</v>
      </c>
      <c r="Q108" s="20">
        <f t="shared" si="107"/>
        <v>696.81727657286763</v>
      </c>
      <c r="R108" s="59">
        <f t="shared" si="55"/>
        <v>967.96665792245926</v>
      </c>
      <c r="S108" s="59">
        <f ca="1">AVERAGE(OFFSET($R$3,0,0,'Données projet'!$E$9+1,1))-AVERAGE(OFFSET($H$3,0,0,'Données projet'!$E$9+1,1))</f>
        <v>600.52384738314299</v>
      </c>
      <c r="T108" s="59">
        <f t="shared" si="88"/>
        <v>314.84650287986256</v>
      </c>
      <c r="U108" s="15">
        <f>IF(ISNA(VLOOKUP(A108,'Données projet'!$A$35:$I$55,3,0)),0,VLOOKUP(A108,'Données projet'!$A$35:$I$55,3,0))</f>
        <v>9</v>
      </c>
      <c r="V108" s="15">
        <f>IF(ISNA(VLOOKUP(A108,'Données projet'!$A$35:$I$55,4,0)),0,VLOOKUP(A108,'Données projet'!$A$35:$I$55,4,0))</f>
        <v>43</v>
      </c>
      <c r="W108" s="16">
        <f>IF(ISNA(VLOOKUP(A108,'Données projet'!$A$35:$I$55,5,0)),0%,VLOOKUP(A108,'Données projet'!$A$35:$I$55,5,0)*VLOOKUP('Données projet'!$B$9,Paramètres!$A$1:$I$89,7,0))</f>
        <v>0.30099999999999999</v>
      </c>
      <c r="X108" s="16">
        <f>IF(ISNA(VLOOKUP(A108,'Données projet'!$A$35:$I$55,6,0)),0%,VLOOKUP(A108,'Données projet'!$A$35:$I$55,6,0)*VLOOKUP('Données projet'!$B$9,Paramètres!$A$1:$I$89,7,0))</f>
        <v>4.3000000000000003E-2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24.579784610308135</v>
      </c>
      <c r="AA108" s="21">
        <f>EXP(-LN(2)/25)*AA107+(1-EXP(-LN(2)/25))/(LN(2)/25)*Calculateur!V108*Calculateur!X108*VLOOKUP('Données projet'!$B$9,Paramètres!$A$1:$I$89,3,0)*0.475*44/12</f>
        <v>27.577794357875081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52.157578968183216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-1.4897523215040567E-13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436.77894860279537</v>
      </c>
      <c r="AO108" s="59">
        <f t="shared" si="90"/>
        <v>398.63561969573072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108.21129201054977</v>
      </c>
      <c r="AV108" s="21">
        <f>EXP(-LN(2)/25)*AV107+(1-EXP(-LN(2)/25))/(LN(2)/25)*Calculateur!AQ108*Calculateur!AS108*VLOOKUP('Données projet'!$B$10,Paramètres!$A$1:$I$89,3,0)*0.475*44/12</f>
        <v>16.659524764627641</v>
      </c>
      <c r="AW108" s="21">
        <f>EXP(-LN(2)/2)*AW107+(1-EXP(-LN(2)/2))/(LN(2)/2)*AQ108*AT108*VLOOKUP('Données projet'!$B$10,Paramètres!$A$1:$I$89,3,0)*0.475*44/12</f>
        <v>8.1248345416130001E-12</v>
      </c>
      <c r="AX108" s="21">
        <f t="shared" si="60"/>
        <v>124.87081677518555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-1.3567387213697657E-13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344.97546176735341</v>
      </c>
      <c r="BJ108" s="59">
        <f t="shared" si="92"/>
        <v>331.15461126257492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63.010531054320708</v>
      </c>
      <c r="BQ108" s="21">
        <f>EXP(-LN(2)/25)*BQ107+(1-EXP(-LN(2)/25))/(LN(2)/25)*Calculateur!BL108*Calculateur!BN108*VLOOKUP('Données projet'!$B$11,Paramètres!$A$1:$I$89,3,0)*0.475*44/12</f>
        <v>1.4177328591826026</v>
      </c>
      <c r="BR108" s="21">
        <f>EXP(-LN(2)/2)*BR107+(1-EXP(-LN(2)/2))/(LN(2)/2)*BL108*BO108*VLOOKUP('Données projet'!$B$11,Paramètres!$A$1:$I$89,3,0)*0.475*44/12</f>
        <v>7.1838174884732804E-3</v>
      </c>
      <c r="BS108" s="22">
        <f t="shared" si="63"/>
        <v>64.435447730991783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-1.7053025658242404E-13</v>
      </c>
      <c r="BZ108" s="13">
        <f>BY108*VLOOKUP('Données projet'!$B$12,Paramètres!$A$1:$I$89,3,0)*VLOOKUP('Données projet'!$B$12,Paramètres!$A$1:$I$89,5,0)</f>
        <v>-1.3567387213697657E-13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344.97546176735341</v>
      </c>
      <c r="CE108" s="59">
        <f t="shared" si="94"/>
        <v>331.15461126257492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63.010531054320708</v>
      </c>
      <c r="CL108" s="21">
        <f>EXP(-LN(2)/25)*CL107+(1-EXP(-LN(2)/25))/(LN(2)/25)*Calculateur!CG108*Calculateur!CI108*VLOOKUP('Données projet'!$B$12,Paramètres!$A$1:$I$89,3,0)*0.475*44/12</f>
        <v>1.4177328591826026</v>
      </c>
      <c r="CM108" s="21">
        <f>EXP(-LN(2)/2)*CM107+(1-EXP(-LN(2)/2))/(LN(2)/2)*CG108*CJ108*VLOOKUP('Données projet'!$B$12,Paramètres!$A$1:$I$89,3,0)*0.475*44/12</f>
        <v>7.1838174884732804E-3</v>
      </c>
      <c r="CN108" s="22">
        <f t="shared" si="66"/>
        <v>64.435447730991783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227.19465047672969</v>
      </c>
      <c r="CZ108" s="59">
        <f t="shared" si="96"/>
        <v>529.77979244134417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22.30407852931484</v>
      </c>
      <c r="DG108" s="21">
        <f>EXP(-LN(2)/25)*DG107+(1-EXP(-LN(2)/25))/(LN(2)/25)*Calculateur!DB108*Calculateur!DD108*VLOOKUP('Données projet'!$B$13,Paramètres!$A$1:$I$89,3,0)*0.475*44/12</f>
        <v>3.9606146617083398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26.264693191023181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240.09151195692266</v>
      </c>
      <c r="DU108" s="59">
        <f t="shared" si="98"/>
        <v>559.47775134103165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23.761861439727543</v>
      </c>
      <c r="EB108" s="21">
        <f>EXP(-LN(2)/25)*EB107+(1-EXP(-LN(2)/25))/(LN(2)/25)*Calculateur!DW108*Calculateur!DY108*VLOOKUP('Données projet'!$B$14,Paramètres!$A$1:$I$89,3,0)*0.475*44/12</f>
        <v>4.2194783650879701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27.981339804815512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5.6843418860808015E-14</v>
      </c>
      <c r="EK108" s="17">
        <f>EJ108*VLOOKUP('Données projet'!$B$15,Paramètres!$A$1:$I$89,3,0)*VLOOKUP('Données projet'!$B$15,Paramètres!$A$1:$I$89,5,0)</f>
        <v>4.4337866711430253E-14</v>
      </c>
      <c r="EL108" s="13">
        <f t="shared" si="99"/>
        <v>7.3222115536967035E-13</v>
      </c>
      <c r="EM108" s="20">
        <f t="shared" si="73"/>
        <v>1.3525069634579169E-12</v>
      </c>
      <c r="EN108" s="59">
        <f t="shared" si="74"/>
        <v>271.14938134959306</v>
      </c>
      <c r="EO108" s="59">
        <f ca="1">AVERAGE(OFFSET($EN$3,0,0,'Données projet'!$E$15+1,1))-AVERAGE(OFFSET($H$3,0,0,'Données projet'!$E$15+1,1))</f>
        <v>328.79469965518484</v>
      </c>
      <c r="EP108" s="59">
        <f t="shared" si="100"/>
        <v>322.06400652269735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32.574687318395199</v>
      </c>
      <c r="EW108" s="21">
        <f>EXP(-LN(2)/25)*EW107+(1-EXP(-LN(2)/25))/(LN(2)/25)*Calculateur!ER108*Calculateur!ET108*VLOOKUP('Données projet'!$B$15,Paramètres!$A$1:$I$89,3,0)*0.475*44/12</f>
        <v>3.5061281388224037</v>
      </c>
      <c r="EX108" s="21">
        <f>EXP(-LN(2)/2)*EX107+(1-EXP(-LN(2)/2))/(LN(2)/2)*ER108*EU108*VLOOKUP('Données projet'!$B$15,Paramètres!$A$1:$I$89,3,0)*0.475*44/12</f>
        <v>2.7812055281865644E-4</v>
      </c>
      <c r="EY108" s="22">
        <f t="shared" si="75"/>
        <v>36.081093577770424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484</v>
      </c>
      <c r="FC108" s="12">
        <f>VLOOKUP(A108,'Données projet'!$A$217:$I$237,9,0)</f>
        <v>7.8</v>
      </c>
      <c r="FD108" s="12">
        <f t="array" ref="FD108">INDEX(FC:FC,MIN(IF(ISNUMBER(FC108:FC304),ROW(FC108:FC304),"")))</f>
        <v>7.8</v>
      </c>
      <c r="FE108" s="12">
        <f>IF('Données projet'!$A$218&gt;35,FE107+FD108-FM107,IF(A108&lt;'Données projet'!$A$218,$FB$205^A108,IF(A108='Données projet'!$A$218,'Données projet'!$B$218,FE107+FD108-FM107)))</f>
        <v>484.00000000000006</v>
      </c>
      <c r="FF108" s="17">
        <f>FE108*VLOOKUP('Données projet'!$B$16,Paramètres!$A$1:$I$89,3,0)*VLOOKUP('Données projet'!$B$16,Paramètres!$A$1:$I$89,5,0)</f>
        <v>354.86880000000002</v>
      </c>
      <c r="FG108" s="13">
        <f t="shared" si="101"/>
        <v>82.564240228675203</v>
      </c>
      <c r="FH108" s="20">
        <f t="shared" si="76"/>
        <v>761.86254506494276</v>
      </c>
      <c r="FI108" s="59">
        <f t="shared" si="77"/>
        <v>1033.0119264145344</v>
      </c>
      <c r="FJ108" s="59">
        <f ca="1">AVERAGE(OFFSET($FI$3,0,0,'Données projet'!$E$16+1,1))-AVERAGE(OFFSET($H$3,0,0,'Données projet'!$E$16+1,1))</f>
        <v>525.22234644068908</v>
      </c>
      <c r="FK108" s="59">
        <f t="shared" si="102"/>
        <v>311.5550296132094</v>
      </c>
      <c r="FL108" s="15">
        <f>IF(ISNA(VLOOKUP(A108,'Données projet'!$A$217:$I$237,3,0)),0,VLOOKUP(A108,'Données projet'!$A$217:$I$237,3,0))</f>
        <v>18</v>
      </c>
      <c r="FM108" s="15">
        <f>IF(ISNA(VLOOKUP(A108,'Données projet'!$A$217:$I$237,4,0)),0,VLOOKUP(A108,'Données projet'!$A$217:$I$237,4,0))</f>
        <v>28</v>
      </c>
      <c r="FN108" s="16">
        <f>IF(ISNA(VLOOKUP(A108,'Données projet'!$A$217:$I$237,5,0)),0%,VLOOKUP(A108,'Données projet'!$A$217:$I$237,5,0)*VLOOKUP('Données projet'!$B$16,Paramètres!$A$1:$I$89,7,0))</f>
        <v>0.30099999999999999</v>
      </c>
      <c r="FO108" s="16">
        <f>IF(ISNA(VLOOKUP(A108,'Données projet'!$A$217:$I$237,6,0)),0%,VLOOKUP(A108,'Données projet'!$A$217:$I$237,6,0)*VLOOKUP('Données projet'!$B$16,Paramètres!$A$1:$I$89,7,0))</f>
        <v>4.3000000000000003E-2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16.728626444056339</v>
      </c>
      <c r="FR108" s="21">
        <f>EXP(-LN(2)/25)*FR107+(1-EXP(-LN(2)/25))/(LN(2)/25)*Calculateur!FM108*Calculateur!FO108*VLOOKUP('Données projet'!$B$16,Paramètres!$A$1:$I$89,3,0)*0.475*44/12</f>
        <v>27.064048641889045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43.792675085945383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-1.7053025658242404E-13</v>
      </c>
      <c r="GA108" s="17">
        <f>FZ108*VLOOKUP('Données projet'!$B$17,Paramètres!$A$1:$I$89,3,0)*VLOOKUP('Données projet'!$B$17,Paramètres!$A$1:$I$89,5,0)</f>
        <v>-1.1173142411280423E-13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298.45881427802874</v>
      </c>
      <c r="GF108" s="59">
        <f t="shared" si="104"/>
        <v>287.00279305562356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42.100266031854694</v>
      </c>
      <c r="GM108" s="21">
        <f>EXP(-LN(2)/25)*GM107+(1-EXP(-LN(2)/25))/(LN(2)/25)*Calculateur!GH108*Calculateur!GJ108*VLOOKUP('Données projet'!$B$17,Paramètres!$A$1:$I$89,3,0)*0.475*44/12</f>
        <v>0.9472532533051351</v>
      </c>
      <c r="GN108" s="21">
        <f>EXP(-LN(2)/2)*GN107+(1-EXP(-LN(2)/2))/(LN(2)/2)*GH108*GK108*VLOOKUP('Données projet'!$B$17,Paramètres!$A$1:$I$89,3,0)*0.475*44/12</f>
        <v>5.9160849905074047E-3</v>
      </c>
      <c r="GO108" s="21">
        <f t="shared" si="81"/>
        <v>43.053435370150339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135.66666666666666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</v>
      </c>
      <c r="N109" s="13">
        <f>IF('Données projet'!$A$36&gt;35,N108+M109-V108,IF(A109&lt;'Données projet'!$A$36,$K$205^A109,IF(A109='Données projet'!$A$36,'Données projet'!$B$36,N108+M109-V108)))</f>
        <v>321.99999999999943</v>
      </c>
      <c r="O109" s="13">
        <f>N109*VLOOKUP('Données projet'!$B$9,Paramètres!$A$1:$I$89,3,0)*VLOOKUP('Données projet'!$B$9,Paramètres!$A$1:$I$89,5,0)</f>
        <v>291.34559999999948</v>
      </c>
      <c r="P109" s="13">
        <f t="shared" si="87"/>
        <v>69.359089490698594</v>
      </c>
      <c r="Q109" s="20">
        <f t="shared" si="107"/>
        <v>628.22733419629901</v>
      </c>
      <c r="R109" s="59">
        <f t="shared" si="55"/>
        <v>899.76155751692204</v>
      </c>
      <c r="S109" s="59">
        <f ca="1">AVERAGE(OFFSET($R$3,0,0,'Données projet'!$E$9+1,1))-AVERAGE(OFFSET($H$3,0,0,'Données projet'!$E$9+1,1))</f>
        <v>600.52384738314299</v>
      </c>
      <c r="T109" s="59">
        <f t="shared" si="88"/>
        <v>314.84650287986256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24.097790026288248</v>
      </c>
      <c r="AA109" s="21">
        <f>EXP(-LN(2)/25)*AA108+(1-EXP(-LN(2)/25))/(LN(2)/25)*Calculateur!V109*Calculateur!X109*VLOOKUP('Données projet'!$B$9,Paramètres!$A$1:$I$89,3,0)*0.475*44/12</f>
        <v>26.823678120905811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50.921468147194062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-1.4897523215040567E-13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436.77894860279537</v>
      </c>
      <c r="AO109" s="59">
        <f t="shared" si="90"/>
        <v>398.63561969573072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106.08933457659383</v>
      </c>
      <c r="AV109" s="21">
        <f>EXP(-LN(2)/25)*AV108+(1-EXP(-LN(2)/25))/(LN(2)/25)*Calculateur!AQ109*Calculateur!AS109*VLOOKUP('Données projet'!$B$10,Paramètres!$A$1:$I$89,3,0)*0.475*44/12</f>
        <v>16.203969183852568</v>
      </c>
      <c r="AW109" s="21">
        <f>EXP(-LN(2)/2)*AW108+(1-EXP(-LN(2)/2))/(LN(2)/2)*AQ109*AT109*VLOOKUP('Données projet'!$B$10,Paramètres!$A$1:$I$89,3,0)*0.475*44/12</f>
        <v>5.7451256003932469E-12</v>
      </c>
      <c r="AX109" s="21">
        <f t="shared" si="60"/>
        <v>122.29330376045213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-1.3567387213697657E-13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344.97546176735341</v>
      </c>
      <c r="BJ109" s="59">
        <f t="shared" si="92"/>
        <v>331.15461126257492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61.774932972974518</v>
      </c>
      <c r="BQ109" s="21">
        <f>EXP(-LN(2)/25)*BQ108+(1-EXP(-LN(2)/25))/(LN(2)/25)*Calculateur!BL109*Calculateur!BN109*VLOOKUP('Données projet'!$B$11,Paramètres!$A$1:$I$89,3,0)*0.475*44/12</f>
        <v>1.3789648795929235</v>
      </c>
      <c r="BR109" s="21">
        <f>EXP(-LN(2)/2)*BR108+(1-EXP(-LN(2)/2))/(LN(2)/2)*BL109*BO109*VLOOKUP('Données projet'!$B$11,Paramètres!$A$1:$I$89,3,0)*0.475*44/12</f>
        <v>5.0797260609059692E-3</v>
      </c>
      <c r="BS109" s="22">
        <f t="shared" si="63"/>
        <v>63.158977578628345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-1.7053025658242404E-13</v>
      </c>
      <c r="BZ109" s="13">
        <f>BY109*VLOOKUP('Données projet'!$B$12,Paramètres!$A$1:$I$89,3,0)*VLOOKUP('Données projet'!$B$12,Paramètres!$A$1:$I$89,5,0)</f>
        <v>-1.3567387213697657E-13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344.97546176735341</v>
      </c>
      <c r="CE109" s="59">
        <f t="shared" si="94"/>
        <v>331.15461126257492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61.774932972974518</v>
      </c>
      <c r="CL109" s="21">
        <f>EXP(-LN(2)/25)*CL108+(1-EXP(-LN(2)/25))/(LN(2)/25)*Calculateur!CG109*Calculateur!CI109*VLOOKUP('Données projet'!$B$12,Paramètres!$A$1:$I$89,3,0)*0.475*44/12</f>
        <v>1.3789648795929235</v>
      </c>
      <c r="CM109" s="21">
        <f>EXP(-LN(2)/2)*CM108+(1-EXP(-LN(2)/2))/(LN(2)/2)*CG109*CJ109*VLOOKUP('Données projet'!$B$12,Paramètres!$A$1:$I$89,3,0)*0.475*44/12</f>
        <v>5.0797260609059692E-3</v>
      </c>
      <c r="CN109" s="22">
        <f t="shared" si="66"/>
        <v>63.158977578628345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227.19465047672969</v>
      </c>
      <c r="CZ109" s="59">
        <f t="shared" si="96"/>
        <v>529.77979244134417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21.866709153499581</v>
      </c>
      <c r="DG109" s="21">
        <f>EXP(-LN(2)/25)*DG108+(1-EXP(-LN(2)/25))/(LN(2)/25)*Calculateur!DB109*Calculateur!DD109*VLOOKUP('Données projet'!$B$13,Paramètres!$A$1:$I$89,3,0)*0.475*44/12</f>
        <v>3.8523114455042524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25.719020599003834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240.09151195692266</v>
      </c>
      <c r="DU109" s="59">
        <f t="shared" si="98"/>
        <v>559.47775134103165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23.295905830198869</v>
      </c>
      <c r="EB109" s="21">
        <f>EXP(-LN(2)/25)*EB108+(1-EXP(-LN(2)/25))/(LN(2)/25)*Calculateur!DW109*Calculateur!DY109*VLOOKUP('Données projet'!$B$14,Paramètres!$A$1:$I$89,3,0)*0.475*44/12</f>
        <v>4.1040965073019162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27.400002337500787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5.6843418860808015E-14</v>
      </c>
      <c r="EK109" s="17">
        <f>EJ109*VLOOKUP('Données projet'!$B$15,Paramètres!$A$1:$I$89,3,0)*VLOOKUP('Données projet'!$B$15,Paramètres!$A$1:$I$89,5,0)</f>
        <v>4.4337866711430253E-14</v>
      </c>
      <c r="EL109" s="13">
        <f t="shared" si="99"/>
        <v>7.3222115536967035E-13</v>
      </c>
      <c r="EM109" s="20">
        <f t="shared" si="73"/>
        <v>1.3525069634579169E-12</v>
      </c>
      <c r="EN109" s="59">
        <f t="shared" si="74"/>
        <v>271.53422332062433</v>
      </c>
      <c r="EO109" s="59">
        <f ca="1">AVERAGE(OFFSET($EN$3,0,0,'Données projet'!$E$15+1,1))-AVERAGE(OFFSET($H$3,0,0,'Données projet'!$E$15+1,1))</f>
        <v>328.79469965518484</v>
      </c>
      <c r="EP109" s="59">
        <f t="shared" si="100"/>
        <v>322.06400652269735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31.935917568678871</v>
      </c>
      <c r="EW109" s="21">
        <f>EXP(-LN(2)/25)*EW108+(1-EXP(-LN(2)/25))/(LN(2)/25)*Calculateur!ER109*Calculateur!ET109*VLOOKUP('Données projet'!$B$15,Paramètres!$A$1:$I$89,3,0)*0.475*44/12</f>
        <v>3.4102528804870396</v>
      </c>
      <c r="EX109" s="21">
        <f>EXP(-LN(2)/2)*EX108+(1-EXP(-LN(2)/2))/(LN(2)/2)*ER109*EU109*VLOOKUP('Données projet'!$B$15,Paramètres!$A$1:$I$89,3,0)*0.475*44/12</f>
        <v>1.9666092888542334E-4</v>
      </c>
      <c r="EY109" s="22">
        <f t="shared" si="75"/>
        <v>35.346367110094796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7.4</v>
      </c>
      <c r="FE109" s="12">
        <f>IF('Données projet'!$A$218&gt;35,FE108+FD109-FM108,IF(A109&lt;'Données projet'!$A$218,$FB$205^A109,IF(A109='Données projet'!$A$218,'Données projet'!$B$218,FE108+FD109-FM108)))</f>
        <v>463.40000000000003</v>
      </c>
      <c r="FF109" s="17">
        <f>FE109*VLOOKUP('Données projet'!$B$16,Paramètres!$A$1:$I$89,3,0)*VLOOKUP('Données projet'!$B$16,Paramètres!$A$1:$I$89,5,0)</f>
        <v>339.76488000000001</v>
      </c>
      <c r="FG109" s="13">
        <f t="shared" si="101"/>
        <v>79.451367185575236</v>
      </c>
      <c r="FH109" s="20">
        <f t="shared" si="76"/>
        <v>730.13496384821019</v>
      </c>
      <c r="FI109" s="59">
        <f t="shared" si="77"/>
        <v>1001.6691871688331</v>
      </c>
      <c r="FJ109" s="59">
        <f ca="1">AVERAGE(OFFSET($FI$3,0,0,'Données projet'!$E$16+1,1))-AVERAGE(OFFSET($H$3,0,0,'Données projet'!$E$16+1,1))</f>
        <v>525.22234644068908</v>
      </c>
      <c r="FK109" s="59">
        <f t="shared" si="102"/>
        <v>311.5550296132094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16.400588282943016</v>
      </c>
      <c r="FR109" s="21">
        <f>EXP(-LN(2)/25)*FR108+(1-EXP(-LN(2)/25))/(LN(2)/25)*Calculateur!FM109*Calculateur!FO109*VLOOKUP('Données projet'!$B$16,Paramètres!$A$1:$I$89,3,0)*0.475*44/12</f>
        <v>26.323980808540128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42.724569091483147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-1.7053025658242404E-13</v>
      </c>
      <c r="GA109" s="17">
        <f>FZ109*VLOOKUP('Données projet'!$B$17,Paramètres!$A$1:$I$89,3,0)*VLOOKUP('Données projet'!$B$17,Paramètres!$A$1:$I$89,5,0)</f>
        <v>-1.1173142411280423E-13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298.45881427802874</v>
      </c>
      <c r="GF109" s="59">
        <f t="shared" si="104"/>
        <v>287.00279305562356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41.274705493596748</v>
      </c>
      <c r="GM109" s="21">
        <f>EXP(-LN(2)/25)*GM108+(1-EXP(-LN(2)/25))/(LN(2)/25)*Calculateur!GH109*Calculateur!GJ109*VLOOKUP('Données projet'!$B$17,Paramètres!$A$1:$I$89,3,0)*0.475*44/12</f>
        <v>0.92135056327962261</v>
      </c>
      <c r="GN109" s="21">
        <f>EXP(-LN(2)/2)*GN108+(1-EXP(-LN(2)/2))/(LN(2)/2)*GH109*GK109*VLOOKUP('Données projet'!$B$17,Paramètres!$A$1:$I$89,3,0)*0.475*44/12</f>
        <v>4.1833038148637374E-3</v>
      </c>
      <c r="GO109" s="21">
        <f t="shared" si="81"/>
        <v>42.200239360691235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135.66666666666666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</v>
      </c>
      <c r="N110" s="13">
        <f>IF('Données projet'!$A$36&gt;35,N109+M110-V109,IF(A110&lt;'Données projet'!$A$36,$K$205^A110,IF(A110='Données projet'!$A$36,'Données projet'!$B$36,N109+M110-V109)))</f>
        <v>328.99999999999943</v>
      </c>
      <c r="O110" s="13">
        <f>N110*VLOOKUP('Données projet'!$B$9,Paramètres!$A$1:$I$89,3,0)*VLOOKUP('Données projet'!$B$9,Paramètres!$A$1:$I$89,5,0)</f>
        <v>297.67919999999947</v>
      </c>
      <c r="P110" s="13">
        <f t="shared" si="87"/>
        <v>70.689714967168015</v>
      </c>
      <c r="Q110" s="20">
        <f t="shared" si="107"/>
        <v>641.57586023448323</v>
      </c>
      <c r="R110" s="59">
        <f t="shared" si="55"/>
        <v>913.48824937831785</v>
      </c>
      <c r="S110" s="59">
        <f ca="1">AVERAGE(OFFSET($R$3,0,0,'Données projet'!$E$9+1,1))-AVERAGE(OFFSET($H$3,0,0,'Données projet'!$E$9+1,1))</f>
        <v>600.52384738314299</v>
      </c>
      <c r="T110" s="59">
        <f t="shared" si="88"/>
        <v>314.84650287986256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23.625247062073324</v>
      </c>
      <c r="AA110" s="21">
        <f>EXP(-LN(2)/25)*AA109+(1-EXP(-LN(2)/25))/(LN(2)/25)*Calculateur!V110*Calculateur!X110*VLOOKUP('Données projet'!$B$9,Paramètres!$A$1:$I$89,3,0)*0.475*44/12</f>
        <v>26.090183232093715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49.715430294167035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-1.4897523215040567E-13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436.77894860279537</v>
      </c>
      <c r="AO110" s="59">
        <f t="shared" si="90"/>
        <v>398.63561969573072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104.00898743365153</v>
      </c>
      <c r="AV110" s="21">
        <f>EXP(-LN(2)/25)*AV109+(1-EXP(-LN(2)/25))/(LN(2)/25)*Calculateur!AQ110*Calculateur!AS110*VLOOKUP('Données projet'!$B$10,Paramètres!$A$1:$I$89,3,0)*0.475*44/12</f>
        <v>15.760870794390415</v>
      </c>
      <c r="AW110" s="21">
        <f>EXP(-LN(2)/2)*AW109+(1-EXP(-LN(2)/2))/(LN(2)/2)*AQ110*AT110*VLOOKUP('Données projet'!$B$10,Paramètres!$A$1:$I$89,3,0)*0.475*44/12</f>
        <v>4.0624172708065001E-12</v>
      </c>
      <c r="AX110" s="21">
        <f t="shared" si="60"/>
        <v>119.769858228046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-1.3567387213697657E-13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344.97546176735341</v>
      </c>
      <c r="BJ110" s="59">
        <f t="shared" si="92"/>
        <v>331.15461126257492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60.563564216363112</v>
      </c>
      <c r="BQ110" s="21">
        <f>EXP(-LN(2)/25)*BQ109+(1-EXP(-LN(2)/25))/(LN(2)/25)*Calculateur!BL110*Calculateur!BN110*VLOOKUP('Données projet'!$B$11,Paramètres!$A$1:$I$89,3,0)*0.475*44/12</f>
        <v>1.3412570124438437</v>
      </c>
      <c r="BR110" s="21">
        <f>EXP(-LN(2)/2)*BR109+(1-EXP(-LN(2)/2))/(LN(2)/2)*BL110*BO110*VLOOKUP('Données projet'!$B$11,Paramètres!$A$1:$I$89,3,0)*0.475*44/12</f>
        <v>3.5919087442366402E-3</v>
      </c>
      <c r="BS110" s="22">
        <f t="shared" si="63"/>
        <v>61.908413137551186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-1.7053025658242404E-13</v>
      </c>
      <c r="BZ110" s="13">
        <f>BY110*VLOOKUP('Données projet'!$B$12,Paramètres!$A$1:$I$89,3,0)*VLOOKUP('Données projet'!$B$12,Paramètres!$A$1:$I$89,5,0)</f>
        <v>-1.3567387213697657E-13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344.97546176735341</v>
      </c>
      <c r="CE110" s="59">
        <f t="shared" si="94"/>
        <v>331.15461126257492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60.563564216363112</v>
      </c>
      <c r="CL110" s="21">
        <f>EXP(-LN(2)/25)*CL109+(1-EXP(-LN(2)/25))/(LN(2)/25)*Calculateur!CG110*Calculateur!CI110*VLOOKUP('Données projet'!$B$12,Paramètres!$A$1:$I$89,3,0)*0.475*44/12</f>
        <v>1.3412570124438437</v>
      </c>
      <c r="CM110" s="21">
        <f>EXP(-LN(2)/2)*CM109+(1-EXP(-LN(2)/2))/(LN(2)/2)*CG110*CJ110*VLOOKUP('Données projet'!$B$12,Paramètres!$A$1:$I$89,3,0)*0.475*44/12</f>
        <v>3.5919087442366402E-3</v>
      </c>
      <c r="CN110" s="22">
        <f t="shared" si="66"/>
        <v>61.908413137551186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227.19465047672969</v>
      </c>
      <c r="CZ110" s="59">
        <f t="shared" si="96"/>
        <v>529.77979244134417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21.437916324375081</v>
      </c>
      <c r="DG110" s="21">
        <f>EXP(-LN(2)/25)*DG109+(1-EXP(-LN(2)/25))/(LN(2)/25)*Calculateur!DB110*Calculateur!DD110*VLOOKUP('Données projet'!$B$13,Paramètres!$A$1:$I$89,3,0)*0.475*44/12</f>
        <v>3.7469697864426843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25.184886110817764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240.09151195692266</v>
      </c>
      <c r="DU110" s="59">
        <f t="shared" si="98"/>
        <v>559.47775134103165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22.839087325968194</v>
      </c>
      <c r="EB110" s="21">
        <f>EXP(-LN(2)/25)*EB109+(1-EXP(-LN(2)/25))/(LN(2)/25)*Calculateur!DW110*Calculateur!DY110*VLOOKUP('Données projet'!$B$14,Paramètres!$A$1:$I$89,3,0)*0.475*44/12</f>
        <v>3.9918697724846899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26.830957098452885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5.6843418860808015E-14</v>
      </c>
      <c r="EK110" s="17">
        <f>EJ110*VLOOKUP('Données projet'!$B$15,Paramètres!$A$1:$I$89,3,0)*VLOOKUP('Données projet'!$B$15,Paramètres!$A$1:$I$89,5,0)</f>
        <v>4.4337866711430253E-14</v>
      </c>
      <c r="EL110" s="13">
        <f t="shared" si="99"/>
        <v>7.3222115536967035E-13</v>
      </c>
      <c r="EM110" s="20">
        <f t="shared" si="73"/>
        <v>1.3525069634579169E-12</v>
      </c>
      <c r="EN110" s="59">
        <f t="shared" si="74"/>
        <v>271.91238914383598</v>
      </c>
      <c r="EO110" s="59">
        <f ca="1">AVERAGE(OFFSET($EN$3,0,0,'Données projet'!$E$15+1,1))-AVERAGE(OFFSET($H$3,0,0,'Données projet'!$E$15+1,1))</f>
        <v>328.79469965518484</v>
      </c>
      <c r="EP110" s="59">
        <f t="shared" si="100"/>
        <v>322.06400652269735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31.309673704143407</v>
      </c>
      <c r="EW110" s="21">
        <f>EXP(-LN(2)/25)*EW109+(1-EXP(-LN(2)/25))/(LN(2)/25)*Calculateur!ER110*Calculateur!ET110*VLOOKUP('Données projet'!$B$15,Paramètres!$A$1:$I$89,3,0)*0.475*44/12</f>
        <v>3.3169993361327168</v>
      </c>
      <c r="EX110" s="21">
        <f>EXP(-LN(2)/2)*EX109+(1-EXP(-LN(2)/2))/(LN(2)/2)*ER110*EU110*VLOOKUP('Données projet'!$B$15,Paramètres!$A$1:$I$89,3,0)*0.475*44/12</f>
        <v>1.3906027640932822E-4</v>
      </c>
      <c r="EY110" s="22">
        <f t="shared" si="75"/>
        <v>34.626812100552534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7.4</v>
      </c>
      <c r="FE110" s="12">
        <f>IF('Données projet'!$A$218&gt;35,FE109+FD110-FM109,IF(A110&lt;'Données projet'!$A$218,$FB$205^A110,IF(A110='Données projet'!$A$218,'Données projet'!$B$218,FE109+FD110-FM109)))</f>
        <v>470.8</v>
      </c>
      <c r="FF110" s="17">
        <f>FE110*VLOOKUP('Données projet'!$B$16,Paramètres!$A$1:$I$89,3,0)*VLOOKUP('Données projet'!$B$16,Paramètres!$A$1:$I$89,5,0)</f>
        <v>345.19056</v>
      </c>
      <c r="FG110" s="13">
        <f t="shared" si="101"/>
        <v>80.571401519332227</v>
      </c>
      <c r="FH110" s="20">
        <f t="shared" si="76"/>
        <v>741.5354163128369</v>
      </c>
      <c r="FI110" s="59">
        <f t="shared" si="77"/>
        <v>1013.4478054566715</v>
      </c>
      <c r="FJ110" s="59">
        <f ca="1">AVERAGE(OFFSET($FI$3,0,0,'Données projet'!$E$16+1,1))-AVERAGE(OFFSET($H$3,0,0,'Données projet'!$E$16+1,1))</f>
        <v>525.22234644068908</v>
      </c>
      <c r="FK110" s="59">
        <f t="shared" si="102"/>
        <v>311.5550296132094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16.078982750085604</v>
      </c>
      <c r="FR110" s="21">
        <f>EXP(-LN(2)/25)*FR109+(1-EXP(-LN(2)/25))/(LN(2)/25)*Calculateur!FM110*Calculateur!FO110*VLOOKUP('Données projet'!$B$16,Paramètres!$A$1:$I$89,3,0)*0.475*44/12</f>
        <v>25.604150169012613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41.683132919098213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-1.7053025658242404E-13</v>
      </c>
      <c r="GA110" s="17">
        <f>FZ110*VLOOKUP('Données projet'!$B$17,Paramètres!$A$1:$I$89,3,0)*VLOOKUP('Données projet'!$B$17,Paramètres!$A$1:$I$89,5,0)</f>
        <v>-1.1173142411280423E-13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298.45881427802874</v>
      </c>
      <c r="GF110" s="59">
        <f t="shared" si="104"/>
        <v>287.00279305562356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40.465333693951834</v>
      </c>
      <c r="GM110" s="21">
        <f>EXP(-LN(2)/25)*GM109+(1-EXP(-LN(2)/25))/(LN(2)/25)*Calculateur!GH110*Calculateur!GJ110*VLOOKUP('Données projet'!$B$17,Paramètres!$A$1:$I$89,3,0)*0.475*44/12</f>
        <v>0.89615618367502103</v>
      </c>
      <c r="GN110" s="21">
        <f>EXP(-LN(2)/2)*GN109+(1-EXP(-LN(2)/2))/(LN(2)/2)*GH110*GK110*VLOOKUP('Données projet'!$B$17,Paramètres!$A$1:$I$89,3,0)*0.475*44/12</f>
        <v>2.9580424952537023E-3</v>
      </c>
      <c r="GO110" s="21">
        <f t="shared" si="81"/>
        <v>41.364447920122103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135.66666666666666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</v>
      </c>
      <c r="N111" s="13">
        <f>IF('Données projet'!$A$36&gt;35,N110+M111-V110,IF(A111&lt;'Données projet'!$A$36,$K$205^A111,IF(A111='Données projet'!$A$36,'Données projet'!$B$36,N110+M111-V110)))</f>
        <v>335.99999999999943</v>
      </c>
      <c r="O111" s="13">
        <f>N111*VLOOKUP('Données projet'!$B$9,Paramètres!$A$1:$I$89,3,0)*VLOOKUP('Données projet'!$B$9,Paramètres!$A$1:$I$89,5,0)</f>
        <v>304.01279999999946</v>
      </c>
      <c r="P111" s="13">
        <f t="shared" si="87"/>
        <v>72.017048837085696</v>
      </c>
      <c r="Q111" s="20">
        <f t="shared" si="107"/>
        <v>654.91865339125661</v>
      </c>
      <c r="R111" s="59">
        <f t="shared" si="55"/>
        <v>927.20264802672227</v>
      </c>
      <c r="S111" s="59">
        <f ca="1">AVERAGE(OFFSET($R$3,0,0,'Données projet'!$E$9+1,1))-AVERAGE(OFFSET($H$3,0,0,'Données projet'!$E$9+1,1))</f>
        <v>600.52384738314299</v>
      </c>
      <c r="T111" s="59">
        <f t="shared" si="88"/>
        <v>314.84650287986256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23.161970377163907</v>
      </c>
      <c r="AA111" s="21">
        <f>EXP(-LN(2)/25)*AA110+(1-EXP(-LN(2)/25))/(LN(2)/25)*Calculateur!V111*Calculateur!X111*VLOOKUP('Données projet'!$B$9,Paramètres!$A$1:$I$89,3,0)*0.475*44/12</f>
        <v>25.376745799589006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48.538716176752914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-1.4897523215040567E-13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436.77894860279537</v>
      </c>
      <c r="AO111" s="59">
        <f t="shared" si="90"/>
        <v>398.63561969573072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101.96943462929585</v>
      </c>
      <c r="AV111" s="21">
        <f>EXP(-LN(2)/25)*AV110+(1-EXP(-LN(2)/25))/(LN(2)/25)*Calculateur!AQ111*Calculateur!AS111*VLOOKUP('Données projet'!$B$10,Paramètres!$A$1:$I$89,3,0)*0.475*44/12</f>
        <v>15.329888953689636</v>
      </c>
      <c r="AW111" s="21">
        <f>EXP(-LN(2)/2)*AW110+(1-EXP(-LN(2)/2))/(LN(2)/2)*AQ111*AT111*VLOOKUP('Données projet'!$B$10,Paramètres!$A$1:$I$89,3,0)*0.475*44/12</f>
        <v>2.8725628001966234E-12</v>
      </c>
      <c r="AX111" s="21">
        <f t="shared" si="60"/>
        <v>117.29932358298835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-1.3567387213697657E-13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344.97546176735341</v>
      </c>
      <c r="BJ111" s="59">
        <f t="shared" si="92"/>
        <v>331.15461126257492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59.375949662206871</v>
      </c>
      <c r="BQ111" s="21">
        <f>EXP(-LN(2)/25)*BQ110+(1-EXP(-LN(2)/25))/(LN(2)/25)*Calculateur!BL111*Calculateur!BN111*VLOOKUP('Données projet'!$B$11,Paramètres!$A$1:$I$89,3,0)*0.475*44/12</f>
        <v>1.304580268904926</v>
      </c>
      <c r="BR111" s="21">
        <f>EXP(-LN(2)/2)*BR110+(1-EXP(-LN(2)/2))/(LN(2)/2)*BL111*BO111*VLOOKUP('Données projet'!$B$11,Paramètres!$A$1:$I$89,3,0)*0.475*44/12</f>
        <v>2.5398630304529846E-3</v>
      </c>
      <c r="BS111" s="22">
        <f t="shared" si="63"/>
        <v>60.683069794142256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-1.7053025658242404E-13</v>
      </c>
      <c r="BZ111" s="13">
        <f>BY111*VLOOKUP('Données projet'!$B$12,Paramètres!$A$1:$I$89,3,0)*VLOOKUP('Données projet'!$B$12,Paramètres!$A$1:$I$89,5,0)</f>
        <v>-1.3567387213697657E-13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344.97546176735341</v>
      </c>
      <c r="CE111" s="59">
        <f t="shared" si="94"/>
        <v>331.15461126257492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59.375949662206871</v>
      </c>
      <c r="CL111" s="21">
        <f>EXP(-LN(2)/25)*CL110+(1-EXP(-LN(2)/25))/(LN(2)/25)*Calculateur!CG111*Calculateur!CI111*VLOOKUP('Données projet'!$B$12,Paramètres!$A$1:$I$89,3,0)*0.475*44/12</f>
        <v>1.304580268904926</v>
      </c>
      <c r="CM111" s="21">
        <f>EXP(-LN(2)/2)*CM110+(1-EXP(-LN(2)/2))/(LN(2)/2)*CG111*CJ111*VLOOKUP('Données projet'!$B$12,Paramètres!$A$1:$I$89,3,0)*0.475*44/12</f>
        <v>2.5398630304529846E-3</v>
      </c>
      <c r="CN111" s="22">
        <f t="shared" si="66"/>
        <v>60.683069794142256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227.19465047672969</v>
      </c>
      <c r="CZ111" s="59">
        <f t="shared" si="96"/>
        <v>529.77979244134417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21.017531861091911</v>
      </c>
      <c r="DG111" s="21">
        <f>EXP(-LN(2)/25)*DG110+(1-EXP(-LN(2)/25))/(LN(2)/25)*Calculateur!DB111*Calculateur!DD111*VLOOKUP('Données projet'!$B$13,Paramètres!$A$1:$I$89,3,0)*0.475*44/12</f>
        <v>3.6445087005878318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24.662040561679742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240.09151195692266</v>
      </c>
      <c r="DU111" s="59">
        <f t="shared" si="98"/>
        <v>559.47775134103165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22.391226753973708</v>
      </c>
      <c r="EB111" s="21">
        <f>EXP(-LN(2)/25)*EB110+(1-EXP(-LN(2)/25))/(LN(2)/25)*Calculateur!DW111*Calculateur!DY111*VLOOKUP('Données projet'!$B$14,Paramètres!$A$1:$I$89,3,0)*0.475*44/12</f>
        <v>3.8827118836327883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26.273938637606495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5.6843418860808015E-14</v>
      </c>
      <c r="EK111" s="17">
        <f>EJ111*VLOOKUP('Données projet'!$B$15,Paramètres!$A$1:$I$89,3,0)*VLOOKUP('Données projet'!$B$15,Paramètres!$A$1:$I$89,5,0)</f>
        <v>4.4337866711430253E-14</v>
      </c>
      <c r="EL111" s="13">
        <f t="shared" si="99"/>
        <v>7.3222115536967035E-13</v>
      </c>
      <c r="EM111" s="20">
        <f t="shared" si="73"/>
        <v>1.3525069634579169E-12</v>
      </c>
      <c r="EN111" s="59">
        <f t="shared" si="74"/>
        <v>272.28399463546708</v>
      </c>
      <c r="EO111" s="59">
        <f ca="1">AVERAGE(OFFSET($EN$3,0,0,'Données projet'!$E$15+1,1))-AVERAGE(OFFSET($H$3,0,0,'Données projet'!$E$15+1,1))</f>
        <v>328.79469965518484</v>
      </c>
      <c r="EP111" s="59">
        <f t="shared" si="100"/>
        <v>322.06400652269735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30.695710099820442</v>
      </c>
      <c r="EW111" s="21">
        <f>EXP(-LN(2)/25)*EW110+(1-EXP(-LN(2)/25))/(LN(2)/25)*Calculateur!ER111*Calculateur!ET111*VLOOKUP('Données projet'!$B$15,Paramètres!$A$1:$I$89,3,0)*0.475*44/12</f>
        <v>3.2262958148527536</v>
      </c>
      <c r="EX111" s="21">
        <f>EXP(-LN(2)/2)*EX110+(1-EXP(-LN(2)/2))/(LN(2)/2)*ER111*EU111*VLOOKUP('Données projet'!$B$15,Paramètres!$A$1:$I$89,3,0)*0.475*44/12</f>
        <v>9.8330464442711668E-5</v>
      </c>
      <c r="EY111" s="22">
        <f t="shared" si="75"/>
        <v>33.922104245137632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7.4</v>
      </c>
      <c r="FE111" s="12">
        <f>IF('Données projet'!$A$218&gt;35,FE110+FD111-FM110,IF(A111&lt;'Données projet'!$A$218,$FB$205^A111,IF(A111='Données projet'!$A$218,'Données projet'!$B$218,FE110+FD111-FM110)))</f>
        <v>478.2</v>
      </c>
      <c r="FF111" s="17">
        <f>FE111*VLOOKUP('Données projet'!$B$16,Paramètres!$A$1:$I$89,3,0)*VLOOKUP('Données projet'!$B$16,Paramètres!$A$1:$I$89,5,0)</f>
        <v>350.61624</v>
      </c>
      <c r="FG111" s="13">
        <f t="shared" si="101"/>
        <v>81.689388459853177</v>
      </c>
      <c r="FH111" s="20">
        <f t="shared" si="76"/>
        <v>752.93230290091105</v>
      </c>
      <c r="FI111" s="59">
        <f t="shared" si="77"/>
        <v>1025.2162975363767</v>
      </c>
      <c r="FJ111" s="59">
        <f ca="1">AVERAGE(OFFSET($FI$3,0,0,'Données projet'!$E$16+1,1))-AVERAGE(OFFSET($H$3,0,0,'Données projet'!$E$16+1,1))</f>
        <v>525.22234644068908</v>
      </c>
      <c r="FK111" s="59">
        <f t="shared" si="102"/>
        <v>311.5550296132094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15.763683705567521</v>
      </c>
      <c r="FR111" s="21">
        <f>EXP(-LN(2)/25)*FR110+(1-EXP(-LN(2)/25))/(LN(2)/25)*Calculateur!FM111*Calculateur!FO111*VLOOKUP('Données projet'!$B$16,Paramètres!$A$1:$I$89,3,0)*0.475*44/12</f>
        <v>24.904003336177226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40.667687041744749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-1.7053025658242404E-13</v>
      </c>
      <c r="GA111" s="17">
        <f>FZ111*VLOOKUP('Données projet'!$B$17,Paramètres!$A$1:$I$89,3,0)*VLOOKUP('Données projet'!$B$17,Paramètres!$A$1:$I$89,5,0)</f>
        <v>-1.1173142411280423E-13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298.45881427802874</v>
      </c>
      <c r="GF111" s="59">
        <f t="shared" si="104"/>
        <v>287.00279305562356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39.671833181629907</v>
      </c>
      <c r="GM111" s="21">
        <f>EXP(-LN(2)/25)*GM110+(1-EXP(-LN(2)/25))/(LN(2)/25)*Calculateur!GH111*Calculateur!GJ111*VLOOKUP('Données projet'!$B$17,Paramètres!$A$1:$I$89,3,0)*0.475*44/12</f>
        <v>0.87165074570562207</v>
      </c>
      <c r="GN111" s="21">
        <f>EXP(-LN(2)/2)*GN110+(1-EXP(-LN(2)/2))/(LN(2)/2)*GH111*GK111*VLOOKUP('Données projet'!$B$17,Paramètres!$A$1:$I$89,3,0)*0.475*44/12</f>
        <v>2.0916519074318687E-3</v>
      </c>
      <c r="GO111" s="21">
        <f t="shared" si="81"/>
        <v>40.545575579242964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135.66666666666666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</v>
      </c>
      <c r="N112" s="13">
        <f>IF('Données projet'!$A$36&gt;35,N111+M112-V111,IF(A112&lt;'Données projet'!$A$36,$K$205^A112,IF(A112='Données projet'!$A$36,'Données projet'!$B$36,N111+M112-V111)))</f>
        <v>342.99999999999943</v>
      </c>
      <c r="O112" s="13">
        <f>N112*VLOOKUP('Données projet'!$B$9,Paramètres!$A$1:$I$89,3,0)*VLOOKUP('Données projet'!$B$9,Paramètres!$A$1:$I$89,5,0)</f>
        <v>310.34639999999945</v>
      </c>
      <c r="P112" s="13">
        <f t="shared" si="87"/>
        <v>73.341167576152927</v>
      </c>
      <c r="Q112" s="20">
        <f t="shared" si="107"/>
        <v>668.25584686179866</v>
      </c>
      <c r="R112" s="59">
        <f t="shared" si="55"/>
        <v>940.90500046440093</v>
      </c>
      <c r="S112" s="59">
        <f ca="1">AVERAGE(OFFSET($R$3,0,0,'Données projet'!$E$9+1,1))-AVERAGE(OFFSET($H$3,0,0,'Données projet'!$E$9+1,1))</f>
        <v>600.52384738314299</v>
      </c>
      <c r="T112" s="59">
        <f t="shared" si="88"/>
        <v>314.84650287986256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22.707778265474687</v>
      </c>
      <c r="AA112" s="21">
        <f>EXP(-LN(2)/25)*AA111+(1-EXP(-LN(2)/25))/(LN(2)/25)*Calculateur!V112*Calculateur!X112*VLOOKUP('Données projet'!$B$9,Paramètres!$A$1:$I$89,3,0)*0.475*44/12</f>
        <v>24.682817351194181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47.390595616668868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-1.4897523215040567E-13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436.77894860279537</v>
      </c>
      <c r="AO112" s="59">
        <f t="shared" si="90"/>
        <v>398.63561969573072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99.969876211429209</v>
      </c>
      <c r="AV112" s="21">
        <f>EXP(-LN(2)/25)*AV111+(1-EXP(-LN(2)/25))/(LN(2)/25)*Calculateur!AQ112*Calculateur!AS112*VLOOKUP('Données projet'!$B$10,Paramètres!$A$1:$I$89,3,0)*0.475*44/12</f>
        <v>14.91069233408717</v>
      </c>
      <c r="AW112" s="21">
        <f>EXP(-LN(2)/2)*AW111+(1-EXP(-LN(2)/2))/(LN(2)/2)*AQ112*AT112*VLOOKUP('Données projet'!$B$10,Paramètres!$A$1:$I$89,3,0)*0.475*44/12</f>
        <v>2.03120863540325E-12</v>
      </c>
      <c r="AX112" s="21">
        <f t="shared" si="60"/>
        <v>114.88056854551841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-1.3567387213697657E-13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344.97546176735341</v>
      </c>
      <c r="BJ112" s="59">
        <f t="shared" si="92"/>
        <v>331.15461126257492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58.211623505084276</v>
      </c>
      <c r="BQ112" s="21">
        <f>EXP(-LN(2)/25)*BQ111+(1-EXP(-LN(2)/25))/(LN(2)/25)*Calculateur!BL112*Calculateur!BN112*VLOOKUP('Données projet'!$B$11,Paramètres!$A$1:$I$89,3,0)*0.475*44/12</f>
        <v>1.2689064528468261</v>
      </c>
      <c r="BR112" s="21">
        <f>EXP(-LN(2)/2)*BR111+(1-EXP(-LN(2)/2))/(LN(2)/2)*BL112*BO112*VLOOKUP('Données projet'!$B$11,Paramètres!$A$1:$I$89,3,0)*0.475*44/12</f>
        <v>1.7959543721183201E-3</v>
      </c>
      <c r="BS112" s="22">
        <f t="shared" si="63"/>
        <v>59.482325912303224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-1.7053025658242404E-13</v>
      </c>
      <c r="BZ112" s="13">
        <f>BY112*VLOOKUP('Données projet'!$B$12,Paramètres!$A$1:$I$89,3,0)*VLOOKUP('Données projet'!$B$12,Paramètres!$A$1:$I$89,5,0)</f>
        <v>-1.3567387213697657E-13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344.97546176735341</v>
      </c>
      <c r="CE112" s="59">
        <f t="shared" si="94"/>
        <v>331.15461126257492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58.211623505084276</v>
      </c>
      <c r="CL112" s="21">
        <f>EXP(-LN(2)/25)*CL111+(1-EXP(-LN(2)/25))/(LN(2)/25)*Calculateur!CG112*Calculateur!CI112*VLOOKUP('Données projet'!$B$12,Paramètres!$A$1:$I$89,3,0)*0.475*44/12</f>
        <v>1.2689064528468261</v>
      </c>
      <c r="CM112" s="21">
        <f>EXP(-LN(2)/2)*CM111+(1-EXP(-LN(2)/2))/(LN(2)/2)*CG112*CJ112*VLOOKUP('Données projet'!$B$12,Paramètres!$A$1:$I$89,3,0)*0.475*44/12</f>
        <v>1.7959543721183201E-3</v>
      </c>
      <c r="CN112" s="22">
        <f t="shared" si="66"/>
        <v>59.482325912303224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227.19465047672969</v>
      </c>
      <c r="CZ112" s="59">
        <f t="shared" si="96"/>
        <v>529.77979244134417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20.605390880724521</v>
      </c>
      <c r="DG112" s="21">
        <f>EXP(-LN(2)/25)*DG111+(1-EXP(-LN(2)/25))/(LN(2)/25)*Calculateur!DB112*Calculateur!DD112*VLOOKUP('Données projet'!$B$13,Paramètres!$A$1:$I$89,3,0)*0.475*44/12</f>
        <v>3.5448494185138748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24.150240299238394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240.09151195692266</v>
      </c>
      <c r="DU112" s="59">
        <f t="shared" si="98"/>
        <v>559.47775134103165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21.952148454628055</v>
      </c>
      <c r="EB112" s="21">
        <f>EXP(-LN(2)/25)*EB111+(1-EXP(-LN(2)/25))/(LN(2)/25)*Calculateur!DW112*Calculateur!DY112*VLOOKUP('Données projet'!$B$14,Paramètres!$A$1:$I$89,3,0)*0.475*44/12</f>
        <v>3.776538922991906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25.728687377619963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5.6843418860808015E-14</v>
      </c>
      <c r="EK112" s="17">
        <f>EJ112*VLOOKUP('Données projet'!$B$15,Paramètres!$A$1:$I$89,3,0)*VLOOKUP('Données projet'!$B$15,Paramètres!$A$1:$I$89,5,0)</f>
        <v>4.4337866711430253E-14</v>
      </c>
      <c r="EL112" s="13">
        <f t="shared" si="99"/>
        <v>7.3222115536967035E-13</v>
      </c>
      <c r="EM112" s="20">
        <f t="shared" si="73"/>
        <v>1.3525069634579169E-12</v>
      </c>
      <c r="EN112" s="59">
        <f t="shared" si="74"/>
        <v>272.64915360260369</v>
      </c>
      <c r="EO112" s="59">
        <f ca="1">AVERAGE(OFFSET($EN$3,0,0,'Données projet'!$E$15+1,1))-AVERAGE(OFFSET($H$3,0,0,'Données projet'!$E$15+1,1))</f>
        <v>328.79469965518484</v>
      </c>
      <c r="EP112" s="59">
        <f t="shared" si="100"/>
        <v>322.06400652269735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30.093785947297427</v>
      </c>
      <c r="EW112" s="21">
        <f>EXP(-LN(2)/25)*EW111+(1-EXP(-LN(2)/25))/(LN(2)/25)*Calculateur!ER112*Calculateur!ET112*VLOOKUP('Données projet'!$B$15,Paramètres!$A$1:$I$89,3,0)*0.475*44/12</f>
        <v>3.1380725861320822</v>
      </c>
      <c r="EX112" s="21">
        <f>EXP(-LN(2)/2)*EX111+(1-EXP(-LN(2)/2))/(LN(2)/2)*ER112*EU112*VLOOKUP('Données projet'!$B$15,Paramètres!$A$1:$I$89,3,0)*0.475*44/12</f>
        <v>6.953013820466411E-5</v>
      </c>
      <c r="EY112" s="22">
        <f t="shared" si="75"/>
        <v>33.231928063567715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7.4</v>
      </c>
      <c r="FE112" s="12">
        <f>IF('Données projet'!$A$218&gt;35,FE111+FD112-FM111,IF(A112&lt;'Données projet'!$A$218,$FB$205^A112,IF(A112='Données projet'!$A$218,'Données projet'!$B$218,FE111+FD112-FM111)))</f>
        <v>485.59999999999997</v>
      </c>
      <c r="FF112" s="17">
        <f>FE112*VLOOKUP('Données projet'!$B$16,Paramètres!$A$1:$I$89,3,0)*VLOOKUP('Données projet'!$B$16,Paramètres!$A$1:$I$89,5,0)</f>
        <v>356.04191999999995</v>
      </c>
      <c r="FG112" s="13">
        <f t="shared" si="101"/>
        <v>82.805363348808157</v>
      </c>
      <c r="FH112" s="20">
        <f t="shared" si="76"/>
        <v>764.3256851658407</v>
      </c>
      <c r="FI112" s="59">
        <f t="shared" si="77"/>
        <v>1036.9748387684431</v>
      </c>
      <c r="FJ112" s="59">
        <f ca="1">AVERAGE(OFFSET($FI$3,0,0,'Données projet'!$E$16+1,1))-AVERAGE(OFFSET($H$3,0,0,'Données projet'!$E$16+1,1))</f>
        <v>525.22234644068908</v>
      </c>
      <c r="FK112" s="59">
        <f t="shared" si="102"/>
        <v>311.5550296132094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15.454567482999011</v>
      </c>
      <c r="FR112" s="21">
        <f>EXP(-LN(2)/25)*FR111+(1-EXP(-LN(2)/25))/(LN(2)/25)*Calculateur!FM112*Calculateur!FO112*VLOOKUP('Données projet'!$B$16,Paramètres!$A$1:$I$89,3,0)*0.475*44/12</f>
        <v>24.223002055304843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39.677569538303857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-1.7053025658242404E-13</v>
      </c>
      <c r="GA112" s="17">
        <f>FZ112*VLOOKUP('Données projet'!$B$17,Paramètres!$A$1:$I$89,3,0)*VLOOKUP('Données projet'!$B$17,Paramètres!$A$1:$I$89,5,0)</f>
        <v>-1.1173142411280423E-13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298.45881427802874</v>
      </c>
      <c r="GF112" s="59">
        <f t="shared" si="104"/>
        <v>287.00279305562356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38.893892730367085</v>
      </c>
      <c r="GM112" s="21">
        <f>EXP(-LN(2)/25)*GM111+(1-EXP(-LN(2)/25))/(LN(2)/25)*Calculateur!GH112*Calculateur!GJ112*VLOOKUP('Données projet'!$B$17,Paramètres!$A$1:$I$89,3,0)*0.475*44/12</f>
        <v>0.84781541022618134</v>
      </c>
      <c r="GN112" s="21">
        <f>EXP(-LN(2)/2)*GN111+(1-EXP(-LN(2)/2))/(LN(2)/2)*GH112*GK112*VLOOKUP('Données projet'!$B$17,Paramètres!$A$1:$I$89,3,0)*0.475*44/12</f>
        <v>1.4790212476268512E-3</v>
      </c>
      <c r="GO112" s="21">
        <f t="shared" si="81"/>
        <v>39.743187161840893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135.66666666666666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</v>
      </c>
      <c r="N113" s="13">
        <f>IF('Données projet'!$A$36&gt;35,N112+M113-V112,IF(A113&lt;'Données projet'!$A$36,$K$205^A113,IF(A113='Données projet'!$A$36,'Données projet'!$B$36,N112+M113-V112)))</f>
        <v>349.99999999999943</v>
      </c>
      <c r="O113" s="13">
        <f>N113*VLOOKUP('Données projet'!$B$9,Paramètres!$A$1:$I$89,3,0)*VLOOKUP('Données projet'!$B$9,Paramètres!$A$1:$I$89,5,0)</f>
        <v>316.6799999999995</v>
      </c>
      <c r="P113" s="13">
        <f t="shared" si="87"/>
        <v>74.662144360177635</v>
      </c>
      <c r="Q113" s="20">
        <f t="shared" si="107"/>
        <v>681.58756809397516</v>
      </c>
      <c r="R113" s="59">
        <f t="shared" si="55"/>
        <v>954.59554597200759</v>
      </c>
      <c r="S113" s="59">
        <f ca="1">AVERAGE(OFFSET($R$3,0,0,'Données projet'!$E$9+1,1))-AVERAGE(OFFSET($H$3,0,0,'Données projet'!$E$9+1,1))</f>
        <v>600.52384738314299</v>
      </c>
      <c r="T113" s="59">
        <f t="shared" si="88"/>
        <v>314.84650287986256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22.262492584065861</v>
      </c>
      <c r="AA113" s="21">
        <f>EXP(-LN(2)/25)*AA112+(1-EXP(-LN(2)/25))/(LN(2)/25)*Calculateur!V113*Calculateur!X113*VLOOKUP('Données projet'!$B$9,Paramètres!$A$1:$I$89,3,0)*0.475*44/12</f>
        <v>24.007864412712824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46.270356996778688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-1.4897523215040567E-13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436.77894860279537</v>
      </c>
      <c r="AO113" s="59">
        <f t="shared" si="90"/>
        <v>398.63561969573072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98.009527914526728</v>
      </c>
      <c r="AV113" s="21">
        <f>EXP(-LN(2)/25)*AV112+(1-EXP(-LN(2)/25))/(LN(2)/25)*Calculateur!AQ113*Calculateur!AS113*VLOOKUP('Données projet'!$B$10,Paramètres!$A$1:$I$89,3,0)*0.475*44/12</f>
        <v>14.502958668092324</v>
      </c>
      <c r="AW113" s="21">
        <f>EXP(-LN(2)/2)*AW112+(1-EXP(-LN(2)/2))/(LN(2)/2)*AQ113*AT113*VLOOKUP('Données projet'!$B$10,Paramètres!$A$1:$I$89,3,0)*0.475*44/12</f>
        <v>1.4362814000983117E-12</v>
      </c>
      <c r="AX113" s="21">
        <f t="shared" si="60"/>
        <v>112.51248658262048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-1.3567387213697657E-13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344.97546176735341</v>
      </c>
      <c r="BJ113" s="59">
        <f t="shared" si="92"/>
        <v>331.15461126257492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57.070129073734023</v>
      </c>
      <c r="BQ113" s="21">
        <f>EXP(-LN(2)/25)*BQ112+(1-EXP(-LN(2)/25))/(LN(2)/25)*Calculateur!BL113*Calculateur!BN113*VLOOKUP('Données projet'!$B$11,Paramètres!$A$1:$I$89,3,0)*0.475*44/12</f>
        <v>1.2342081391648394</v>
      </c>
      <c r="BR113" s="21">
        <f>EXP(-LN(2)/2)*BR112+(1-EXP(-LN(2)/2))/(LN(2)/2)*BL113*BO113*VLOOKUP('Données projet'!$B$11,Paramètres!$A$1:$I$89,3,0)*0.475*44/12</f>
        <v>1.2699315152264923E-3</v>
      </c>
      <c r="BS113" s="22">
        <f t="shared" si="63"/>
        <v>58.30560714441409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-1.7053025658242404E-13</v>
      </c>
      <c r="BZ113" s="13">
        <f>BY113*VLOOKUP('Données projet'!$B$12,Paramètres!$A$1:$I$89,3,0)*VLOOKUP('Données projet'!$B$12,Paramètres!$A$1:$I$89,5,0)</f>
        <v>-1.3567387213697657E-13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344.97546176735341</v>
      </c>
      <c r="CE113" s="59">
        <f t="shared" si="94"/>
        <v>331.15461126257492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57.070129073734023</v>
      </c>
      <c r="CL113" s="21">
        <f>EXP(-LN(2)/25)*CL112+(1-EXP(-LN(2)/25))/(LN(2)/25)*Calculateur!CG113*Calculateur!CI113*VLOOKUP('Données projet'!$B$12,Paramètres!$A$1:$I$89,3,0)*0.475*44/12</f>
        <v>1.2342081391648394</v>
      </c>
      <c r="CM113" s="21">
        <f>EXP(-LN(2)/2)*CM112+(1-EXP(-LN(2)/2))/(LN(2)/2)*CG113*CJ113*VLOOKUP('Données projet'!$B$12,Paramètres!$A$1:$I$89,3,0)*0.475*44/12</f>
        <v>1.2699315152264923E-3</v>
      </c>
      <c r="CN113" s="22">
        <f t="shared" si="66"/>
        <v>58.30560714441409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227.19465047672969</v>
      </c>
      <c r="CZ113" s="59">
        <f t="shared" si="96"/>
        <v>529.77979244134417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20.201331733600959</v>
      </c>
      <c r="DG113" s="21">
        <f>EXP(-LN(2)/25)*DG112+(1-EXP(-LN(2)/25))/(LN(2)/25)*Calculateur!DB113*Calculateur!DD113*VLOOKUP('Données projet'!$B$13,Paramètres!$A$1:$I$89,3,0)*0.475*44/12</f>
        <v>3.4479153247490837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23.649247058350042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240.09151195692266</v>
      </c>
      <c r="DU113" s="59">
        <f t="shared" si="98"/>
        <v>559.47775134103165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21.521680212921254</v>
      </c>
      <c r="EB113" s="21">
        <f>EXP(-LN(2)/25)*EB112+(1-EXP(-LN(2)/25))/(LN(2)/25)*Calculateur!DW113*Calculateur!DY113*VLOOKUP('Données projet'!$B$14,Paramètres!$A$1:$I$89,3,0)*0.475*44/12</f>
        <v>3.6732692675431418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25.194949480464395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5.6843418860808015E-14</v>
      </c>
      <c r="EK113" s="17">
        <f>EJ113*VLOOKUP('Données projet'!$B$15,Paramètres!$A$1:$I$89,3,0)*VLOOKUP('Données projet'!$B$15,Paramètres!$A$1:$I$89,5,0)</f>
        <v>4.4337866711430253E-14</v>
      </c>
      <c r="EL113" s="13">
        <f t="shared" si="99"/>
        <v>7.3222115536967035E-13</v>
      </c>
      <c r="EM113" s="20">
        <f t="shared" si="73"/>
        <v>1.3525069634579169E-12</v>
      </c>
      <c r="EN113" s="59">
        <f t="shared" si="74"/>
        <v>273.00797787803373</v>
      </c>
      <c r="EO113" s="59">
        <f ca="1">AVERAGE(OFFSET($EN$3,0,0,'Données projet'!$E$15+1,1))-AVERAGE(OFFSET($H$3,0,0,'Données projet'!$E$15+1,1))</f>
        <v>328.79469965518484</v>
      </c>
      <c r="EP113" s="59">
        <f t="shared" si="100"/>
        <v>322.06400652269735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29.503665160267907</v>
      </c>
      <c r="EW113" s="21">
        <f>EXP(-LN(2)/25)*EW112+(1-EXP(-LN(2)/25))/(LN(2)/25)*Calculateur!ER113*Calculateur!ET113*VLOOKUP('Données projet'!$B$15,Paramètres!$A$1:$I$89,3,0)*0.475*44/12</f>
        <v>3.0522618262402355</v>
      </c>
      <c r="EX113" s="21">
        <f>EXP(-LN(2)/2)*EX112+(1-EXP(-LN(2)/2))/(LN(2)/2)*ER113*EU113*VLOOKUP('Données projet'!$B$15,Paramètres!$A$1:$I$89,3,0)*0.475*44/12</f>
        <v>4.9165232221355834E-5</v>
      </c>
      <c r="EY113" s="22">
        <f t="shared" si="75"/>
        <v>32.55597615174036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493</v>
      </c>
      <c r="FC113" s="12">
        <f>VLOOKUP(A113,'Données projet'!$A$217:$I$237,9,0)</f>
        <v>7.4</v>
      </c>
      <c r="FD113" s="12">
        <f t="array" ref="FD113">INDEX(FC:FC,MIN(IF(ISNUMBER(FC113:FC309),ROW(FC113:FC309),"")))</f>
        <v>7.4</v>
      </c>
      <c r="FE113" s="12">
        <f>IF('Données projet'!$A$218&gt;35,FE112+FD113-FM112,IF(A113&lt;'Données projet'!$A$218,$FB$205^A113,IF(A113='Données projet'!$A$218,'Données projet'!$B$218,FE112+FD113-FM112)))</f>
        <v>492.99999999999994</v>
      </c>
      <c r="FF113" s="17">
        <f>FE113*VLOOKUP('Données projet'!$B$16,Paramètres!$A$1:$I$89,3,0)*VLOOKUP('Données projet'!$B$16,Paramètres!$A$1:$I$89,5,0)</f>
        <v>361.46759999999995</v>
      </c>
      <c r="FG113" s="13">
        <f t="shared" si="101"/>
        <v>83.9193603889222</v>
      </c>
      <c r="FH113" s="20">
        <f t="shared" si="76"/>
        <v>775.71562267737272</v>
      </c>
      <c r="FI113" s="59">
        <f t="shared" si="77"/>
        <v>1048.723600555405</v>
      </c>
      <c r="FJ113" s="59">
        <f ca="1">AVERAGE(OFFSET($FI$3,0,0,'Données projet'!$E$16+1,1))-AVERAGE(OFFSET($H$3,0,0,'Données projet'!$E$16+1,1))</f>
        <v>525.22234644068908</v>
      </c>
      <c r="FK113" s="59">
        <f t="shared" si="102"/>
        <v>311.5550296132094</v>
      </c>
      <c r="FL113" s="15">
        <f>IF(ISNA(VLOOKUP(A113,'Données projet'!$A$217:$I$237,3,0)),0,VLOOKUP(A113,'Données projet'!$A$217:$I$237,3,0))</f>
        <v>19</v>
      </c>
      <c r="FM113" s="15">
        <f>IF(ISNA(VLOOKUP(A113,'Données projet'!$A$217:$I$237,4,0)),0,VLOOKUP(A113,'Données projet'!$A$217:$I$237,4,0))</f>
        <v>27</v>
      </c>
      <c r="FN113" s="16">
        <f>IF(ISNA(VLOOKUP(A113,'Données projet'!$A$217:$I$237,5,0)),0%,VLOOKUP(A113,'Données projet'!$A$217:$I$237,5,0)*VLOOKUP('Données projet'!$B$16,Paramètres!$A$1:$I$89,7,0))</f>
        <v>0.30099999999999999</v>
      </c>
      <c r="FO113" s="16">
        <f>IF(ISNA(VLOOKUP(A113,'Données projet'!$A$217:$I$237,6,0)),0%,VLOOKUP(A113,'Données projet'!$A$217:$I$237,6,0)*VLOOKUP('Données projet'!$B$16,Paramètres!$A$1:$I$89,7,0))</f>
        <v>4.3000000000000003E-2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21.738697321250001</v>
      </c>
      <c r="FR113" s="21">
        <f>EXP(-LN(2)/25)*FR112+(1-EXP(-LN(2)/25))/(LN(2)/25)*Calculateur!FM113*Calculateur!FO113*VLOOKUP('Données projet'!$B$16,Paramètres!$A$1:$I$89,3,0)*0.475*44/12</f>
        <v>24.497943965273709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46.236641286523707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-1.7053025658242404E-13</v>
      </c>
      <c r="GA113" s="17">
        <f>FZ113*VLOOKUP('Données projet'!$B$17,Paramètres!$A$1:$I$89,3,0)*VLOOKUP('Données projet'!$B$17,Paramètres!$A$1:$I$89,5,0)</f>
        <v>-1.1173142411280423E-13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298.45881427802874</v>
      </c>
      <c r="GF113" s="59">
        <f t="shared" si="104"/>
        <v>287.00279305562356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38.131207216856708</v>
      </c>
      <c r="GM113" s="21">
        <f>EXP(-LN(2)/25)*GM112+(1-EXP(-LN(2)/25))/(LN(2)/25)*Calculateur!GH113*Calculateur!GJ113*VLOOKUP('Données projet'!$B$17,Paramètres!$A$1:$I$89,3,0)*0.475*44/12</f>
        <v>0.82463185324887167</v>
      </c>
      <c r="GN113" s="21">
        <f>EXP(-LN(2)/2)*GN112+(1-EXP(-LN(2)/2))/(LN(2)/2)*GH113*GK113*VLOOKUP('Données projet'!$B$17,Paramètres!$A$1:$I$89,3,0)*0.475*44/12</f>
        <v>1.0458259537159344E-3</v>
      </c>
      <c r="GO113" s="21">
        <f t="shared" si="81"/>
        <v>38.9568848960593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135.66666666666666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</v>
      </c>
      <c r="N114" s="13">
        <f>IF('Données projet'!$A$36&gt;35,N113+M114-V113,IF(A114&lt;'Données projet'!$A$36,$K$205^A114,IF(A114='Données projet'!$A$36,'Données projet'!$B$36,N113+M114-V113)))</f>
        <v>356.99999999999943</v>
      </c>
      <c r="O114" s="13">
        <f>N114*VLOOKUP('Données projet'!$B$9,Paramètres!$A$1:$I$89,3,0)*VLOOKUP('Données projet'!$B$9,Paramètres!$A$1:$I$89,5,0)</f>
        <v>323.01359999999949</v>
      </c>
      <c r="P114" s="13">
        <f t="shared" si="87"/>
        <v>75.980049270566028</v>
      </c>
      <c r="Q114" s="20">
        <f t="shared" si="107"/>
        <v>694.91393914623495</v>
      </c>
      <c r="R114" s="59">
        <f t="shared" si="55"/>
        <v>968.27451650072953</v>
      </c>
      <c r="S114" s="59">
        <f ca="1">AVERAGE(OFFSET($R$3,0,0,'Données projet'!$E$9+1,1))-AVERAGE(OFFSET($H$3,0,0,'Données projet'!$E$9+1,1))</f>
        <v>600.52384738314299</v>
      </c>
      <c r="T114" s="59">
        <f t="shared" si="88"/>
        <v>314.84650287986256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21.82593868327201</v>
      </c>
      <c r="AA114" s="21">
        <f>EXP(-LN(2)/25)*AA113+(1-EXP(-LN(2)/25))/(LN(2)/25)*Calculateur!V114*Calculateur!X114*VLOOKUP('Données projet'!$B$9,Paramètres!$A$1:$I$89,3,0)*0.475*44/12</f>
        <v>23.351368097828473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45.177306781100484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-1.4897523215040567E-13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436.77894860279537</v>
      </c>
      <c r="AO114" s="59">
        <f t="shared" si="90"/>
        <v>398.63561969573072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96.087620852032117</v>
      </c>
      <c r="AV114" s="21">
        <f>EXP(-LN(2)/25)*AV113+(1-EXP(-LN(2)/25))/(LN(2)/25)*Calculateur!AQ114*Calculateur!AS114*VLOOKUP('Données projet'!$B$10,Paramètres!$A$1:$I$89,3,0)*0.475*44/12</f>
        <v>14.106374500635891</v>
      </c>
      <c r="AW114" s="21">
        <f>EXP(-LN(2)/2)*AW113+(1-EXP(-LN(2)/2))/(LN(2)/2)*AQ114*AT114*VLOOKUP('Données projet'!$B$10,Paramètres!$A$1:$I$89,3,0)*0.475*44/12</f>
        <v>1.015604317701625E-12</v>
      </c>
      <c r="AX114" s="21">
        <f t="shared" si="60"/>
        <v>110.19399535266902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-1.3567387213697657E-13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344.97546176735341</v>
      </c>
      <c r="BJ114" s="59">
        <f t="shared" si="92"/>
        <v>331.15461126257492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55.951018651939698</v>
      </c>
      <c r="BQ114" s="21">
        <f>EXP(-LN(2)/25)*BQ113+(1-EXP(-LN(2)/25))/(LN(2)/25)*Calculateur!BL114*Calculateur!BN114*VLOOKUP('Données projet'!$B$11,Paramètres!$A$1:$I$89,3,0)*0.475*44/12</f>
        <v>1.2004586526951917</v>
      </c>
      <c r="BR114" s="21">
        <f>EXP(-LN(2)/2)*BR113+(1-EXP(-LN(2)/2))/(LN(2)/2)*BL114*BO114*VLOOKUP('Données projet'!$B$11,Paramètres!$A$1:$I$89,3,0)*0.475*44/12</f>
        <v>8.9797718605916005E-4</v>
      </c>
      <c r="BS114" s="22">
        <f t="shared" si="63"/>
        <v>57.152375281820945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-1.7053025658242404E-13</v>
      </c>
      <c r="BZ114" s="13">
        <f>BY114*VLOOKUP('Données projet'!$B$12,Paramètres!$A$1:$I$89,3,0)*VLOOKUP('Données projet'!$B$12,Paramètres!$A$1:$I$89,5,0)</f>
        <v>-1.3567387213697657E-13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344.97546176735341</v>
      </c>
      <c r="CE114" s="59">
        <f t="shared" si="94"/>
        <v>331.15461126257492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55.951018651939698</v>
      </c>
      <c r="CL114" s="21">
        <f>EXP(-LN(2)/25)*CL113+(1-EXP(-LN(2)/25))/(LN(2)/25)*Calculateur!CG114*Calculateur!CI114*VLOOKUP('Données projet'!$B$12,Paramètres!$A$1:$I$89,3,0)*0.475*44/12</f>
        <v>1.2004586526951917</v>
      </c>
      <c r="CM114" s="21">
        <f>EXP(-LN(2)/2)*CM113+(1-EXP(-LN(2)/2))/(LN(2)/2)*CG114*CJ114*VLOOKUP('Données projet'!$B$12,Paramètres!$A$1:$I$89,3,0)*0.475*44/12</f>
        <v>8.9797718605916005E-4</v>
      </c>
      <c r="CN114" s="22">
        <f t="shared" si="66"/>
        <v>57.152375281820945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227.19465047672969</v>
      </c>
      <c r="CZ114" s="59">
        <f t="shared" si="96"/>
        <v>529.77979244134417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19.805195939900745</v>
      </c>
      <c r="DG114" s="21">
        <f>EXP(-LN(2)/25)*DG113+(1-EXP(-LN(2)/25))/(LN(2)/25)*Calculateur!DB114*Calculateur!DD114*VLOOKUP('Données projet'!$B$13,Paramètres!$A$1:$I$89,3,0)*0.475*44/12</f>
        <v>3.3536318988758334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23.158827838776578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240.09151195692266</v>
      </c>
      <c r="DU114" s="59">
        <f t="shared" si="98"/>
        <v>559.47775134103165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21.099653190874623</v>
      </c>
      <c r="EB114" s="21">
        <f>EXP(-LN(2)/25)*EB113+(1-EXP(-LN(2)/25))/(LN(2)/25)*Calculateur!DW114*Calculateur!DY114*VLOOKUP('Données projet'!$B$14,Paramètres!$A$1:$I$89,3,0)*0.475*44/12</f>
        <v>3.5728235262533392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24.672476717127964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5.6843418860808015E-14</v>
      </c>
      <c r="EK114" s="17">
        <f>EJ114*VLOOKUP('Données projet'!$B$15,Paramètres!$A$1:$I$89,3,0)*VLOOKUP('Données projet'!$B$15,Paramètres!$A$1:$I$89,5,0)</f>
        <v>4.4337866711430253E-14</v>
      </c>
      <c r="EL114" s="13">
        <f t="shared" si="99"/>
        <v>7.3222115536967035E-13</v>
      </c>
      <c r="EM114" s="20">
        <f t="shared" si="73"/>
        <v>1.3525069634579169E-12</v>
      </c>
      <c r="EN114" s="59">
        <f t="shared" si="74"/>
        <v>273.36057735449589</v>
      </c>
      <c r="EO114" s="59">
        <f ca="1">AVERAGE(OFFSET($EN$3,0,0,'Données projet'!$E$15+1,1))-AVERAGE(OFFSET($H$3,0,0,'Données projet'!$E$15+1,1))</f>
        <v>328.79469965518484</v>
      </c>
      <c r="EP114" s="59">
        <f t="shared" si="100"/>
        <v>322.06400652269735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28.925116281933896</v>
      </c>
      <c r="EW114" s="21">
        <f>EXP(-LN(2)/25)*EW113+(1-EXP(-LN(2)/25))/(LN(2)/25)*Calculateur!ER114*Calculateur!ET114*VLOOKUP('Données projet'!$B$15,Paramètres!$A$1:$I$89,3,0)*0.475*44/12</f>
        <v>2.9687975660902226</v>
      </c>
      <c r="EX114" s="21">
        <f>EXP(-LN(2)/2)*EX113+(1-EXP(-LN(2)/2))/(LN(2)/2)*ER114*EU114*VLOOKUP('Données projet'!$B$15,Paramètres!$A$1:$I$89,3,0)*0.475*44/12</f>
        <v>3.4765069102332055E-5</v>
      </c>
      <c r="EY114" s="22">
        <f t="shared" si="75"/>
        <v>31.893948613093222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7</v>
      </c>
      <c r="FE114" s="12">
        <f>IF('Données projet'!$A$218&gt;35,FE113+FD114-FM113,IF(A114&lt;'Données projet'!$A$218,$FB$205^A114,IF(A114='Données projet'!$A$218,'Données projet'!$B$218,FE113+FD114-FM113)))</f>
        <v>472.99999999999994</v>
      </c>
      <c r="FF114" s="17">
        <f>FE114*VLOOKUP('Données projet'!$B$16,Paramètres!$A$1:$I$89,3,0)*VLOOKUP('Données projet'!$B$16,Paramètres!$A$1:$I$89,5,0)</f>
        <v>346.80359999999996</v>
      </c>
      <c r="FG114" s="13">
        <f t="shared" si="101"/>
        <v>80.903988258415168</v>
      </c>
      <c r="FH114" s="20">
        <f t="shared" si="76"/>
        <v>744.92404955007294</v>
      </c>
      <c r="FI114" s="59">
        <f t="shared" si="77"/>
        <v>1018.2846269045674</v>
      </c>
      <c r="FJ114" s="59">
        <f ca="1">AVERAGE(OFFSET($FI$3,0,0,'Données projet'!$E$16+1,1))-AVERAGE(OFFSET($H$3,0,0,'Données projet'!$E$16+1,1))</f>
        <v>525.22234644068908</v>
      </c>
      <c r="FK114" s="59">
        <f t="shared" si="102"/>
        <v>311.5550296132094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21.312414726076408</v>
      </c>
      <c r="FR114" s="21">
        <f>EXP(-LN(2)/25)*FR113+(1-EXP(-LN(2)/25))/(LN(2)/25)*Calculateur!FM114*Calculateur!FO114*VLOOKUP('Données projet'!$B$16,Paramètres!$A$1:$I$89,3,0)*0.475*44/12</f>
        <v>23.828046399252418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45.140461125328827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-1.7053025658242404E-13</v>
      </c>
      <c r="GA114" s="17">
        <f>FZ114*VLOOKUP('Données projet'!$B$17,Paramètres!$A$1:$I$89,3,0)*VLOOKUP('Données projet'!$B$17,Paramètres!$A$1:$I$89,5,0)</f>
        <v>-1.1173142411280423E-13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298.45881427802874</v>
      </c>
      <c r="GF114" s="59">
        <f t="shared" si="104"/>
        <v>287.00279305562356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37.38347750107404</v>
      </c>
      <c r="GM114" s="21">
        <f>EXP(-LN(2)/25)*GM113+(1-EXP(-LN(2)/25))/(LN(2)/25)*Calculateur!GH114*Calculateur!GJ114*VLOOKUP('Données projet'!$B$17,Paramètres!$A$1:$I$89,3,0)*0.475*44/12</f>
        <v>0.8020822518562768</v>
      </c>
      <c r="GN114" s="21">
        <f>EXP(-LN(2)/2)*GN113+(1-EXP(-LN(2)/2))/(LN(2)/2)*GH114*GK114*VLOOKUP('Données projet'!$B$17,Paramètres!$A$1:$I$89,3,0)*0.475*44/12</f>
        <v>7.3951062381342558E-4</v>
      </c>
      <c r="GO114" s="21">
        <f t="shared" si="81"/>
        <v>38.186299263554133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135.66666666666666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</v>
      </c>
      <c r="N115" s="13">
        <f>IF('Données projet'!$A$36&gt;35,N114+M115-V114,IF(A115&lt;'Données projet'!$A$36,$K$205^A115,IF(A115='Données projet'!$A$36,'Données projet'!$B$36,N114+M115-V114)))</f>
        <v>363.99999999999943</v>
      </c>
      <c r="O115" s="13">
        <f>N115*VLOOKUP('Données projet'!$B$9,Paramètres!$A$1:$I$89,3,0)*VLOOKUP('Données projet'!$B$9,Paramètres!$A$1:$I$89,5,0)</f>
        <v>329.34719999999948</v>
      </c>
      <c r="P115" s="13">
        <f t="shared" si="87"/>
        <v>77.294949483241425</v>
      </c>
      <c r="Q115" s="20">
        <f t="shared" si="107"/>
        <v>708.2350770166446</v>
      </c>
      <c r="R115" s="59">
        <f t="shared" si="55"/>
        <v>981.94213703497894</v>
      </c>
      <c r="S115" s="59">
        <f ca="1">AVERAGE(OFFSET($R$3,0,0,'Données projet'!$E$9+1,1))-AVERAGE(OFFSET($H$3,0,0,'Données projet'!$E$9+1,1))</f>
        <v>600.52384738314299</v>
      </c>
      <c r="T115" s="59">
        <f t="shared" si="88"/>
        <v>314.84650287986256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21.397945338201144</v>
      </c>
      <c r="AA115" s="21">
        <f>EXP(-LN(2)/25)*AA114+(1-EXP(-LN(2)/25))/(LN(2)/25)*Calculateur!V115*Calculateur!X115*VLOOKUP('Données projet'!$B$9,Paramètres!$A$1:$I$89,3,0)*0.475*44/12</f>
        <v>22.712823709198275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44.110769047399415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-1.4897523215040567E-13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436.77894860279537</v>
      </c>
      <c r="AO115" s="59">
        <f t="shared" si="90"/>
        <v>398.63561969573072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94.203401214785458</v>
      </c>
      <c r="AV115" s="21">
        <f>EXP(-LN(2)/25)*AV114+(1-EXP(-LN(2)/25))/(LN(2)/25)*Calculateur!AQ115*Calculateur!AS115*VLOOKUP('Données projet'!$B$10,Paramètres!$A$1:$I$89,3,0)*0.475*44/12</f>
        <v>13.720634948094007</v>
      </c>
      <c r="AW115" s="21">
        <f>EXP(-LN(2)/2)*AW114+(1-EXP(-LN(2)/2))/(LN(2)/2)*AQ115*AT115*VLOOKUP('Données projet'!$B$10,Paramètres!$A$1:$I$89,3,0)*0.475*44/12</f>
        <v>7.1814070004915586E-13</v>
      </c>
      <c r="AX115" s="21">
        <f t="shared" si="60"/>
        <v>107.92403616288018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-1.3567387213697657E-13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344.97546176735341</v>
      </c>
      <c r="BJ115" s="59">
        <f t="shared" si="92"/>
        <v>331.15461126257492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54.853853302926801</v>
      </c>
      <c r="BQ115" s="21">
        <f>EXP(-LN(2)/25)*BQ114+(1-EXP(-LN(2)/25))/(LN(2)/25)*Calculateur!BL115*Calculateur!BN115*VLOOKUP('Données projet'!$B$11,Paramètres!$A$1:$I$89,3,0)*0.475*44/12</f>
        <v>1.1676320477078648</v>
      </c>
      <c r="BR115" s="21">
        <f>EXP(-LN(2)/2)*BR114+(1-EXP(-LN(2)/2))/(LN(2)/2)*BL115*BO115*VLOOKUP('Données projet'!$B$11,Paramètres!$A$1:$I$89,3,0)*0.475*44/12</f>
        <v>6.3496575761324615E-4</v>
      </c>
      <c r="BS115" s="22">
        <f t="shared" si="63"/>
        <v>56.022120316392275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-1.7053025658242404E-13</v>
      </c>
      <c r="BZ115" s="13">
        <f>BY115*VLOOKUP('Données projet'!$B$12,Paramètres!$A$1:$I$89,3,0)*VLOOKUP('Données projet'!$B$12,Paramètres!$A$1:$I$89,5,0)</f>
        <v>-1.3567387213697657E-13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344.97546176735341</v>
      </c>
      <c r="CE115" s="59">
        <f t="shared" si="94"/>
        <v>331.15461126257492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54.853853302926801</v>
      </c>
      <c r="CL115" s="21">
        <f>EXP(-LN(2)/25)*CL114+(1-EXP(-LN(2)/25))/(LN(2)/25)*Calculateur!CG115*Calculateur!CI115*VLOOKUP('Données projet'!$B$12,Paramètres!$A$1:$I$89,3,0)*0.475*44/12</f>
        <v>1.1676320477078648</v>
      </c>
      <c r="CM115" s="21">
        <f>EXP(-LN(2)/2)*CM114+(1-EXP(-LN(2)/2))/(LN(2)/2)*CG115*CJ115*VLOOKUP('Données projet'!$B$12,Paramètres!$A$1:$I$89,3,0)*0.475*44/12</f>
        <v>6.3496575761324615E-4</v>
      </c>
      <c r="CN115" s="22">
        <f t="shared" si="66"/>
        <v>56.022120316392275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227.19465047672969</v>
      </c>
      <c r="CZ115" s="59">
        <f t="shared" si="96"/>
        <v>529.77979244134417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19.416828127496018</v>
      </c>
      <c r="DG115" s="21">
        <f>EXP(-LN(2)/25)*DG114+(1-EXP(-LN(2)/25))/(LN(2)/25)*Calculateur!DB115*Calculateur!DD115*VLOOKUP('Données projet'!$B$13,Paramètres!$A$1:$I$89,3,0)*0.475*44/12</f>
        <v>3.261926658241237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22.678754785737254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240.09151195692266</v>
      </c>
      <c r="DU115" s="59">
        <f t="shared" si="98"/>
        <v>559.47775134103165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20.685901861319259</v>
      </c>
      <c r="EB115" s="21">
        <f>EXP(-LN(2)/25)*EB114+(1-EXP(-LN(2)/25))/(LN(2)/25)*Calculateur!DW115*Calculateur!DY115*VLOOKUP('Données projet'!$B$14,Paramètres!$A$1:$I$89,3,0)*0.475*44/12</f>
        <v>3.4751244790413183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24.161026340360579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5.6843418860808015E-14</v>
      </c>
      <c r="EK115" s="17">
        <f>EJ115*VLOOKUP('Données projet'!$B$15,Paramètres!$A$1:$I$89,3,0)*VLOOKUP('Données projet'!$B$15,Paramètres!$A$1:$I$89,5,0)</f>
        <v>4.4337866711430253E-14</v>
      </c>
      <c r="EL115" s="13">
        <f t="shared" si="99"/>
        <v>7.3222115536967035E-13</v>
      </c>
      <c r="EM115" s="20">
        <f t="shared" si="73"/>
        <v>1.3525069634579169E-12</v>
      </c>
      <c r="EN115" s="59">
        <f t="shared" si="74"/>
        <v>273.70706001833577</v>
      </c>
      <c r="EO115" s="59">
        <f ca="1">AVERAGE(OFFSET($EN$3,0,0,'Données projet'!$E$15+1,1))-AVERAGE(OFFSET($H$3,0,0,'Données projet'!$E$15+1,1))</f>
        <v>328.79469965518484</v>
      </c>
      <c r="EP115" s="59">
        <f t="shared" si="100"/>
        <v>322.06400652269735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28.357912394224044</v>
      </c>
      <c r="EW115" s="21">
        <f>EXP(-LN(2)/25)*EW114+(1-EXP(-LN(2)/25))/(LN(2)/25)*Calculateur!ER115*Calculateur!ET115*VLOOKUP('Données projet'!$B$15,Paramètres!$A$1:$I$89,3,0)*0.475*44/12</f>
        <v>2.8876156405232067</v>
      </c>
      <c r="EX115" s="21">
        <f>EXP(-LN(2)/2)*EX114+(1-EXP(-LN(2)/2))/(LN(2)/2)*ER115*EU115*VLOOKUP('Données projet'!$B$15,Paramètres!$A$1:$I$89,3,0)*0.475*44/12</f>
        <v>2.4582616110677917E-5</v>
      </c>
      <c r="EY115" s="22">
        <f t="shared" si="75"/>
        <v>31.245552617363362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7</v>
      </c>
      <c r="FE115" s="12">
        <f>IF('Données projet'!$A$218&gt;35,FE114+FD115-FM114,IF(A115&lt;'Données projet'!$A$218,$FB$205^A115,IF(A115='Données projet'!$A$218,'Données projet'!$B$218,FE114+FD115-FM114)))</f>
        <v>479.99999999999994</v>
      </c>
      <c r="FF115" s="17">
        <f>FE115*VLOOKUP('Données projet'!$B$16,Paramètres!$A$1:$I$89,3,0)*VLOOKUP('Données projet'!$B$16,Paramètres!$A$1:$I$89,5,0)</f>
        <v>351.93599999999998</v>
      </c>
      <c r="FG115" s="13">
        <f t="shared" si="101"/>
        <v>81.961025673167143</v>
      </c>
      <c r="FH115" s="20">
        <f t="shared" si="76"/>
        <v>755.7039863807662</v>
      </c>
      <c r="FI115" s="59">
        <f t="shared" si="77"/>
        <v>1029.4110463991005</v>
      </c>
      <c r="FJ115" s="59">
        <f ca="1">AVERAGE(OFFSET($FI$3,0,0,'Données projet'!$E$16+1,1))-AVERAGE(OFFSET($H$3,0,0,'Données projet'!$E$16+1,1))</f>
        <v>525.22234644068908</v>
      </c>
      <c r="FK115" s="59">
        <f t="shared" si="102"/>
        <v>311.5550296132094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20.894491272587459</v>
      </c>
      <c r="FR115" s="21">
        <f>EXP(-LN(2)/25)*FR114+(1-EXP(-LN(2)/25))/(LN(2)/25)*Calculateur!FM115*Calculateur!FO115*VLOOKUP('Données projet'!$B$16,Paramètres!$A$1:$I$89,3,0)*0.475*44/12</f>
        <v>23.176467217402362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44.07095848998982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-1.7053025658242404E-13</v>
      </c>
      <c r="GA115" s="17">
        <f>FZ115*VLOOKUP('Données projet'!$B$17,Paramètres!$A$1:$I$89,3,0)*VLOOKUP('Données projet'!$B$17,Paramètres!$A$1:$I$89,5,0)</f>
        <v>-1.1173142411280423E-13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298.45881427802874</v>
      </c>
      <c r="GF115" s="59">
        <f t="shared" si="104"/>
        <v>287.00279305562356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36.650410308947777</v>
      </c>
      <c r="GM115" s="21">
        <f>EXP(-LN(2)/25)*GM114+(1-EXP(-LN(2)/25))/(LN(2)/25)*Calculateur!GH115*Calculateur!GJ115*VLOOKUP('Données projet'!$B$17,Paramètres!$A$1:$I$89,3,0)*0.475*44/12</f>
        <v>0.78014927049959448</v>
      </c>
      <c r="GN115" s="21">
        <f>EXP(-LN(2)/2)*GN114+(1-EXP(-LN(2)/2))/(LN(2)/2)*GH115*GK115*VLOOKUP('Données projet'!$B$17,Paramètres!$A$1:$I$89,3,0)*0.475*44/12</f>
        <v>5.2291297685796718E-4</v>
      </c>
      <c r="GO115" s="21">
        <f t="shared" si="81"/>
        <v>37.431082492424224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135.66666666666666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</v>
      </c>
      <c r="N116" s="13">
        <f>IF('Données projet'!$A$36&gt;35,N115+M116-V115,IF(A116&lt;'Données projet'!$A$36,$K$205^A116,IF(A116='Données projet'!$A$36,'Données projet'!$B$36,N115+M116-V115)))</f>
        <v>370.99999999999943</v>
      </c>
      <c r="O116" s="13">
        <f>N116*VLOOKUP('Données projet'!$B$9,Paramètres!$A$1:$I$89,3,0)*VLOOKUP('Données projet'!$B$9,Paramètres!$A$1:$I$89,5,0)</f>
        <v>335.68079999999946</v>
      </c>
      <c r="P116" s="13">
        <f t="shared" si="87"/>
        <v>78.606909442620307</v>
      </c>
      <c r="Q116" s="20">
        <f t="shared" si="107"/>
        <v>721.55109394589601</v>
      </c>
      <c r="R116" s="59">
        <f t="shared" si="55"/>
        <v>995.59862592847185</v>
      </c>
      <c r="S116" s="59">
        <f ca="1">AVERAGE(OFFSET($R$3,0,0,'Données projet'!$E$9+1,1))-AVERAGE(OFFSET($H$3,0,0,'Données projet'!$E$9+1,1))</f>
        <v>600.52384738314299</v>
      </c>
      <c r="T116" s="59">
        <f t="shared" si="88"/>
        <v>314.84650287986256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20.978344681576949</v>
      </c>
      <c r="AA116" s="21">
        <f>EXP(-LN(2)/25)*AA115+(1-EXP(-LN(2)/25))/(LN(2)/25)*Calculateur!V116*Calculateur!X116*VLOOKUP('Données projet'!$B$9,Paramètres!$A$1:$I$89,3,0)*0.475*44/12</f>
        <v>22.09174035045476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43.070085032031713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-1.4897523215040567E-13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436.77894860279537</v>
      </c>
      <c r="AO116" s="59">
        <f t="shared" si="90"/>
        <v>398.63561969573072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92.356129975364709</v>
      </c>
      <c r="AV116" s="21">
        <f>EXP(-LN(2)/25)*AV115+(1-EXP(-LN(2)/25))/(LN(2)/25)*Calculateur!AQ116*Calculateur!AS116*VLOOKUP('Données projet'!$B$10,Paramètres!$A$1:$I$89,3,0)*0.475*44/12</f>
        <v>13.345443463901544</v>
      </c>
      <c r="AW116" s="21">
        <f>EXP(-LN(2)/2)*AW115+(1-EXP(-LN(2)/2))/(LN(2)/2)*AQ116*AT116*VLOOKUP('Données projet'!$B$10,Paramètres!$A$1:$I$89,3,0)*0.475*44/12</f>
        <v>5.0780215885081251E-13</v>
      </c>
      <c r="AX116" s="21">
        <f t="shared" si="60"/>
        <v>105.70157343926677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-1.3567387213697657E-13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344.97546176735341</v>
      </c>
      <c r="BJ116" s="59">
        <f t="shared" si="92"/>
        <v>331.15461126257492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53.778202697203263</v>
      </c>
      <c r="BQ116" s="21">
        <f>EXP(-LN(2)/25)*BQ115+(1-EXP(-LN(2)/25))/(LN(2)/25)*Calculateur!BL116*Calculateur!BN116*VLOOKUP('Données projet'!$B$11,Paramètres!$A$1:$I$89,3,0)*0.475*44/12</f>
        <v>1.1357030879601924</v>
      </c>
      <c r="BR116" s="21">
        <f>EXP(-LN(2)/2)*BR115+(1-EXP(-LN(2)/2))/(LN(2)/2)*BL116*BO116*VLOOKUP('Données projet'!$B$11,Paramètres!$A$1:$I$89,3,0)*0.475*44/12</f>
        <v>4.4898859302958002E-4</v>
      </c>
      <c r="BS116" s="22">
        <f t="shared" si="63"/>
        <v>54.914354773756486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-1.7053025658242404E-13</v>
      </c>
      <c r="BZ116" s="13">
        <f>BY116*VLOOKUP('Données projet'!$B$12,Paramètres!$A$1:$I$89,3,0)*VLOOKUP('Données projet'!$B$12,Paramètres!$A$1:$I$89,5,0)</f>
        <v>-1.3567387213697657E-13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344.97546176735341</v>
      </c>
      <c r="CE116" s="59">
        <f t="shared" si="94"/>
        <v>331.15461126257492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53.778202697203263</v>
      </c>
      <c r="CL116" s="21">
        <f>EXP(-LN(2)/25)*CL115+(1-EXP(-LN(2)/25))/(LN(2)/25)*Calculateur!CG116*Calculateur!CI116*VLOOKUP('Données projet'!$B$12,Paramètres!$A$1:$I$89,3,0)*0.475*44/12</f>
        <v>1.1357030879601924</v>
      </c>
      <c r="CM116" s="21">
        <f>EXP(-LN(2)/2)*CM115+(1-EXP(-LN(2)/2))/(LN(2)/2)*CG116*CJ116*VLOOKUP('Données projet'!$B$12,Paramètres!$A$1:$I$89,3,0)*0.475*44/12</f>
        <v>4.4898859302958002E-4</v>
      </c>
      <c r="CN116" s="22">
        <f t="shared" si="66"/>
        <v>54.914354773756486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227.19465047672969</v>
      </c>
      <c r="CZ116" s="59">
        <f t="shared" si="96"/>
        <v>529.77979244134417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19.03607597101157</v>
      </c>
      <c r="DG116" s="21">
        <f>EXP(-LN(2)/25)*DG115+(1-EXP(-LN(2)/25))/(LN(2)/25)*Calculateur!DB116*Calculateur!DD116*VLOOKUP('Données projet'!$B$13,Paramètres!$A$1:$I$89,3,0)*0.475*44/12</f>
        <v>3.1727291022343627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22.208805073245934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240.09151195692266</v>
      </c>
      <c r="DU116" s="59">
        <f t="shared" si="98"/>
        <v>559.47775134103165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20.280263942973082</v>
      </c>
      <c r="EB116" s="21">
        <f>EXP(-LN(2)/25)*EB115+(1-EXP(-LN(2)/25))/(LN(2)/25)*Calculateur!DW116*Calculateur!DY116*VLOOKUP('Données projet'!$B$14,Paramètres!$A$1:$I$89,3,0)*0.475*44/12</f>
        <v>3.3800970174130796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23.660360960386161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5.6843418860808015E-14</v>
      </c>
      <c r="EK116" s="17">
        <f>EJ116*VLOOKUP('Données projet'!$B$15,Paramètres!$A$1:$I$89,3,0)*VLOOKUP('Données projet'!$B$15,Paramètres!$A$1:$I$89,5,0)</f>
        <v>4.4337866711430253E-14</v>
      </c>
      <c r="EL116" s="13">
        <f t="shared" si="99"/>
        <v>7.3222115536967035E-13</v>
      </c>
      <c r="EM116" s="20">
        <f t="shared" si="73"/>
        <v>1.3525069634579169E-12</v>
      </c>
      <c r="EN116" s="59">
        <f t="shared" si="74"/>
        <v>274.0475319825772</v>
      </c>
      <c r="EO116" s="59">
        <f ca="1">AVERAGE(OFFSET($EN$3,0,0,'Données projet'!$E$15+1,1))-AVERAGE(OFFSET($H$3,0,0,'Données projet'!$E$15+1,1))</f>
        <v>328.79469965518484</v>
      </c>
      <c r="EP116" s="59">
        <f t="shared" si="100"/>
        <v>322.06400652269735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27.801831028791973</v>
      </c>
      <c r="EW116" s="21">
        <f>EXP(-LN(2)/25)*EW115+(1-EXP(-LN(2)/25))/(LN(2)/25)*Calculateur!ER116*Calculateur!ET116*VLOOKUP('Données projet'!$B$15,Paramètres!$A$1:$I$89,3,0)*0.475*44/12</f>
        <v>2.808653638979993</v>
      </c>
      <c r="EX116" s="21">
        <f>EXP(-LN(2)/2)*EX115+(1-EXP(-LN(2)/2))/(LN(2)/2)*ER116*EU116*VLOOKUP('Données projet'!$B$15,Paramètres!$A$1:$I$89,3,0)*0.475*44/12</f>
        <v>1.7382534551166027E-5</v>
      </c>
      <c r="EY116" s="22">
        <f t="shared" si="75"/>
        <v>30.610502050306518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7</v>
      </c>
      <c r="FE116" s="12">
        <f>IF('Données projet'!$A$218&gt;35,FE115+FD116-FM115,IF(A116&lt;'Données projet'!$A$218,$FB$205^A116,IF(A116='Données projet'!$A$218,'Données projet'!$B$218,FE115+FD116-FM115)))</f>
        <v>486.99999999999994</v>
      </c>
      <c r="FF116" s="17">
        <f>FE116*VLOOKUP('Données projet'!$B$16,Paramètres!$A$1:$I$89,3,0)*VLOOKUP('Données projet'!$B$16,Paramètres!$A$1:$I$89,5,0)</f>
        <v>357.06839999999994</v>
      </c>
      <c r="FG116" s="13">
        <f t="shared" si="101"/>
        <v>83.016270221782037</v>
      </c>
      <c r="FH116" s="20">
        <f t="shared" si="76"/>
        <v>766.48080063627015</v>
      </c>
      <c r="FI116" s="59">
        <f t="shared" si="77"/>
        <v>1040.528332618846</v>
      </c>
      <c r="FJ116" s="59">
        <f ca="1">AVERAGE(OFFSET($FI$3,0,0,'Données projet'!$E$16+1,1))-AVERAGE(OFFSET($H$3,0,0,'Données projet'!$E$16+1,1))</f>
        <v>525.22234644068908</v>
      </c>
      <c r="FK116" s="59">
        <f t="shared" si="102"/>
        <v>311.5550296132094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20.484763043113293</v>
      </c>
      <c r="FR116" s="21">
        <f>EXP(-LN(2)/25)*FR115+(1-EXP(-LN(2)/25))/(LN(2)/25)*Calculateur!FM116*Calculateur!FO116*VLOOKUP('Données projet'!$B$16,Paramètres!$A$1:$I$89,3,0)*0.475*44/12</f>
        <v>22.542705502545054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43.027468545658351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-1.7053025658242404E-13</v>
      </c>
      <c r="GA116" s="17">
        <f>FZ116*VLOOKUP('Données projet'!$B$17,Paramètres!$A$1:$I$89,3,0)*VLOOKUP('Données projet'!$B$17,Paramètres!$A$1:$I$89,5,0)</f>
        <v>-1.1173142411280423E-13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298.45881427802874</v>
      </c>
      <c r="GF116" s="59">
        <f t="shared" si="104"/>
        <v>287.00279305562356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35.931718117332274</v>
      </c>
      <c r="GM116" s="21">
        <f>EXP(-LN(2)/25)*GM115+(1-EXP(-LN(2)/25))/(LN(2)/25)*Calculateur!GH116*Calculateur!GJ116*VLOOKUP('Données projet'!$B$17,Paramètres!$A$1:$I$89,3,0)*0.475*44/12</f>
        <v>0.758816047671516</v>
      </c>
      <c r="GN116" s="21">
        <f>EXP(-LN(2)/2)*GN115+(1-EXP(-LN(2)/2))/(LN(2)/2)*GH116*GK116*VLOOKUP('Données projet'!$B$17,Paramètres!$A$1:$I$89,3,0)*0.475*44/12</f>
        <v>3.6975531190671279E-4</v>
      </c>
      <c r="GO116" s="21">
        <f t="shared" si="81"/>
        <v>36.690903920315698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135.66666666666666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378</v>
      </c>
      <c r="L117" s="12">
        <f>VLOOKUP(A117,'Données projet'!$A$35:$I$55,9,0)</f>
        <v>7</v>
      </c>
      <c r="M117" s="12">
        <f t="array" ref="M117">INDEX(L:L,MIN(IF(ISNUMBER(L117:L313),ROW(L117:L313),"")))</f>
        <v>7</v>
      </c>
      <c r="N117" s="13">
        <f>IF('Données projet'!$A$36&gt;35,N116+M117-V116,IF(A117&lt;'Données projet'!$A$36,$K$205^A117,IF(A117='Données projet'!$A$36,'Données projet'!$B$36,N116+M117-V116)))</f>
        <v>377.99999999999943</v>
      </c>
      <c r="O117" s="13">
        <f>N117*VLOOKUP('Données projet'!$B$9,Paramètres!$A$1:$I$89,3,0)*VLOOKUP('Données projet'!$B$9,Paramètres!$A$1:$I$89,5,0)</f>
        <v>342.01439999999951</v>
      </c>
      <c r="P117" s="13">
        <f t="shared" si="87"/>
        <v>79.915991022086487</v>
      </c>
      <c r="Q117" s="20">
        <f t="shared" si="107"/>
        <v>734.86209769679965</v>
      </c>
      <c r="R117" s="59">
        <f t="shared" si="55"/>
        <v>1009.2441952162187</v>
      </c>
      <c r="S117" s="59">
        <f ca="1">AVERAGE(OFFSET($R$3,0,0,'Données projet'!$E$9+1,1))-AVERAGE(OFFSET($H$3,0,0,'Données projet'!$E$9+1,1))</f>
        <v>600.52384738314299</v>
      </c>
      <c r="T117" s="59">
        <f t="shared" si="88"/>
        <v>314.84650287986256</v>
      </c>
      <c r="U117" s="15">
        <f>IF(ISNA(VLOOKUP(A117,'Données projet'!$A$35:$I$55,3,0)),0,VLOOKUP(A117,'Données projet'!$A$35:$I$55,3,0))</f>
        <v>10</v>
      </c>
      <c r="V117" s="15">
        <f>IF(ISNA(VLOOKUP(A117,'Données projet'!$A$35:$I$55,4,0)),0,VLOOKUP(A117,'Données projet'!$A$35:$I$55,4,0))</f>
        <v>43</v>
      </c>
      <c r="W117" s="16">
        <f>IF(ISNA(VLOOKUP(A117,'Données projet'!$A$35:$I$55,5,0)),0%,VLOOKUP(A117,'Données projet'!$A$35:$I$55,5,0)*VLOOKUP('Données projet'!$B$9,Paramètres!$A$1:$I$89,7,0))</f>
        <v>0.30099999999999999</v>
      </c>
      <c r="X117" s="16">
        <f>IF(ISNA(VLOOKUP(A117,'Données projet'!$A$35:$I$55,6,0)),0%,VLOOKUP(A117,'Données projet'!$A$35:$I$55,6,0)*VLOOKUP('Données projet'!$B$9,Paramètres!$A$1:$I$89,7,0))</f>
        <v>4.3000000000000003E-2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33.51294384295052</v>
      </c>
      <c r="AA117" s="21">
        <f>EXP(-LN(2)/25)*AA116+(1-EXP(-LN(2)/25))/(LN(2)/25)*Calculateur!V117*Calculateur!X117*VLOOKUP('Données projet'!$B$9,Paramètres!$A$1:$I$89,3,0)*0.475*44/12</f>
        <v>23.329783189052836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56.842727032003353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-1.4897523215040567E-13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436.77894860279537</v>
      </c>
      <c r="AO117" s="59">
        <f t="shared" si="90"/>
        <v>398.63561969573072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90.545082598224795</v>
      </c>
      <c r="AV117" s="21">
        <f>EXP(-LN(2)/25)*AV116+(1-EXP(-LN(2)/25))/(LN(2)/25)*Calculateur!AQ117*Calculateur!AS117*VLOOKUP('Données projet'!$B$10,Paramètres!$A$1:$I$89,3,0)*0.475*44/12</f>
        <v>12.980511610574785</v>
      </c>
      <c r="AW117" s="21">
        <f>EXP(-LN(2)/2)*AW116+(1-EXP(-LN(2)/2))/(LN(2)/2)*AQ117*AT117*VLOOKUP('Données projet'!$B$10,Paramètres!$A$1:$I$89,3,0)*0.475*44/12</f>
        <v>3.5907035002457793E-13</v>
      </c>
      <c r="AX117" s="21">
        <f t="shared" si="60"/>
        <v>103.52559420879993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-1.3567387213697657E-13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344.97546176735341</v>
      </c>
      <c r="BJ117" s="59">
        <f t="shared" si="92"/>
        <v>331.15461126257492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52.723644943775874</v>
      </c>
      <c r="BQ117" s="21">
        <f>EXP(-LN(2)/25)*BQ116+(1-EXP(-LN(2)/25))/(LN(2)/25)*Calculateur!BL117*Calculateur!BN117*VLOOKUP('Données projet'!$B$11,Paramètres!$A$1:$I$89,3,0)*0.475*44/12</f>
        <v>1.1046472272958912</v>
      </c>
      <c r="BR117" s="21">
        <f>EXP(-LN(2)/2)*BR116+(1-EXP(-LN(2)/2))/(LN(2)/2)*BL117*BO117*VLOOKUP('Données projet'!$B$11,Paramètres!$A$1:$I$89,3,0)*0.475*44/12</f>
        <v>3.1748287880662307E-4</v>
      </c>
      <c r="BS117" s="22">
        <f t="shared" si="63"/>
        <v>53.828609653950572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-1.7053025658242404E-13</v>
      </c>
      <c r="BZ117" s="13">
        <f>BY117*VLOOKUP('Données projet'!$B$12,Paramètres!$A$1:$I$89,3,0)*VLOOKUP('Données projet'!$B$12,Paramètres!$A$1:$I$89,5,0)</f>
        <v>-1.3567387213697657E-13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344.97546176735341</v>
      </c>
      <c r="CE117" s="59">
        <f t="shared" si="94"/>
        <v>331.15461126257492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52.723644943775874</v>
      </c>
      <c r="CL117" s="21">
        <f>EXP(-LN(2)/25)*CL116+(1-EXP(-LN(2)/25))/(LN(2)/25)*Calculateur!CG117*Calculateur!CI117*VLOOKUP('Données projet'!$B$12,Paramètres!$A$1:$I$89,3,0)*0.475*44/12</f>
        <v>1.1046472272958912</v>
      </c>
      <c r="CM117" s="21">
        <f>EXP(-LN(2)/2)*CM116+(1-EXP(-LN(2)/2))/(LN(2)/2)*CG117*CJ117*VLOOKUP('Données projet'!$B$12,Paramètres!$A$1:$I$89,3,0)*0.475*44/12</f>
        <v>3.1748287880662307E-4</v>
      </c>
      <c r="CN117" s="22">
        <f t="shared" si="66"/>
        <v>53.828609653950572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227.19465047672969</v>
      </c>
      <c r="CZ117" s="59">
        <f t="shared" si="96"/>
        <v>529.77979244134417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18.662790132079898</v>
      </c>
      <c r="DG117" s="21">
        <f>EXP(-LN(2)/25)*DG116+(1-EXP(-LN(2)/25))/(LN(2)/25)*Calculateur!DB117*Calculateur!DD117*VLOOKUP('Données projet'!$B$13,Paramètres!$A$1:$I$89,3,0)*0.475*44/12</f>
        <v>3.085970658087192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21.74876079016709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240.09151195692266</v>
      </c>
      <c r="DU117" s="59">
        <f t="shared" si="98"/>
        <v>559.47775134103165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19.882580336790976</v>
      </c>
      <c r="EB117" s="21">
        <f>EXP(-LN(2)/25)*EB116+(1-EXP(-LN(2)/25))/(LN(2)/25)*Calculateur!DW117*Calculateur!DY117*VLOOKUP('Données projet'!$B$14,Paramètres!$A$1:$I$89,3,0)*0.475*44/12</f>
        <v>3.2876680867203421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23.170248423511318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5.6843418860808015E-14</v>
      </c>
      <c r="EK117" s="17">
        <f>EJ117*VLOOKUP('Données projet'!$B$15,Paramètres!$A$1:$I$89,3,0)*VLOOKUP('Données projet'!$B$15,Paramètres!$A$1:$I$89,5,0)</f>
        <v>4.4337866711430253E-14</v>
      </c>
      <c r="EL117" s="13">
        <f t="shared" si="99"/>
        <v>7.3222115536967035E-13</v>
      </c>
      <c r="EM117" s="20">
        <f t="shared" si="73"/>
        <v>1.3525069634579169E-12</v>
      </c>
      <c r="EN117" s="59">
        <f t="shared" si="74"/>
        <v>274.38209751942037</v>
      </c>
      <c r="EO117" s="59">
        <f ca="1">AVERAGE(OFFSET($EN$3,0,0,'Données projet'!$E$15+1,1))-AVERAGE(OFFSET($H$3,0,0,'Données projet'!$E$15+1,1))</f>
        <v>328.79469965518484</v>
      </c>
      <c r="EP117" s="59">
        <f t="shared" si="100"/>
        <v>322.06400652269735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27.256654079759883</v>
      </c>
      <c r="EW117" s="21">
        <f>EXP(-LN(2)/25)*EW116+(1-EXP(-LN(2)/25))/(LN(2)/25)*Calculateur!ER117*Calculateur!ET117*VLOOKUP('Données projet'!$B$15,Paramètres!$A$1:$I$89,3,0)*0.475*44/12</f>
        <v>2.7318508575214095</v>
      </c>
      <c r="EX117" s="21">
        <f>EXP(-LN(2)/2)*EX116+(1-EXP(-LN(2)/2))/(LN(2)/2)*ER117*EU117*VLOOKUP('Données projet'!$B$15,Paramètres!$A$1:$I$89,3,0)*0.475*44/12</f>
        <v>1.2291308055338959E-5</v>
      </c>
      <c r="EY117" s="22">
        <f t="shared" si="75"/>
        <v>29.988517228589348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7</v>
      </c>
      <c r="FE117" s="12">
        <f>IF('Données projet'!$A$218&gt;35,FE116+FD117-FM116,IF(A117&lt;'Données projet'!$A$218,$FB$205^A117,IF(A117='Données projet'!$A$218,'Données projet'!$B$218,FE116+FD117-FM116)))</f>
        <v>493.99999999999994</v>
      </c>
      <c r="FF117" s="17">
        <f>FE117*VLOOKUP('Données projet'!$B$16,Paramètres!$A$1:$I$89,3,0)*VLOOKUP('Données projet'!$B$16,Paramètres!$A$1:$I$89,5,0)</f>
        <v>362.20079999999996</v>
      </c>
      <c r="FG117" s="13">
        <f t="shared" si="101"/>
        <v>84.069750651993814</v>
      </c>
      <c r="FH117" s="20">
        <f t="shared" si="76"/>
        <v>777.25454238555574</v>
      </c>
      <c r="FI117" s="59">
        <f t="shared" si="77"/>
        <v>1051.6366399049748</v>
      </c>
      <c r="FJ117" s="59">
        <f ca="1">AVERAGE(OFFSET($FI$3,0,0,'Données projet'!$E$16+1,1))-AVERAGE(OFFSET($H$3,0,0,'Données projet'!$E$16+1,1))</f>
        <v>525.22234644068908</v>
      </c>
      <c r="FK117" s="59">
        <f t="shared" si="102"/>
        <v>311.5550296132094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20.08306933430957</v>
      </c>
      <c r="FR117" s="21">
        <f>EXP(-LN(2)/25)*FR116+(1-EXP(-LN(2)/25))/(LN(2)/25)*Calculateur!FM117*Calculateur!FO117*VLOOKUP('Données projet'!$B$16,Paramètres!$A$1:$I$89,3,0)*0.475*44/12</f>
        <v>21.926274035108598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42.009343369418168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-1.7053025658242404E-13</v>
      </c>
      <c r="GA117" s="17">
        <f>FZ117*VLOOKUP('Données projet'!$B$17,Paramètres!$A$1:$I$89,3,0)*VLOOKUP('Données projet'!$B$17,Paramètres!$A$1:$I$89,5,0)</f>
        <v>-1.1173142411280423E-13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298.45881427802874</v>
      </c>
      <c r="GF117" s="59">
        <f t="shared" si="104"/>
        <v>287.00279305562356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35.227119041235397</v>
      </c>
      <c r="GM117" s="21">
        <f>EXP(-LN(2)/25)*GM116+(1-EXP(-LN(2)/25))/(LN(2)/25)*Calculateur!GH117*Calculateur!GJ117*VLOOKUP('Données projet'!$B$17,Paramètres!$A$1:$I$89,3,0)*0.475*44/12</f>
        <v>0.73806618294353676</v>
      </c>
      <c r="GN117" s="21">
        <f>EXP(-LN(2)/2)*GN116+(1-EXP(-LN(2)/2))/(LN(2)/2)*GH117*GK117*VLOOKUP('Données projet'!$B$17,Paramètres!$A$1:$I$89,3,0)*0.475*44/12</f>
        <v>2.6145648842898359E-4</v>
      </c>
      <c r="GO117" s="21">
        <f t="shared" si="81"/>
        <v>35.965446680667363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135.66666666666666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6.8888888888888893</v>
      </c>
      <c r="N118" s="13">
        <f>IF('Données projet'!$A$36&gt;35,N117+M118-V117,IF(A118&lt;'Données projet'!$A$36,$K$205^A118,IF(A118='Données projet'!$A$36,'Données projet'!$B$36,N117+M118-V117)))</f>
        <v>341.88888888888835</v>
      </c>
      <c r="O118" s="13">
        <f>N118*VLOOKUP('Données projet'!$B$9,Paramètres!$A$1:$I$89,3,0)*VLOOKUP('Données projet'!$B$9,Paramètres!$A$1:$I$89,5,0)</f>
        <v>309.34106666666617</v>
      </c>
      <c r="P118" s="13">
        <f t="shared" si="87"/>
        <v>73.131201628191135</v>
      </c>
      <c r="Q118" s="20">
        <f t="shared" si="107"/>
        <v>666.13920061354315</v>
      </c>
      <c r="R118" s="59">
        <f t="shared" si="55"/>
        <v>940.85005970571751</v>
      </c>
      <c r="S118" s="59">
        <f ca="1">AVERAGE(OFFSET($R$3,0,0,'Données projet'!$E$9+1,1))-AVERAGE(OFFSET($H$3,0,0,'Données projet'!$E$9+1,1))</f>
        <v>600.52384738314299</v>
      </c>
      <c r="T118" s="59">
        <f t="shared" si="88"/>
        <v>314.84650287986256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32.855775455067636</v>
      </c>
      <c r="AA118" s="21">
        <f>EXP(-LN(2)/25)*AA117+(1-EXP(-LN(2)/25))/(LN(2)/25)*Calculateur!V118*Calculateur!X118*VLOOKUP('Données projet'!$B$9,Paramètres!$A$1:$I$89,3,0)*0.475*44/12</f>
        <v>22.691829040888209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55.547604495955845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-1.4897523215040567E-13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436.77894860279537</v>
      </c>
      <c r="AO118" s="59">
        <f t="shared" si="90"/>
        <v>398.63561969573072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88.769548755520773</v>
      </c>
      <c r="AV118" s="21">
        <f>EXP(-LN(2)/25)*AV117+(1-EXP(-LN(2)/25))/(LN(2)/25)*Calculateur!AQ118*Calculateur!AS118*VLOOKUP('Données projet'!$B$10,Paramètres!$A$1:$I$89,3,0)*0.475*44/12</f>
        <v>12.62555883796818</v>
      </c>
      <c r="AW118" s="21">
        <f>EXP(-LN(2)/2)*AW117+(1-EXP(-LN(2)/2))/(LN(2)/2)*AQ118*AT118*VLOOKUP('Données projet'!$B$10,Paramètres!$A$1:$I$89,3,0)*0.475*44/12</f>
        <v>2.5390107942540625E-13</v>
      </c>
      <c r="AX118" s="21">
        <f t="shared" si="60"/>
        <v>101.39510759348921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-1.3567387213697657E-13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344.97546176735341</v>
      </c>
      <c r="BJ118" s="59">
        <f t="shared" si="92"/>
        <v>331.15461126257492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51.689766424676485</v>
      </c>
      <c r="BQ118" s="21">
        <f>EXP(-LN(2)/25)*BQ117+(1-EXP(-LN(2)/25))/(LN(2)/25)*Calculateur!BL118*Calculateur!BN118*VLOOKUP('Données projet'!$B$11,Paramètres!$A$1:$I$89,3,0)*0.475*44/12</f>
        <v>1.074440590774612</v>
      </c>
      <c r="BR118" s="21">
        <f>EXP(-LN(2)/2)*BR117+(1-EXP(-LN(2)/2))/(LN(2)/2)*BL118*BO118*VLOOKUP('Données projet'!$B$11,Paramètres!$A$1:$I$89,3,0)*0.475*44/12</f>
        <v>2.2449429651479001E-4</v>
      </c>
      <c r="BS118" s="22">
        <f t="shared" si="63"/>
        <v>52.764431509747617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-1.7053025658242404E-13</v>
      </c>
      <c r="BZ118" s="13">
        <f>BY118*VLOOKUP('Données projet'!$B$12,Paramètres!$A$1:$I$89,3,0)*VLOOKUP('Données projet'!$B$12,Paramètres!$A$1:$I$89,5,0)</f>
        <v>-1.3567387213697657E-13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344.97546176735341</v>
      </c>
      <c r="CE118" s="59">
        <f t="shared" si="94"/>
        <v>331.15461126257492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51.689766424676485</v>
      </c>
      <c r="CL118" s="21">
        <f>EXP(-LN(2)/25)*CL117+(1-EXP(-LN(2)/25))/(LN(2)/25)*Calculateur!CG118*Calculateur!CI118*VLOOKUP('Données projet'!$B$12,Paramètres!$A$1:$I$89,3,0)*0.475*44/12</f>
        <v>1.074440590774612</v>
      </c>
      <c r="CM118" s="21">
        <f>EXP(-LN(2)/2)*CM117+(1-EXP(-LN(2)/2))/(LN(2)/2)*CG118*CJ118*VLOOKUP('Données projet'!$B$12,Paramètres!$A$1:$I$89,3,0)*0.475*44/12</f>
        <v>2.2449429651479001E-4</v>
      </c>
      <c r="CN118" s="22">
        <f t="shared" si="66"/>
        <v>52.764431509747617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227.19465047672969</v>
      </c>
      <c r="CZ118" s="59">
        <f t="shared" si="96"/>
        <v>529.77979244134417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18.296824200767798</v>
      </c>
      <c r="DG118" s="21">
        <f>EXP(-LN(2)/25)*DG117+(1-EXP(-LN(2)/25))/(LN(2)/25)*Calculateur!DB118*Calculateur!DD118*VLOOKUP('Données projet'!$B$13,Paramètres!$A$1:$I$89,3,0)*0.475*44/12</f>
        <v>3.0015846281576537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21.298408828925453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240.09151195692266</v>
      </c>
      <c r="DU118" s="59">
        <f t="shared" si="98"/>
        <v>559.47775134103165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19.492695063563051</v>
      </c>
      <c r="EB118" s="21">
        <f>EXP(-LN(2)/25)*EB117+(1-EXP(-LN(2)/25))/(LN(2)/25)*Calculateur!DW118*Calculateur!DY118*VLOOKUP('Données projet'!$B$14,Paramètres!$A$1:$I$89,3,0)*0.475*44/12</f>
        <v>3.1977666299980236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22.690461693561076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5.6843418860808015E-14</v>
      </c>
      <c r="EK118" s="17">
        <f>EJ118*VLOOKUP('Données projet'!$B$15,Paramètres!$A$1:$I$89,3,0)*VLOOKUP('Données projet'!$B$15,Paramètres!$A$1:$I$89,5,0)</f>
        <v>4.4337866711430253E-14</v>
      </c>
      <c r="EL118" s="13">
        <f t="shared" si="99"/>
        <v>7.3222115536967035E-13</v>
      </c>
      <c r="EM118" s="20">
        <f t="shared" si="73"/>
        <v>1.3525069634579169E-12</v>
      </c>
      <c r="EN118" s="59">
        <f t="shared" si="74"/>
        <v>274.71085909217578</v>
      </c>
      <c r="EO118" s="59">
        <f ca="1">AVERAGE(OFFSET($EN$3,0,0,'Données projet'!$E$15+1,1))-AVERAGE(OFFSET($H$3,0,0,'Données projet'!$E$15+1,1))</f>
        <v>328.79469965518484</v>
      </c>
      <c r="EP118" s="59">
        <f t="shared" si="100"/>
        <v>322.06400652269735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26.722167718173207</v>
      </c>
      <c r="EW118" s="21">
        <f>EXP(-LN(2)/25)*EW117+(1-EXP(-LN(2)/25))/(LN(2)/25)*Calculateur!ER118*Calculateur!ET118*VLOOKUP('Données projet'!$B$15,Paramètres!$A$1:$I$89,3,0)*0.475*44/12</f>
        <v>2.6571482521606939</v>
      </c>
      <c r="EX118" s="21">
        <f>EXP(-LN(2)/2)*EX117+(1-EXP(-LN(2)/2))/(LN(2)/2)*ER118*EU118*VLOOKUP('Données projet'!$B$15,Paramètres!$A$1:$I$89,3,0)*0.475*44/12</f>
        <v>8.6912672755830137E-6</v>
      </c>
      <c r="EY118" s="22">
        <f t="shared" si="75"/>
        <v>29.379324661601178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>
        <f>VLOOKUP(A118,'Données projet'!$A$217:$I$237,2,0)</f>
        <v>501</v>
      </c>
      <c r="FC118" s="12">
        <f>VLOOKUP(A118,'Données projet'!$A$217:$I$237,9,0)</f>
        <v>7</v>
      </c>
      <c r="FD118" s="12">
        <f t="array" ref="FD118">INDEX(FC:FC,MIN(IF(ISNUMBER(FC118:FC314),ROW(FC118:FC314),"")))</f>
        <v>7</v>
      </c>
      <c r="FE118" s="12">
        <f>IF('Données projet'!$A$218&gt;35,FE117+FD118-FM117,IF(A118&lt;'Données projet'!$A$218,$FB$205^A118,IF(A118='Données projet'!$A$218,'Données projet'!$B$218,FE117+FD118-FM117)))</f>
        <v>500.99999999999994</v>
      </c>
      <c r="FF118" s="17">
        <f>FE118*VLOOKUP('Données projet'!$B$16,Paramètres!$A$1:$I$89,3,0)*VLOOKUP('Données projet'!$B$16,Paramètres!$A$1:$I$89,5,0)</f>
        <v>367.33319999999998</v>
      </c>
      <c r="FG118" s="13">
        <f t="shared" si="101"/>
        <v>85.121494850031411</v>
      </c>
      <c r="FH118" s="20">
        <f t="shared" si="76"/>
        <v>788.02526019713798</v>
      </c>
      <c r="FI118" s="59">
        <f t="shared" si="77"/>
        <v>1062.7361192893125</v>
      </c>
      <c r="FJ118" s="59">
        <f ca="1">AVERAGE(OFFSET($FI$3,0,0,'Données projet'!$E$16+1,1))-AVERAGE(OFFSET($H$3,0,0,'Données projet'!$E$16+1,1))</f>
        <v>525.22234644068908</v>
      </c>
      <c r="FK118" s="59">
        <f t="shared" si="102"/>
        <v>311.5550296132094</v>
      </c>
      <c r="FL118" s="15" t="str">
        <f>IF(ISNA(VLOOKUP(A118,'Données projet'!$A$217:$I$237,3,0)),0,VLOOKUP(A118,'Données projet'!$A$217:$I$237,3,0))</f>
        <v>CR</v>
      </c>
      <c r="FM118" s="15">
        <f>IF(ISNA(VLOOKUP(A118,'Données projet'!$A$217:$I$237,4,0)),0,VLOOKUP(A118,'Données projet'!$A$217:$I$237,4,0))</f>
        <v>501</v>
      </c>
      <c r="FN118" s="16">
        <f>IF(ISNA(VLOOKUP(A118,'Données projet'!$A$217:$I$237,5,0)),0%,VLOOKUP(A118,'Données projet'!$A$217:$I$237,5,0)*VLOOKUP('Données projet'!$B$16,Paramètres!$A$1:$I$89,7,0))</f>
        <v>0.30099999999999999</v>
      </c>
      <c r="FO118" s="16">
        <f>IF(ISNA(VLOOKUP(A118,'Données projet'!$A$217:$I$237,6,0)),0%,VLOOKUP(A118,'Données projet'!$A$217:$I$237,6,0)*VLOOKUP('Données projet'!$B$16,Paramètres!$A$1:$I$89,7,0))</f>
        <v>4.3000000000000003E-2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141.91812017186152</v>
      </c>
      <c r="FR118" s="21">
        <f>EXP(-LN(2)/25)*FR117+(1-EXP(-LN(2)/25))/(LN(2)/25)*Calculateur!FM118*Calculateur!FO118*VLOOKUP('Données projet'!$B$16,Paramètres!$A$1:$I$89,3,0)*0.475*44/12</f>
        <v>38.719214054741869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180.6373342266034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-1.7053025658242404E-13</v>
      </c>
      <c r="GA118" s="17">
        <f>FZ118*VLOOKUP('Données projet'!$B$17,Paramètres!$A$1:$I$89,3,0)*VLOOKUP('Données projet'!$B$17,Paramètres!$A$1:$I$89,5,0)</f>
        <v>-1.1173142411280423E-13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298.45881427802874</v>
      </c>
      <c r="GF118" s="59">
        <f t="shared" si="104"/>
        <v>287.00279305562356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34.536336723257776</v>
      </c>
      <c r="GM118" s="21">
        <f>EXP(-LN(2)/25)*GM117+(1-EXP(-LN(2)/25))/(LN(2)/25)*Calculateur!GH118*Calculateur!GJ118*VLOOKUP('Données projet'!$B$17,Paramètres!$A$1:$I$89,3,0)*0.475*44/12</f>
        <v>0.71788372435773207</v>
      </c>
      <c r="GN118" s="21">
        <f>EXP(-LN(2)/2)*GN117+(1-EXP(-LN(2)/2))/(LN(2)/2)*GH118*GK118*VLOOKUP('Données projet'!$B$17,Paramètres!$A$1:$I$89,3,0)*0.475*44/12</f>
        <v>1.848776559533564E-4</v>
      </c>
      <c r="GO118" s="21">
        <f t="shared" si="81"/>
        <v>35.254405325271463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135.66666666666666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6.8888888888888893</v>
      </c>
      <c r="N119" s="13">
        <f>IF('Données projet'!$A$36&gt;35,N118+M119-V118,IF(A119&lt;'Données projet'!$A$36,$K$205^A119,IF(A119='Données projet'!$A$36,'Données projet'!$B$36,N118+M119-V118)))</f>
        <v>348.77777777777726</v>
      </c>
      <c r="O119" s="13">
        <f>N119*VLOOKUP('Données projet'!$B$9,Paramètres!$A$1:$I$89,3,0)*VLOOKUP('Données projet'!$B$9,Paramètres!$A$1:$I$89,5,0)</f>
        <v>315.5741333333329</v>
      </c>
      <c r="P119" s="13">
        <f t="shared" si="87"/>
        <v>74.431720913378854</v>
      </c>
      <c r="Q119" s="20">
        <f t="shared" si="107"/>
        <v>679.26019614635629</v>
      </c>
      <c r="R119" s="59">
        <f t="shared" si="55"/>
        <v>954.29411353299963</v>
      </c>
      <c r="S119" s="59">
        <f ca="1">AVERAGE(OFFSET($R$3,0,0,'Données projet'!$E$9+1,1))-AVERAGE(OFFSET($H$3,0,0,'Données projet'!$E$9+1,1))</f>
        <v>600.52384738314299</v>
      </c>
      <c r="T119" s="59">
        <f t="shared" si="88"/>
        <v>314.84650287986256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32.211493738437994</v>
      </c>
      <c r="AA119" s="21">
        <f>EXP(-LN(2)/25)*AA118+(1-EXP(-LN(2)/25))/(LN(2)/25)*Calculateur!V119*Calculateur!X119*VLOOKUP('Données projet'!$B$9,Paramètres!$A$1:$I$89,3,0)*0.475*44/12</f>
        <v>22.071319782453696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54.282813520891693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-1.4897523215040567E-13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436.77894860279537</v>
      </c>
      <c r="AO119" s="59">
        <f t="shared" si="90"/>
        <v>398.63561969573072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87.028832048503475</v>
      </c>
      <c r="AV119" s="21">
        <f>EXP(-LN(2)/25)*AV118+(1-EXP(-LN(2)/25))/(LN(2)/25)*Calculateur!AQ119*Calculateur!AS119*VLOOKUP('Données projet'!$B$10,Paramètres!$A$1:$I$89,3,0)*0.475*44/12</f>
        <v>12.280312267594656</v>
      </c>
      <c r="AW119" s="21">
        <f>EXP(-LN(2)/2)*AW118+(1-EXP(-LN(2)/2))/(LN(2)/2)*AQ119*AT119*VLOOKUP('Données projet'!$B$10,Paramètres!$A$1:$I$89,3,0)*0.475*44/12</f>
        <v>1.7953517501228897E-13</v>
      </c>
      <c r="AX119" s="21">
        <f t="shared" si="60"/>
        <v>99.309144316098312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-1.3567387213697657E-13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344.97546176735341</v>
      </c>
      <c r="BJ119" s="59">
        <f t="shared" si="92"/>
        <v>331.15461126257492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50.676161632732999</v>
      </c>
      <c r="BQ119" s="21">
        <f>EXP(-LN(2)/25)*BQ118+(1-EXP(-LN(2)/25))/(LN(2)/25)*Calculateur!BL119*Calculateur!BN119*VLOOKUP('Données projet'!$B$11,Paramètres!$A$1:$I$89,3,0)*0.475*44/12</f>
        <v>1.0450599563175051</v>
      </c>
      <c r="BR119" s="21">
        <f>EXP(-LN(2)/2)*BR118+(1-EXP(-LN(2)/2))/(LN(2)/2)*BL119*BO119*VLOOKUP('Données projet'!$B$11,Paramètres!$A$1:$I$89,3,0)*0.475*44/12</f>
        <v>1.5874143940331154E-4</v>
      </c>
      <c r="BS119" s="22">
        <f t="shared" si="63"/>
        <v>51.721380330489907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-1.7053025658242404E-13</v>
      </c>
      <c r="BZ119" s="13">
        <f>BY119*VLOOKUP('Données projet'!$B$12,Paramètres!$A$1:$I$89,3,0)*VLOOKUP('Données projet'!$B$12,Paramètres!$A$1:$I$89,5,0)</f>
        <v>-1.3567387213697657E-13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344.97546176735341</v>
      </c>
      <c r="CE119" s="59">
        <f t="shared" si="94"/>
        <v>331.15461126257492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50.676161632732999</v>
      </c>
      <c r="CL119" s="21">
        <f>EXP(-LN(2)/25)*CL118+(1-EXP(-LN(2)/25))/(LN(2)/25)*Calculateur!CG119*Calculateur!CI119*VLOOKUP('Données projet'!$B$12,Paramètres!$A$1:$I$89,3,0)*0.475*44/12</f>
        <v>1.0450599563175051</v>
      </c>
      <c r="CM119" s="21">
        <f>EXP(-LN(2)/2)*CM118+(1-EXP(-LN(2)/2))/(LN(2)/2)*CG119*CJ119*VLOOKUP('Données projet'!$B$12,Paramètres!$A$1:$I$89,3,0)*0.475*44/12</f>
        <v>1.5874143940331154E-4</v>
      </c>
      <c r="CN119" s="22">
        <f t="shared" si="66"/>
        <v>51.721380330489907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227.19465047672969</v>
      </c>
      <c r="CZ119" s="59">
        <f t="shared" si="96"/>
        <v>529.77979244134417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17.938034638151549</v>
      </c>
      <c r="DG119" s="21">
        <f>EXP(-LN(2)/25)*DG118+(1-EXP(-LN(2)/25))/(LN(2)/25)*Calculateur!DB119*Calculateur!DD119*VLOOKUP('Données projet'!$B$13,Paramètres!$A$1:$I$89,3,0)*0.475*44/12</f>
        <v>2.9195061386542074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20.857540776805756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240.09151195692266</v>
      </c>
      <c r="DU119" s="59">
        <f t="shared" si="98"/>
        <v>559.47775134103165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19.110455202736592</v>
      </c>
      <c r="EB119" s="21">
        <f>EXP(-LN(2)/25)*EB118+(1-EXP(-LN(2)/25))/(LN(2)/25)*Calculateur!DW119*Calculateur!DY119*VLOOKUP('Données projet'!$B$14,Paramètres!$A$1:$I$89,3,0)*0.475*44/12</f>
        <v>3.110323533337489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22.220778736074081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5.6843418860808015E-14</v>
      </c>
      <c r="EK119" s="17">
        <f>EJ119*VLOOKUP('Données projet'!$B$15,Paramètres!$A$1:$I$89,3,0)*VLOOKUP('Données projet'!$B$15,Paramètres!$A$1:$I$89,5,0)</f>
        <v>4.4337866711430253E-14</v>
      </c>
      <c r="EL119" s="13">
        <f t="shared" si="99"/>
        <v>7.3222115536967035E-13</v>
      </c>
      <c r="EM119" s="20">
        <f t="shared" si="73"/>
        <v>1.3525069634579169E-12</v>
      </c>
      <c r="EN119" s="59">
        <f t="shared" si="74"/>
        <v>275.0339173866447</v>
      </c>
      <c r="EO119" s="59">
        <f ca="1">AVERAGE(OFFSET($EN$3,0,0,'Données projet'!$E$15+1,1))-AVERAGE(OFFSET($H$3,0,0,'Données projet'!$E$15+1,1))</f>
        <v>328.79469965518484</v>
      </c>
      <c r="EP119" s="59">
        <f t="shared" si="100"/>
        <v>322.06400652269735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26.198162308132755</v>
      </c>
      <c r="EW119" s="21">
        <f>EXP(-LN(2)/25)*EW118+(1-EXP(-LN(2)/25))/(LN(2)/25)*Calculateur!ER119*Calculateur!ET119*VLOOKUP('Données projet'!$B$15,Paramètres!$A$1:$I$89,3,0)*0.475*44/12</f>
        <v>2.584488393472006</v>
      </c>
      <c r="EX119" s="21">
        <f>EXP(-LN(2)/2)*EX118+(1-EXP(-LN(2)/2))/(LN(2)/2)*ER119*EU119*VLOOKUP('Données projet'!$B$15,Paramètres!$A$1:$I$89,3,0)*0.475*44/12</f>
        <v>6.1456540276694793E-6</v>
      </c>
      <c r="EY119" s="22">
        <f t="shared" si="75"/>
        <v>28.782656847258789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-5.6843418860808015E-14</v>
      </c>
      <c r="FF119" s="17">
        <f>FE119*VLOOKUP('Données projet'!$B$16,Paramètres!$A$1:$I$89,3,0)*VLOOKUP('Données projet'!$B$16,Paramètres!$A$1:$I$89,5,0)</f>
        <v>-4.1677594708744434E-14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525.22234644068908</v>
      </c>
      <c r="FK119" s="59">
        <f t="shared" si="102"/>
        <v>311.5550296132094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139.13519239679738</v>
      </c>
      <c r="FR119" s="21">
        <f>EXP(-LN(2)/25)*FR118+(1-EXP(-LN(2)/25))/(LN(2)/25)*Calculateur!FM119*Calculateur!FO119*VLOOKUP('Données projet'!$B$16,Paramètres!$A$1:$I$89,3,0)*0.475*44/12</f>
        <v>37.660435110259982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176.79562750705736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-1.7053025658242404E-13</v>
      </c>
      <c r="GA119" s="17">
        <f>FZ119*VLOOKUP('Données projet'!$B$17,Paramètres!$A$1:$I$89,3,0)*VLOOKUP('Données projet'!$B$17,Paramètres!$A$1:$I$89,5,0)</f>
        <v>-1.1173142411280423E-13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298.45881427802874</v>
      </c>
      <c r="GF119" s="59">
        <f t="shared" si="104"/>
        <v>287.00279305562356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33.859100225200088</v>
      </c>
      <c r="GM119" s="21">
        <f>EXP(-LN(2)/25)*GM118+(1-EXP(-LN(2)/25))/(LN(2)/25)*Calculateur!GH119*Calculateur!GJ119*VLOOKUP('Données projet'!$B$17,Paramètres!$A$1:$I$89,3,0)*0.475*44/12</f>
        <v>0.69825315616330552</v>
      </c>
      <c r="GN119" s="21">
        <f>EXP(-LN(2)/2)*GN118+(1-EXP(-LN(2)/2))/(LN(2)/2)*GH119*GK119*VLOOKUP('Données projet'!$B$17,Paramètres!$A$1:$I$89,3,0)*0.475*44/12</f>
        <v>1.307282442144918E-4</v>
      </c>
      <c r="GO119" s="21">
        <f t="shared" si="81"/>
        <v>34.557484109607607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135.66666666666666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6.8888888888888893</v>
      </c>
      <c r="N120" s="13">
        <f>IF('Données projet'!$A$36&gt;35,N119+M120-V119,IF(A120&lt;'Données projet'!$A$36,$K$205^A120,IF(A120='Données projet'!$A$36,'Données projet'!$B$36,N119+M120-V119)))</f>
        <v>355.66666666666617</v>
      </c>
      <c r="O120" s="13">
        <f>N120*VLOOKUP('Données projet'!$B$9,Paramètres!$A$1:$I$89,3,0)*VLOOKUP('Données projet'!$B$9,Paramètres!$A$1:$I$89,5,0)</f>
        <v>321.80719999999957</v>
      </c>
      <c r="P120" s="13">
        <f t="shared" si="87"/>
        <v>75.729253434901665</v>
      </c>
      <c r="Q120" s="20">
        <f t="shared" si="107"/>
        <v>692.37598973245292</v>
      </c>
      <c r="R120" s="59">
        <f t="shared" si="55"/>
        <v>967.72736107440619</v>
      </c>
      <c r="S120" s="59">
        <f ca="1">AVERAGE(OFFSET($R$3,0,0,'Données projet'!$E$9+1,1))-AVERAGE(OFFSET($H$3,0,0,'Données projet'!$E$9+1,1))</f>
        <v>600.52384738314299</v>
      </c>
      <c r="T120" s="59">
        <f t="shared" si="88"/>
        <v>314.84650287986256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31.57984599329842</v>
      </c>
      <c r="AA120" s="21">
        <f>EXP(-LN(2)/25)*AA119+(1-EXP(-LN(2)/25))/(LN(2)/25)*Calculateur!V120*Calculateur!X120*VLOOKUP('Données projet'!$B$9,Paramètres!$A$1:$I$89,3,0)*0.475*44/12</f>
        <v>21.467778382322237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53.047624375620657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-1.4897523215040567E-13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436.77894860279537</v>
      </c>
      <c r="AO120" s="59">
        <f t="shared" si="90"/>
        <v>398.63561969573072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85.322249734378431</v>
      </c>
      <c r="AV120" s="21">
        <f>EXP(-LN(2)/25)*AV119+(1-EXP(-LN(2)/25))/(LN(2)/25)*Calculateur!AQ120*Calculateur!AS120*VLOOKUP('Données projet'!$B$10,Paramètres!$A$1:$I$89,3,0)*0.475*44/12</f>
        <v>11.944506482843725</v>
      </c>
      <c r="AW120" s="21">
        <f>EXP(-LN(2)/2)*AW119+(1-EXP(-LN(2)/2))/(LN(2)/2)*AQ120*AT120*VLOOKUP('Données projet'!$B$10,Paramètres!$A$1:$I$89,3,0)*0.475*44/12</f>
        <v>1.2695053971270313E-13</v>
      </c>
      <c r="AX120" s="21">
        <f t="shared" si="60"/>
        <v>97.26675621722228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-1.3567387213697657E-13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344.97546176735341</v>
      </c>
      <c r="BJ120" s="59">
        <f t="shared" si="92"/>
        <v>331.15461126257492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49.682433012521649</v>
      </c>
      <c r="BQ120" s="21">
        <f>EXP(-LN(2)/25)*BQ119+(1-EXP(-LN(2)/25))/(LN(2)/25)*Calculateur!BL120*Calculateur!BN120*VLOOKUP('Données projet'!$B$11,Paramètres!$A$1:$I$89,3,0)*0.475*44/12</f>
        <v>1.0164827368546885</v>
      </c>
      <c r="BR120" s="21">
        <f>EXP(-LN(2)/2)*BR119+(1-EXP(-LN(2)/2))/(LN(2)/2)*BL120*BO120*VLOOKUP('Données projet'!$B$11,Paramètres!$A$1:$I$89,3,0)*0.475*44/12</f>
        <v>1.1224714825739501E-4</v>
      </c>
      <c r="BS120" s="22">
        <f t="shared" si="63"/>
        <v>50.699027996524599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-1.7053025658242404E-13</v>
      </c>
      <c r="BZ120" s="13">
        <f>BY120*VLOOKUP('Données projet'!$B$12,Paramètres!$A$1:$I$89,3,0)*VLOOKUP('Données projet'!$B$12,Paramètres!$A$1:$I$89,5,0)</f>
        <v>-1.3567387213697657E-13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344.97546176735341</v>
      </c>
      <c r="CE120" s="59">
        <f t="shared" si="94"/>
        <v>331.15461126257492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49.682433012521649</v>
      </c>
      <c r="CL120" s="21">
        <f>EXP(-LN(2)/25)*CL119+(1-EXP(-LN(2)/25))/(LN(2)/25)*Calculateur!CG120*Calculateur!CI120*VLOOKUP('Données projet'!$B$12,Paramètres!$A$1:$I$89,3,0)*0.475*44/12</f>
        <v>1.0164827368546885</v>
      </c>
      <c r="CM120" s="21">
        <f>EXP(-LN(2)/2)*CM119+(1-EXP(-LN(2)/2))/(LN(2)/2)*CG120*CJ120*VLOOKUP('Données projet'!$B$12,Paramètres!$A$1:$I$89,3,0)*0.475*44/12</f>
        <v>1.1224714825739501E-4</v>
      </c>
      <c r="CN120" s="22">
        <f t="shared" si="66"/>
        <v>50.699027996524599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227.19465047672969</v>
      </c>
      <c r="CZ120" s="59">
        <f t="shared" si="96"/>
        <v>529.77979244134417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17.586280720018181</v>
      </c>
      <c r="DG120" s="21">
        <f>EXP(-LN(2)/25)*DG119+(1-EXP(-LN(2)/25))/(LN(2)/25)*Calculateur!DB120*Calculateur!DD120*VLOOKUP('Données projet'!$B$13,Paramètres!$A$1:$I$89,3,0)*0.475*44/12</f>
        <v>2.8396720897625527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20.425952809780732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240.09151195692266</v>
      </c>
      <c r="DU120" s="59">
        <f t="shared" si="98"/>
        <v>559.47775134103165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18.735710832437643</v>
      </c>
      <c r="EB120" s="21">
        <f>EXP(-LN(2)/25)*EB119+(1-EXP(-LN(2)/25))/(LN(2)/25)*Calculateur!DW120*Calculateur!DY120*VLOOKUP('Données projet'!$B$14,Paramètres!$A$1:$I$89,3,0)*0.475*44/12</f>
        <v>3.0252715727535695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21.760982405191214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5.6843418860808015E-14</v>
      </c>
      <c r="EK120" s="17">
        <f>EJ120*VLOOKUP('Données projet'!$B$15,Paramètres!$A$1:$I$89,3,0)*VLOOKUP('Données projet'!$B$15,Paramètres!$A$1:$I$89,5,0)</f>
        <v>4.4337866711430253E-14</v>
      </c>
      <c r="EL120" s="13">
        <f t="shared" si="99"/>
        <v>7.3222115536967035E-13</v>
      </c>
      <c r="EM120" s="20">
        <f t="shared" si="73"/>
        <v>1.3525069634579169E-12</v>
      </c>
      <c r="EN120" s="59">
        <f t="shared" si="74"/>
        <v>275.35137134195463</v>
      </c>
      <c r="EO120" s="59">
        <f ca="1">AVERAGE(OFFSET($EN$3,0,0,'Données projet'!$E$15+1,1))-AVERAGE(OFFSET($H$3,0,0,'Données projet'!$E$15+1,1))</f>
        <v>328.79469965518484</v>
      </c>
      <c r="EP120" s="59">
        <f t="shared" si="100"/>
        <v>322.06400652269735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25.684432324571453</v>
      </c>
      <c r="EW120" s="21">
        <f>EXP(-LN(2)/25)*EW119+(1-EXP(-LN(2)/25))/(LN(2)/25)*Calculateur!ER120*Calculateur!ET120*VLOOKUP('Données projet'!$B$15,Paramètres!$A$1:$I$89,3,0)*0.475*44/12</f>
        <v>2.5138154224401763</v>
      </c>
      <c r="EX120" s="21">
        <f>EXP(-LN(2)/2)*EX119+(1-EXP(-LN(2)/2))/(LN(2)/2)*ER120*EU120*VLOOKUP('Données projet'!$B$15,Paramètres!$A$1:$I$89,3,0)*0.475*44/12</f>
        <v>4.3456336377915069E-6</v>
      </c>
      <c r="EY120" s="22">
        <f t="shared" si="75"/>
        <v>28.198252092645266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-5.6843418860808015E-14</v>
      </c>
      <c r="FF120" s="17">
        <f>FE120*VLOOKUP('Données projet'!$B$16,Paramètres!$A$1:$I$89,3,0)*VLOOKUP('Données projet'!$B$16,Paramètres!$A$1:$I$89,5,0)</f>
        <v>-4.1677594708744434E-14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525.22234644068908</v>
      </c>
      <c r="FK120" s="59">
        <f t="shared" si="102"/>
        <v>311.5550296132094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136.4068361379839</v>
      </c>
      <c r="FR120" s="21">
        <f>EXP(-LN(2)/25)*FR119+(1-EXP(-LN(2)/25))/(LN(2)/25)*Calculateur!FM120*Calculateur!FO120*VLOOKUP('Données projet'!$B$16,Paramètres!$A$1:$I$89,3,0)*0.475*44/12</f>
        <v>36.630608531693717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173.03744466967763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-1.7053025658242404E-13</v>
      </c>
      <c r="GA120" s="17">
        <f>FZ120*VLOOKUP('Données projet'!$B$17,Paramètres!$A$1:$I$89,3,0)*VLOOKUP('Données projet'!$B$17,Paramètres!$A$1:$I$89,5,0)</f>
        <v>-1.1173142411280423E-13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298.45881427802874</v>
      </c>
      <c r="GF120" s="59">
        <f t="shared" si="104"/>
        <v>287.00279305562356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33.195143921795832</v>
      </c>
      <c r="GM120" s="21">
        <f>EXP(-LN(2)/25)*GM119+(1-EXP(-LN(2)/25))/(LN(2)/25)*Calculateur!GH120*Calculateur!GJ120*VLOOKUP('Données projet'!$B$17,Paramètres!$A$1:$I$89,3,0)*0.475*44/12</f>
        <v>0.67915938688848232</v>
      </c>
      <c r="GN120" s="21">
        <f>EXP(-LN(2)/2)*GN119+(1-EXP(-LN(2)/2))/(LN(2)/2)*GH120*GK120*VLOOKUP('Données projet'!$B$17,Paramètres!$A$1:$I$89,3,0)*0.475*44/12</f>
        <v>9.2438827976678198E-5</v>
      </c>
      <c r="GO120" s="21">
        <f t="shared" si="81"/>
        <v>33.874395747512288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135.66666666666666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6.8888888888888893</v>
      </c>
      <c r="N121" s="13">
        <f>IF('Données projet'!$A$36&gt;35,N120+M121-V120,IF(A121&lt;'Données projet'!$A$36,$K$205^A121,IF(A121='Données projet'!$A$36,'Données projet'!$B$36,N120+M121-V120)))</f>
        <v>362.55555555555509</v>
      </c>
      <c r="O121" s="13">
        <f>N121*VLOOKUP('Données projet'!$B$9,Paramètres!$A$1:$I$89,3,0)*VLOOKUP('Données projet'!$B$9,Paramètres!$A$1:$I$89,5,0)</f>
        <v>328.04026666666624</v>
      </c>
      <c r="P121" s="13">
        <f t="shared" si="87"/>
        <v>77.023863712411838</v>
      </c>
      <c r="Q121" s="20">
        <f t="shared" si="107"/>
        <v>705.48669374356086</v>
      </c>
      <c r="R121" s="59">
        <f t="shared" si="55"/>
        <v>981.15001192442014</v>
      </c>
      <c r="S121" s="59">
        <f ca="1">AVERAGE(OFFSET($R$3,0,0,'Données projet'!$E$9+1,1))-AVERAGE(OFFSET($H$3,0,0,'Données projet'!$E$9+1,1))</f>
        <v>600.52384738314299</v>
      </c>
      <c r="T121" s="59">
        <f t="shared" si="88"/>
        <v>314.84650287986256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30.960584475173949</v>
      </c>
      <c r="AA121" s="21">
        <f>EXP(-LN(2)/25)*AA120+(1-EXP(-LN(2)/25))/(LN(2)/25)*Calculateur!V121*Calculateur!X121*VLOOKUP('Données projet'!$B$9,Paramètres!$A$1:$I$89,3,0)*0.475*44/12</f>
        <v>20.880740853516237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51.841325328690189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-1.4897523215040567E-13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436.77894860279537</v>
      </c>
      <c r="AO121" s="59">
        <f t="shared" si="90"/>
        <v>398.63561969573072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83.649132458520938</v>
      </c>
      <c r="AV121" s="21">
        <f>EXP(-LN(2)/25)*AV120+(1-EXP(-LN(2)/25))/(LN(2)/25)*Calculateur!AQ121*Calculateur!AS121*VLOOKUP('Données projet'!$B$10,Paramètres!$A$1:$I$89,3,0)*0.475*44/12</f>
        <v>11.617883324936066</v>
      </c>
      <c r="AW121" s="21">
        <f>EXP(-LN(2)/2)*AW120+(1-EXP(-LN(2)/2))/(LN(2)/2)*AQ121*AT121*VLOOKUP('Données projet'!$B$10,Paramètres!$A$1:$I$89,3,0)*0.475*44/12</f>
        <v>8.9767587506144483E-14</v>
      </c>
      <c r="AX121" s="21">
        <f t="shared" si="60"/>
        <v>95.267015783457083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-1.3567387213697657E-13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344.97546176735341</v>
      </c>
      <c r="BJ121" s="59">
        <f t="shared" si="92"/>
        <v>331.15461126257492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48.708190804438033</v>
      </c>
      <c r="BQ121" s="21">
        <f>EXP(-LN(2)/25)*BQ120+(1-EXP(-LN(2)/25))/(LN(2)/25)*Calculateur!BL121*Calculateur!BN121*VLOOKUP('Données projet'!$B$11,Paramètres!$A$1:$I$89,3,0)*0.475*44/12</f>
        <v>0.98868696296089309</v>
      </c>
      <c r="BR121" s="21">
        <f>EXP(-LN(2)/2)*BR120+(1-EXP(-LN(2)/2))/(LN(2)/2)*BL121*BO121*VLOOKUP('Données projet'!$B$11,Paramètres!$A$1:$I$89,3,0)*0.475*44/12</f>
        <v>7.9370719701655769E-5</v>
      </c>
      <c r="BS121" s="22">
        <f t="shared" si="63"/>
        <v>49.696957138118627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-1.7053025658242404E-13</v>
      </c>
      <c r="BZ121" s="13">
        <f>BY121*VLOOKUP('Données projet'!$B$12,Paramètres!$A$1:$I$89,3,0)*VLOOKUP('Données projet'!$B$12,Paramètres!$A$1:$I$89,5,0)</f>
        <v>-1.3567387213697657E-13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344.97546176735341</v>
      </c>
      <c r="CE121" s="59">
        <f t="shared" si="94"/>
        <v>331.15461126257492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48.708190804438033</v>
      </c>
      <c r="CL121" s="21">
        <f>EXP(-LN(2)/25)*CL120+(1-EXP(-LN(2)/25))/(LN(2)/25)*Calculateur!CG121*Calculateur!CI121*VLOOKUP('Données projet'!$B$12,Paramètres!$A$1:$I$89,3,0)*0.475*44/12</f>
        <v>0.98868696296089309</v>
      </c>
      <c r="CM121" s="21">
        <f>EXP(-LN(2)/2)*CM120+(1-EXP(-LN(2)/2))/(LN(2)/2)*CG121*CJ121*VLOOKUP('Données projet'!$B$12,Paramètres!$A$1:$I$89,3,0)*0.475*44/12</f>
        <v>7.9370719701655769E-5</v>
      </c>
      <c r="CN121" s="22">
        <f t="shared" si="66"/>
        <v>49.696957138118627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227.19465047672969</v>
      </c>
      <c r="CZ121" s="59">
        <f t="shared" si="96"/>
        <v>529.77979244134417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17.241424481670702</v>
      </c>
      <c r="DG121" s="21">
        <f>EXP(-LN(2)/25)*DG120+(1-EXP(-LN(2)/25))/(LN(2)/25)*Calculateur!DB121*Calculateur!DD121*VLOOKUP('Données projet'!$B$13,Paramètres!$A$1:$I$89,3,0)*0.475*44/12</f>
        <v>2.7620211071361305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20.003445588806834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240.09151195692266</v>
      </c>
      <c r="DU121" s="59">
        <f t="shared" si="98"/>
        <v>559.47775134103165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18.368314970668763</v>
      </c>
      <c r="EB121" s="21">
        <f>EXP(-LN(2)/25)*EB120+(1-EXP(-LN(2)/25))/(LN(2)/25)*Calculateur!DW121*Calculateur!DY121*VLOOKUP('Données projet'!$B$14,Paramètres!$A$1:$I$89,3,0)*0.475*44/12</f>
        <v>2.9425453625045055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21.310860333173267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5.6843418860808015E-14</v>
      </c>
      <c r="EK121" s="17">
        <f>EJ121*VLOOKUP('Données projet'!$B$15,Paramètres!$A$1:$I$89,3,0)*VLOOKUP('Données projet'!$B$15,Paramètres!$A$1:$I$89,5,0)</f>
        <v>4.4337866711430253E-14</v>
      </c>
      <c r="EL121" s="13">
        <f t="shared" si="99"/>
        <v>7.3222115536967035E-13</v>
      </c>
      <c r="EM121" s="20">
        <f t="shared" si="73"/>
        <v>1.3525069634579169E-12</v>
      </c>
      <c r="EN121" s="59">
        <f t="shared" si="74"/>
        <v>275.6633181808607</v>
      </c>
      <c r="EO121" s="59">
        <f ca="1">AVERAGE(OFFSET($EN$3,0,0,'Données projet'!$E$15+1,1))-AVERAGE(OFFSET($H$3,0,0,'Données projet'!$E$15+1,1))</f>
        <v>328.79469965518484</v>
      </c>
      <c r="EP121" s="59">
        <f t="shared" si="100"/>
        <v>322.06400652269735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25.180776272643442</v>
      </c>
      <c r="EW121" s="21">
        <f>EXP(-LN(2)/25)*EW120+(1-EXP(-LN(2)/25))/(LN(2)/25)*Calculateur!ER121*Calculateur!ET121*VLOOKUP('Données projet'!$B$15,Paramètres!$A$1:$I$89,3,0)*0.475*44/12</f>
        <v>2.4450750075177421</v>
      </c>
      <c r="EX121" s="21">
        <f>EXP(-LN(2)/2)*EX120+(1-EXP(-LN(2)/2))/(LN(2)/2)*ER121*EU121*VLOOKUP('Données projet'!$B$15,Paramètres!$A$1:$I$89,3,0)*0.475*44/12</f>
        <v>3.0728270138347396E-6</v>
      </c>
      <c r="EY121" s="22">
        <f t="shared" si="75"/>
        <v>27.625854352988199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-5.6843418860808015E-14</v>
      </c>
      <c r="FF121" s="17">
        <f>FE121*VLOOKUP('Données projet'!$B$16,Paramètres!$A$1:$I$89,3,0)*VLOOKUP('Données projet'!$B$16,Paramètres!$A$1:$I$89,5,0)</f>
        <v>-4.1677594708744434E-14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525.22234644068908</v>
      </c>
      <c r="FK121" s="59">
        <f t="shared" si="102"/>
        <v>311.5550296132094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133.73198128127277</v>
      </c>
      <c r="FR121" s="21">
        <f>EXP(-LN(2)/25)*FR120+(1-EXP(-LN(2)/25))/(LN(2)/25)*Calculateur!FM121*Calculateur!FO121*VLOOKUP('Données projet'!$B$16,Paramètres!$A$1:$I$89,3,0)*0.475*44/12</f>
        <v>35.628942615074571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169.36092389634734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-1.7053025658242404E-13</v>
      </c>
      <c r="GA121" s="17">
        <f>FZ121*VLOOKUP('Données projet'!$B$17,Paramètres!$A$1:$I$89,3,0)*VLOOKUP('Données projet'!$B$17,Paramètres!$A$1:$I$89,5,0)</f>
        <v>-1.1173142411280423E-13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298.45881427802874</v>
      </c>
      <c r="GF121" s="59">
        <f t="shared" si="104"/>
        <v>287.00279305562356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32.54420739652798</v>
      </c>
      <c r="GM121" s="21">
        <f>EXP(-LN(2)/25)*GM120+(1-EXP(-LN(2)/25))/(LN(2)/25)*Calculateur!GH121*Calculateur!GJ121*VLOOKUP('Données projet'!$B$17,Paramètres!$A$1:$I$89,3,0)*0.475*44/12</f>
        <v>0.66058773773857682</v>
      </c>
      <c r="GN121" s="21">
        <f>EXP(-LN(2)/2)*GN120+(1-EXP(-LN(2)/2))/(LN(2)/2)*GH121*GK121*VLOOKUP('Données projet'!$B$17,Paramètres!$A$1:$I$89,3,0)*0.475*44/12</f>
        <v>6.5364122107245898E-5</v>
      </c>
      <c r="GO121" s="21">
        <f t="shared" si="81"/>
        <v>33.204860498388662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135.66666666666666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6.8888888888888893</v>
      </c>
      <c r="N122" s="13">
        <f>IF('Données projet'!$A$36&gt;35,N121+M122-V121,IF(A122&lt;'Données projet'!$A$36,$K$205^A122,IF(A122='Données projet'!$A$36,'Données projet'!$B$36,N121+M122-V121)))</f>
        <v>369.444444444444</v>
      </c>
      <c r="O122" s="13">
        <f>N122*VLOOKUP('Données projet'!$B$9,Paramètres!$A$1:$I$89,3,0)*VLOOKUP('Données projet'!$B$9,Paramètres!$A$1:$I$89,5,0)</f>
        <v>334.27333333333291</v>
      </c>
      <c r="P122" s="13">
        <f t="shared" si="87"/>
        <v>78.315613673397451</v>
      </c>
      <c r="Q122" s="20">
        <f t="shared" si="107"/>
        <v>718.59241603672206</v>
      </c>
      <c r="R122" s="59">
        <f t="shared" si="55"/>
        <v>994.562269476241</v>
      </c>
      <c r="S122" s="59">
        <f ca="1">AVERAGE(OFFSET($R$3,0,0,'Données projet'!$E$9+1,1))-AVERAGE(OFFSET($H$3,0,0,'Données projet'!$E$9+1,1))</f>
        <v>600.52384738314299</v>
      </c>
      <c r="T122" s="59">
        <f t="shared" si="88"/>
        <v>314.84650287986256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30.353466297707669</v>
      </c>
      <c r="AA122" s="21">
        <f>EXP(-LN(2)/25)*AA121+(1-EXP(-LN(2)/25))/(LN(2)/25)*Calculateur!V122*Calculateur!X122*VLOOKUP('Données projet'!$B$9,Paramètres!$A$1:$I$89,3,0)*0.475*44/12</f>
        <v>20.309755896806397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50.663222194514063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-1.4897523215040567E-13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436.77894860279537</v>
      </c>
      <c r="AO122" s="59">
        <f t="shared" si="90"/>
        <v>398.63561969573072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82.008823991942251</v>
      </c>
      <c r="AV122" s="21">
        <f>EXP(-LN(2)/25)*AV121+(1-EXP(-LN(2)/25))/(LN(2)/25)*Calculateur!AQ122*Calculateur!AS122*VLOOKUP('Données projet'!$B$10,Paramètres!$A$1:$I$89,3,0)*0.475*44/12</f>
        <v>11.300191694457759</v>
      </c>
      <c r="AW122" s="21">
        <f>EXP(-LN(2)/2)*AW121+(1-EXP(-LN(2)/2))/(LN(2)/2)*AQ122*AT122*VLOOKUP('Données projet'!$B$10,Paramètres!$A$1:$I$89,3,0)*0.475*44/12</f>
        <v>6.3475269856351563E-14</v>
      </c>
      <c r="AX122" s="21">
        <f t="shared" si="60"/>
        <v>93.309015686400073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-1.3567387213697657E-13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344.97546176735341</v>
      </c>
      <c r="BJ122" s="59">
        <f t="shared" si="92"/>
        <v>331.15461126257492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47.753052891825867</v>
      </c>
      <c r="BQ122" s="21">
        <f>EXP(-LN(2)/25)*BQ121+(1-EXP(-LN(2)/25))/(LN(2)/25)*Calculateur!BL122*Calculateur!BN122*VLOOKUP('Données projet'!$B$11,Paramètres!$A$1:$I$89,3,0)*0.475*44/12</f>
        <v>0.96165126596593975</v>
      </c>
      <c r="BR122" s="21">
        <f>EXP(-LN(2)/2)*BR121+(1-EXP(-LN(2)/2))/(LN(2)/2)*BL122*BO122*VLOOKUP('Données projet'!$B$11,Paramètres!$A$1:$I$89,3,0)*0.475*44/12</f>
        <v>5.6123574128697503E-5</v>
      </c>
      <c r="BS122" s="22">
        <f t="shared" si="63"/>
        <v>48.714760281365933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-1.7053025658242404E-13</v>
      </c>
      <c r="BZ122" s="13">
        <f>BY122*VLOOKUP('Données projet'!$B$12,Paramètres!$A$1:$I$89,3,0)*VLOOKUP('Données projet'!$B$12,Paramètres!$A$1:$I$89,5,0)</f>
        <v>-1.3567387213697657E-13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344.97546176735341</v>
      </c>
      <c r="CE122" s="59">
        <f t="shared" si="94"/>
        <v>331.15461126257492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47.753052891825867</v>
      </c>
      <c r="CL122" s="21">
        <f>EXP(-LN(2)/25)*CL121+(1-EXP(-LN(2)/25))/(LN(2)/25)*Calculateur!CG122*Calculateur!CI122*VLOOKUP('Données projet'!$B$12,Paramètres!$A$1:$I$89,3,0)*0.475*44/12</f>
        <v>0.96165126596593975</v>
      </c>
      <c r="CM122" s="21">
        <f>EXP(-LN(2)/2)*CM121+(1-EXP(-LN(2)/2))/(LN(2)/2)*CG122*CJ122*VLOOKUP('Données projet'!$B$12,Paramètres!$A$1:$I$89,3,0)*0.475*44/12</f>
        <v>5.6123574128697503E-5</v>
      </c>
      <c r="CN122" s="22">
        <f t="shared" si="66"/>
        <v>48.714760281365933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227.19465047672969</v>
      </c>
      <c r="CZ122" s="59">
        <f t="shared" si="96"/>
        <v>529.77979244134417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16.90333066381568</v>
      </c>
      <c r="DG122" s="21">
        <f>EXP(-LN(2)/25)*DG121+(1-EXP(-LN(2)/25))/(LN(2)/25)*Calculateur!DB122*Calculateur!DD122*VLOOKUP('Données projet'!$B$13,Paramètres!$A$1:$I$89,3,0)*0.475*44/12</f>
        <v>2.6864934947131158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19.589824158528796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240.09151195692266</v>
      </c>
      <c r="DU122" s="59">
        <f t="shared" si="98"/>
        <v>559.47775134103165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18.008123517659822</v>
      </c>
      <c r="EB122" s="21">
        <f>EXP(-LN(2)/25)*EB121+(1-EXP(-LN(2)/25))/(LN(2)/25)*Calculateur!DW122*Calculateur!DY122*VLOOKUP('Données projet'!$B$14,Paramètres!$A$1:$I$89,3,0)*0.475*44/12</f>
        <v>2.8620813048250846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20.870204822484908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5.6843418860808015E-14</v>
      </c>
      <c r="EK122" s="17">
        <f>EJ122*VLOOKUP('Données projet'!$B$15,Paramètres!$A$1:$I$89,3,0)*VLOOKUP('Données projet'!$B$15,Paramètres!$A$1:$I$89,5,0)</f>
        <v>4.4337866711430253E-14</v>
      </c>
      <c r="EL122" s="13">
        <f t="shared" si="99"/>
        <v>7.3222115536967035E-13</v>
      </c>
      <c r="EM122" s="20">
        <f t="shared" si="73"/>
        <v>1.3525069634579169E-12</v>
      </c>
      <c r="EN122" s="59">
        <f t="shared" si="74"/>
        <v>275.96985343952036</v>
      </c>
      <c r="EO122" s="59">
        <f ca="1">AVERAGE(OFFSET($EN$3,0,0,'Données projet'!$E$15+1,1))-AVERAGE(OFFSET($H$3,0,0,'Données projet'!$E$15+1,1))</f>
        <v>328.79469965518484</v>
      </c>
      <c r="EP122" s="59">
        <f t="shared" si="100"/>
        <v>322.06400652269735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24.686996608693878</v>
      </c>
      <c r="EW122" s="21">
        <f>EXP(-LN(2)/25)*EW121+(1-EXP(-LN(2)/25))/(LN(2)/25)*Calculateur!ER122*Calculateur!ET122*VLOOKUP('Données projet'!$B$15,Paramètres!$A$1:$I$89,3,0)*0.475*44/12</f>
        <v>2.378214302856263</v>
      </c>
      <c r="EX122" s="21">
        <f>EXP(-LN(2)/2)*EX121+(1-EXP(-LN(2)/2))/(LN(2)/2)*ER122*EU122*VLOOKUP('Données projet'!$B$15,Paramètres!$A$1:$I$89,3,0)*0.475*44/12</f>
        <v>2.1728168188957534E-6</v>
      </c>
      <c r="EY122" s="22">
        <f t="shared" si="75"/>
        <v>27.06521308436696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-5.6843418860808015E-14</v>
      </c>
      <c r="FF122" s="17">
        <f>FE122*VLOOKUP('Données projet'!$B$16,Paramètres!$A$1:$I$89,3,0)*VLOOKUP('Données projet'!$B$16,Paramètres!$A$1:$I$89,5,0)</f>
        <v>-4.1677594708744434E-14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525.22234644068908</v>
      </c>
      <c r="FK122" s="59">
        <f t="shared" si="102"/>
        <v>311.5550296132094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131.10957869680138</v>
      </c>
      <c r="FR122" s="21">
        <f>EXP(-LN(2)/25)*FR121+(1-EXP(-LN(2)/25))/(LN(2)/25)*Calculateur!FM122*Calculateur!FO122*VLOOKUP('Données projet'!$B$16,Paramètres!$A$1:$I$89,3,0)*0.475*44/12</f>
        <v>34.654667305620698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165.76424600242208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-1.7053025658242404E-13</v>
      </c>
      <c r="GA122" s="17">
        <f>FZ122*VLOOKUP('Données projet'!$B$17,Paramètres!$A$1:$I$89,3,0)*VLOOKUP('Données projet'!$B$17,Paramètres!$A$1:$I$89,5,0)</f>
        <v>-1.1173142411280423E-13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298.45881427802874</v>
      </c>
      <c r="GF122" s="59">
        <f t="shared" si="104"/>
        <v>287.00279305562356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31.906035339488554</v>
      </c>
      <c r="GM122" s="21">
        <f>EXP(-LN(2)/25)*GM121+(1-EXP(-LN(2)/25))/(LN(2)/25)*Calculateur!GH122*Calculateur!GJ122*VLOOKUP('Données projet'!$B$17,Paramètres!$A$1:$I$89,3,0)*0.475*44/12</f>
        <v>0.64252393131131613</v>
      </c>
      <c r="GN122" s="21">
        <f>EXP(-LN(2)/2)*GN121+(1-EXP(-LN(2)/2))/(LN(2)/2)*GH122*GK122*VLOOKUP('Données projet'!$B$17,Paramètres!$A$1:$I$89,3,0)*0.475*44/12</f>
        <v>4.6219413988339099E-5</v>
      </c>
      <c r="GO122" s="21">
        <f t="shared" si="81"/>
        <v>32.548605490213859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135.66666666666666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6.8888888888888893</v>
      </c>
      <c r="N123" s="13">
        <f>IF('Données projet'!$A$36&gt;35,N122+M123-V122,IF(A123&lt;'Données projet'!$A$36,$K$205^A123,IF(A123='Données projet'!$A$36,'Données projet'!$B$36,N122+M123-V122)))</f>
        <v>376.33333333333292</v>
      </c>
      <c r="O123" s="13">
        <f>N123*VLOOKUP('Données projet'!$B$9,Paramètres!$A$1:$I$89,3,0)*VLOOKUP('Données projet'!$B$9,Paramètres!$A$1:$I$89,5,0)</f>
        <v>340.50639999999964</v>
      </c>
      <c r="P123" s="13">
        <f t="shared" si="87"/>
        <v>79.604562803685241</v>
      </c>
      <c r="Q123" s="20">
        <f t="shared" si="107"/>
        <v>731.6932602164178</v>
      </c>
      <c r="R123" s="59">
        <f t="shared" si="55"/>
        <v>1007.964331213169</v>
      </c>
      <c r="S123" s="59">
        <f ca="1">AVERAGE(OFFSET($R$3,0,0,'Données projet'!$E$9+1,1))-AVERAGE(OFFSET($H$3,0,0,'Données projet'!$E$9+1,1))</f>
        <v>600.52384738314299</v>
      </c>
      <c r="T123" s="59">
        <f t="shared" si="88"/>
        <v>314.84650287986256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29.758253337395978</v>
      </c>
      <c r="AA123" s="21">
        <f>EXP(-LN(2)/25)*AA122+(1-EXP(-LN(2)/25))/(LN(2)/25)*Calculateur!V123*Calculateur!X123*VLOOKUP('Données projet'!$B$9,Paramètres!$A$1:$I$89,3,0)*0.475*44/12</f>
        <v>19.754384553764581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49.512637891160558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-1.4897523215040567E-13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436.77894860279537</v>
      </c>
      <c r="AO123" s="59">
        <f t="shared" si="90"/>
        <v>398.63561969573072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80.400680973903789</v>
      </c>
      <c r="AV123" s="21">
        <f>EXP(-LN(2)/25)*AV122+(1-EXP(-LN(2)/25))/(LN(2)/25)*Calculateur!AQ123*Calculateur!AS123*VLOOKUP('Données projet'!$B$10,Paramètres!$A$1:$I$89,3,0)*0.475*44/12</f>
        <v>10.991187358321557</v>
      </c>
      <c r="AW123" s="21">
        <f>EXP(-LN(2)/2)*AW122+(1-EXP(-LN(2)/2))/(LN(2)/2)*AQ123*AT123*VLOOKUP('Données projet'!$B$10,Paramètres!$A$1:$I$89,3,0)*0.475*44/12</f>
        <v>4.4883793753072241E-14</v>
      </c>
      <c r="AX123" s="21">
        <f t="shared" si="60"/>
        <v>91.391868332225386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-1.3567387213697657E-13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344.97546176735341</v>
      </c>
      <c r="BJ123" s="59">
        <f t="shared" si="92"/>
        <v>331.15461126257492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46.816644651103424</v>
      </c>
      <c r="BQ123" s="21">
        <f>EXP(-LN(2)/25)*BQ122+(1-EXP(-LN(2)/25))/(LN(2)/25)*Calculateur!BL123*Calculateur!BN123*VLOOKUP('Données projet'!$B$11,Paramètres!$A$1:$I$89,3,0)*0.475*44/12</f>
        <v>0.93535486152705893</v>
      </c>
      <c r="BR123" s="21">
        <f>EXP(-LN(2)/2)*BR122+(1-EXP(-LN(2)/2))/(LN(2)/2)*BL123*BO123*VLOOKUP('Données projet'!$B$11,Paramètres!$A$1:$I$89,3,0)*0.475*44/12</f>
        <v>3.9685359850827884E-5</v>
      </c>
      <c r="BS123" s="22">
        <f t="shared" si="63"/>
        <v>47.752039197990335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-1.7053025658242404E-13</v>
      </c>
      <c r="BZ123" s="13">
        <f>BY123*VLOOKUP('Données projet'!$B$12,Paramètres!$A$1:$I$89,3,0)*VLOOKUP('Données projet'!$B$12,Paramètres!$A$1:$I$89,5,0)</f>
        <v>-1.3567387213697657E-13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344.97546176735341</v>
      </c>
      <c r="CE123" s="59">
        <f t="shared" si="94"/>
        <v>331.15461126257492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46.816644651103424</v>
      </c>
      <c r="CL123" s="21">
        <f>EXP(-LN(2)/25)*CL122+(1-EXP(-LN(2)/25))/(LN(2)/25)*Calculateur!CG123*Calculateur!CI123*VLOOKUP('Données projet'!$B$12,Paramètres!$A$1:$I$89,3,0)*0.475*44/12</f>
        <v>0.93535486152705893</v>
      </c>
      <c r="CM123" s="21">
        <f>EXP(-LN(2)/2)*CM122+(1-EXP(-LN(2)/2))/(LN(2)/2)*CG123*CJ123*VLOOKUP('Données projet'!$B$12,Paramètres!$A$1:$I$89,3,0)*0.475*44/12</f>
        <v>3.9685359850827884E-5</v>
      </c>
      <c r="CN123" s="22">
        <f t="shared" si="66"/>
        <v>47.752039197990335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227.19465047672969</v>
      </c>
      <c r="CZ123" s="59">
        <f t="shared" si="96"/>
        <v>529.77979244134417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16.571866659511929</v>
      </c>
      <c r="DG123" s="21">
        <f>EXP(-LN(2)/25)*DG122+(1-EXP(-LN(2)/25))/(LN(2)/25)*Calculateur!DB123*Calculateur!DD123*VLOOKUP('Données projet'!$B$13,Paramètres!$A$1:$I$89,3,0)*0.475*44/12</f>
        <v>2.6130311888236331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19.184897848335563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240.09151195692266</v>
      </c>
      <c r="DU123" s="59">
        <f t="shared" si="98"/>
        <v>559.47775134103165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17.65499519934929</v>
      </c>
      <c r="EB123" s="21">
        <f>EXP(-LN(2)/25)*EB122+(1-EXP(-LN(2)/25))/(LN(2)/25)*Calculateur!DW123*Calculateur!DY123*VLOOKUP('Données projet'!$B$14,Paramètres!$A$1:$I$89,3,0)*0.475*44/12</f>
        <v>2.7838175410343284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20.438812740383618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5.6843418860808015E-14</v>
      </c>
      <c r="EK123" s="17">
        <f>EJ123*VLOOKUP('Données projet'!$B$15,Paramètres!$A$1:$I$89,3,0)*VLOOKUP('Données projet'!$B$15,Paramètres!$A$1:$I$89,5,0)</f>
        <v>4.4337866711430253E-14</v>
      </c>
      <c r="EL123" s="13">
        <f t="shared" si="99"/>
        <v>7.3222115536967035E-13</v>
      </c>
      <c r="EM123" s="20">
        <f t="shared" si="73"/>
        <v>1.3525069634579169E-12</v>
      </c>
      <c r="EN123" s="59">
        <f t="shared" si="74"/>
        <v>276.27107099675254</v>
      </c>
      <c r="EO123" s="59">
        <f ca="1">AVERAGE(OFFSET($EN$3,0,0,'Données projet'!$E$15+1,1))-AVERAGE(OFFSET($H$3,0,0,'Données projet'!$E$15+1,1))</f>
        <v>328.79469965518484</v>
      </c>
      <c r="EP123" s="59">
        <f t="shared" si="100"/>
        <v>322.06400652269735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24.20289966277851</v>
      </c>
      <c r="EW123" s="21">
        <f>EXP(-LN(2)/25)*EW122+(1-EXP(-LN(2)/25))/(LN(2)/25)*Calculateur!ER123*Calculateur!ET123*VLOOKUP('Données projet'!$B$15,Paramètres!$A$1:$I$89,3,0)*0.475*44/12</f>
        <v>2.3131819076798039</v>
      </c>
      <c r="EX123" s="21">
        <f>EXP(-LN(2)/2)*EX122+(1-EXP(-LN(2)/2))/(LN(2)/2)*ER123*EU123*VLOOKUP('Données projet'!$B$15,Paramètres!$A$1:$I$89,3,0)*0.475*44/12</f>
        <v>1.5364135069173698E-6</v>
      </c>
      <c r="EY123" s="22">
        <f t="shared" si="75"/>
        <v>26.516083106871822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-5.6843418860808015E-14</v>
      </c>
      <c r="FF123" s="17">
        <f>FE123*VLOOKUP('Données projet'!$B$16,Paramètres!$A$1:$I$89,3,0)*VLOOKUP('Données projet'!$B$16,Paramètres!$A$1:$I$89,5,0)</f>
        <v>-4.1677594708744434E-14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525.22234644068908</v>
      </c>
      <c r="FK123" s="59">
        <f t="shared" si="102"/>
        <v>311.5550296132094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128.53859982750384</v>
      </c>
      <c r="FR123" s="21">
        <f>EXP(-LN(2)/25)*FR122+(1-EXP(-LN(2)/25))/(LN(2)/25)*Calculateur!FM123*Calculateur!FO123*VLOOKUP('Données projet'!$B$16,Paramètres!$A$1:$I$89,3,0)*0.475*44/12</f>
        <v>33.707033605738751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162.2456334332426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-1.7053025658242404E-13</v>
      </c>
      <c r="GA123" s="17">
        <f>FZ123*VLOOKUP('Données projet'!$B$17,Paramètres!$A$1:$I$89,3,0)*VLOOKUP('Données projet'!$B$17,Paramètres!$A$1:$I$89,5,0)</f>
        <v>-1.1173142411280423E-13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298.45881427802874</v>
      </c>
      <c r="GF123" s="59">
        <f t="shared" si="104"/>
        <v>287.00279305562356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31.28037744724115</v>
      </c>
      <c r="GM123" s="21">
        <f>EXP(-LN(2)/25)*GM122+(1-EXP(-LN(2)/25))/(LN(2)/25)*Calculateur!GH123*Calculateur!GJ123*VLOOKUP('Données projet'!$B$17,Paramètres!$A$1:$I$89,3,0)*0.475*44/12</f>
        <v>0.6249540806207432</v>
      </c>
      <c r="GN123" s="21">
        <f>EXP(-LN(2)/2)*GN122+(1-EXP(-LN(2)/2))/(LN(2)/2)*GH123*GK123*VLOOKUP('Données projet'!$B$17,Paramètres!$A$1:$I$89,3,0)*0.475*44/12</f>
        <v>3.2682061053622949E-5</v>
      </c>
      <c r="GO123" s="21">
        <f t="shared" si="81"/>
        <v>31.905364209922947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135.66666666666666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6.8888888888888893</v>
      </c>
      <c r="N124" s="13">
        <f>IF('Données projet'!$A$36&gt;35,N123+M124-V123,IF(A124&lt;'Données projet'!$A$36,$K$205^A124,IF(A124='Données projet'!$A$36,'Données projet'!$B$36,N123+M124-V123)))</f>
        <v>383.22222222222183</v>
      </c>
      <c r="O124" s="13">
        <f>N124*VLOOKUP('Données projet'!$B$9,Paramètres!$A$1:$I$89,3,0)*VLOOKUP('Données projet'!$B$9,Paramètres!$A$1:$I$89,5,0)</f>
        <v>346.73946666666632</v>
      </c>
      <c r="P124" s="13">
        <f t="shared" si="87"/>
        <v>80.890768286611575</v>
      </c>
      <c r="Q124" s="20">
        <f t="shared" si="107"/>
        <v>744.78932587695897</v>
      </c>
      <c r="R124" s="59">
        <f t="shared" si="55"/>
        <v>1021.3563889797458</v>
      </c>
      <c r="S124" s="59">
        <f ca="1">AVERAGE(OFFSET($R$3,0,0,'Données projet'!$E$9+1,1))-AVERAGE(OFFSET($H$3,0,0,'Données projet'!$E$9+1,1))</f>
        <v>600.52384738314299</v>
      </c>
      <c r="T124" s="59">
        <f t="shared" si="88"/>
        <v>314.84650287986256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29.174712140191943</v>
      </c>
      <c r="AA124" s="21">
        <f>EXP(-LN(2)/25)*AA123+(1-EXP(-LN(2)/25))/(LN(2)/25)*Calculateur!V124*Calculateur!X124*VLOOKUP('Données projet'!$B$9,Paramètres!$A$1:$I$89,3,0)*0.475*44/12</f>
        <v>19.214199869303954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48.388912009495897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-1.4897523215040567E-13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436.77894860279537</v>
      </c>
      <c r="AO124" s="59">
        <f t="shared" si="90"/>
        <v>398.63561969573072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78.824072659578675</v>
      </c>
      <c r="AV124" s="21">
        <f>EXP(-LN(2)/25)*AV123+(1-EXP(-LN(2)/25))/(LN(2)/25)*Calculateur!AQ124*Calculateur!AS124*VLOOKUP('Données projet'!$B$10,Paramètres!$A$1:$I$89,3,0)*0.475*44/12</f>
        <v>10.690632762006832</v>
      </c>
      <c r="AW124" s="21">
        <f>EXP(-LN(2)/2)*AW123+(1-EXP(-LN(2)/2))/(LN(2)/2)*AQ124*AT124*VLOOKUP('Données projet'!$B$10,Paramètres!$A$1:$I$89,3,0)*0.475*44/12</f>
        <v>3.1737634928175782E-14</v>
      </c>
      <c r="AX124" s="21">
        <f t="shared" si="60"/>
        <v>89.514705421585532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-1.3567387213697657E-13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344.97546176735341</v>
      </c>
      <c r="BJ124" s="59">
        <f t="shared" si="92"/>
        <v>331.15461126257492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45.898598804828914</v>
      </c>
      <c r="BQ124" s="21">
        <f>EXP(-LN(2)/25)*BQ123+(1-EXP(-LN(2)/25))/(LN(2)/25)*Calculateur!BL124*Calculateur!BN124*VLOOKUP('Données projet'!$B$11,Paramètres!$A$1:$I$89,3,0)*0.475*44/12</f>
        <v>0.90977753365042713</v>
      </c>
      <c r="BR124" s="21">
        <f>EXP(-LN(2)/2)*BR123+(1-EXP(-LN(2)/2))/(LN(2)/2)*BL124*BO124*VLOOKUP('Données projet'!$B$11,Paramètres!$A$1:$I$89,3,0)*0.475*44/12</f>
        <v>2.8061787064348751E-5</v>
      </c>
      <c r="BS124" s="22">
        <f t="shared" si="63"/>
        <v>46.808404400266404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-1.7053025658242404E-13</v>
      </c>
      <c r="BZ124" s="13">
        <f>BY124*VLOOKUP('Données projet'!$B$12,Paramètres!$A$1:$I$89,3,0)*VLOOKUP('Données projet'!$B$12,Paramètres!$A$1:$I$89,5,0)</f>
        <v>-1.3567387213697657E-13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344.97546176735341</v>
      </c>
      <c r="CE124" s="59">
        <f t="shared" si="94"/>
        <v>331.15461126257492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45.898598804828914</v>
      </c>
      <c r="CL124" s="21">
        <f>EXP(-LN(2)/25)*CL123+(1-EXP(-LN(2)/25))/(LN(2)/25)*Calculateur!CG124*Calculateur!CI124*VLOOKUP('Données projet'!$B$12,Paramètres!$A$1:$I$89,3,0)*0.475*44/12</f>
        <v>0.90977753365042713</v>
      </c>
      <c r="CM124" s="21">
        <f>EXP(-LN(2)/2)*CM123+(1-EXP(-LN(2)/2))/(LN(2)/2)*CG124*CJ124*VLOOKUP('Données projet'!$B$12,Paramètres!$A$1:$I$89,3,0)*0.475*44/12</f>
        <v>2.8061787064348751E-5</v>
      </c>
      <c r="CN124" s="22">
        <f t="shared" si="66"/>
        <v>46.808404400266404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227.19465047672969</v>
      </c>
      <c r="CZ124" s="59">
        <f t="shared" si="96"/>
        <v>529.77979244134417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16.246902462159497</v>
      </c>
      <c r="DG124" s="21">
        <f>EXP(-LN(2)/25)*DG123+(1-EXP(-LN(2)/25))/(LN(2)/25)*Calculateur!DB124*Calculateur!DD124*VLOOKUP('Données projet'!$B$13,Paramètres!$A$1:$I$89,3,0)*0.475*44/12</f>
        <v>2.5415777135519129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18.78848017571141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240.09151195692266</v>
      </c>
      <c r="DU124" s="59">
        <f t="shared" si="98"/>
        <v>559.47775134103165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17.308791511973823</v>
      </c>
      <c r="EB124" s="21">
        <f>EXP(-LN(2)/25)*EB123+(1-EXP(-LN(2)/25))/(LN(2)/25)*Calculateur!DW124*Calculateur!DY124*VLOOKUP('Données projet'!$B$14,Paramètres!$A$1:$I$89,3,0)*0.475*44/12</f>
        <v>2.7076939039801426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20.016485415953966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5.6843418860808015E-14</v>
      </c>
      <c r="EK124" s="17">
        <f>EJ124*VLOOKUP('Données projet'!$B$15,Paramètres!$A$1:$I$89,3,0)*VLOOKUP('Données projet'!$B$15,Paramètres!$A$1:$I$89,5,0)</f>
        <v>4.4337866711430253E-14</v>
      </c>
      <c r="EL124" s="13">
        <f t="shared" si="99"/>
        <v>7.3222115536967035E-13</v>
      </c>
      <c r="EM124" s="20">
        <f t="shared" si="73"/>
        <v>1.3525069634579169E-12</v>
      </c>
      <c r="EN124" s="59">
        <f t="shared" si="74"/>
        <v>276.56706310278827</v>
      </c>
      <c r="EO124" s="59">
        <f ca="1">AVERAGE(OFFSET($EN$3,0,0,'Données projet'!$E$15+1,1))-AVERAGE(OFFSET($H$3,0,0,'Données projet'!$E$15+1,1))</f>
        <v>328.79469965518484</v>
      </c>
      <c r="EP124" s="59">
        <f t="shared" si="100"/>
        <v>322.06400652269735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23.728295562702559</v>
      </c>
      <c r="EW124" s="21">
        <f>EXP(-LN(2)/25)*EW123+(1-EXP(-LN(2)/25))/(LN(2)/25)*Calculateur!ER124*Calculateur!ET124*VLOOKUP('Données projet'!$B$15,Paramètres!$A$1:$I$89,3,0)*0.475*44/12</f>
        <v>2.2499278267693499</v>
      </c>
      <c r="EX124" s="21">
        <f>EXP(-LN(2)/2)*EX123+(1-EXP(-LN(2)/2))/(LN(2)/2)*ER124*EU124*VLOOKUP('Données projet'!$B$15,Paramètres!$A$1:$I$89,3,0)*0.475*44/12</f>
        <v>1.0864084094478767E-6</v>
      </c>
      <c r="EY124" s="22">
        <f t="shared" si="75"/>
        <v>25.978224475880321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-5.6843418860808015E-14</v>
      </c>
      <c r="FF124" s="17">
        <f>FE124*VLOOKUP('Données projet'!$B$16,Paramètres!$A$1:$I$89,3,0)*VLOOKUP('Données projet'!$B$16,Paramètres!$A$1:$I$89,5,0)</f>
        <v>-4.1677594708744434E-14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525.22234644068908</v>
      </c>
      <c r="FK124" s="59">
        <f t="shared" si="102"/>
        <v>311.5550296132094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126.01803628569095</v>
      </c>
      <c r="FR124" s="21">
        <f>EXP(-LN(2)/25)*FR123+(1-EXP(-LN(2)/25))/(LN(2)/25)*Calculateur!FM124*Calculateur!FO124*VLOOKUP('Données projet'!$B$16,Paramètres!$A$1:$I$89,3,0)*0.475*44/12</f>
        <v>32.785312999213964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158.80334928490493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-1.7053025658242404E-13</v>
      </c>
      <c r="GA124" s="17">
        <f>FZ124*VLOOKUP('Données projet'!$B$17,Paramètres!$A$1:$I$89,3,0)*VLOOKUP('Données projet'!$B$17,Paramètres!$A$1:$I$89,5,0)</f>
        <v>-1.1173142411280423E-13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298.45881427802874</v>
      </c>
      <c r="GF124" s="59">
        <f t="shared" si="104"/>
        <v>287.00279305562356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30.666988324647086</v>
      </c>
      <c r="GM124" s="21">
        <f>EXP(-LN(2)/25)*GM123+(1-EXP(-LN(2)/25))/(LN(2)/25)*Calculateur!GH124*Calculateur!GJ124*VLOOKUP('Données projet'!$B$17,Paramètres!$A$1:$I$89,3,0)*0.475*44/12</f>
        <v>0.60786467842126224</v>
      </c>
      <c r="GN124" s="21">
        <f>EXP(-LN(2)/2)*GN123+(1-EXP(-LN(2)/2))/(LN(2)/2)*GH124*GK124*VLOOKUP('Données projet'!$B$17,Paramètres!$A$1:$I$89,3,0)*0.475*44/12</f>
        <v>2.3109706994169549E-5</v>
      </c>
      <c r="GO124" s="21">
        <f t="shared" si="81"/>
        <v>31.274876112775342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135.66666666666666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6.8888888888888893</v>
      </c>
      <c r="N125" s="13">
        <f>IF('Données projet'!$A$36&gt;35,N124+M125-V124,IF(A125&lt;'Données projet'!$A$36,$K$205^A125,IF(A125='Données projet'!$A$36,'Données projet'!$B$36,N124+M125-V124)))</f>
        <v>390.11111111111074</v>
      </c>
      <c r="O125" s="13">
        <f>N125*VLOOKUP('Données projet'!$B$9,Paramètres!$A$1:$I$89,3,0)*VLOOKUP('Données projet'!$B$9,Paramètres!$A$1:$I$89,5,0)</f>
        <v>352.97253333333299</v>
      </c>
      <c r="P125" s="13">
        <f t="shared" si="87"/>
        <v>82.174285131904085</v>
      </c>
      <c r="Q125" s="20">
        <f t="shared" si="107"/>
        <v>757.88070882695445</v>
      </c>
      <c r="R125" s="59">
        <f t="shared" si="55"/>
        <v>1034.7386292344765</v>
      </c>
      <c r="S125" s="59">
        <f ca="1">AVERAGE(OFFSET($R$3,0,0,'Données projet'!$E$9+1,1))-AVERAGE(OFFSET($H$3,0,0,'Données projet'!$E$9+1,1))</f>
        <v>600.52384738314299</v>
      </c>
      <c r="T125" s="59">
        <f t="shared" si="88"/>
        <v>314.84650287986256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28.602613829940093</v>
      </c>
      <c r="AA125" s="21">
        <f>EXP(-LN(2)/25)*AA124+(1-EXP(-LN(2)/25))/(LN(2)/25)*Calculateur!V125*Calculateur!X125*VLOOKUP('Données projet'!$B$9,Paramètres!$A$1:$I$89,3,0)*0.475*44/12</f>
        <v>18.688786563446982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47.291400393387079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-1.4897523215040567E-13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436.77894860279537</v>
      </c>
      <c r="AO125" s="59">
        <f t="shared" si="90"/>
        <v>398.63561969573072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77.278380672661356</v>
      </c>
      <c r="AV125" s="21">
        <f>EXP(-LN(2)/25)*AV124+(1-EXP(-LN(2)/25))/(LN(2)/25)*Calculateur!AQ125*Calculateur!AS125*VLOOKUP('Données projet'!$B$10,Paramètres!$A$1:$I$89,3,0)*0.475*44/12</f>
        <v>10.398296846933812</v>
      </c>
      <c r="AW125" s="21">
        <f>EXP(-LN(2)/2)*AW124+(1-EXP(-LN(2)/2))/(LN(2)/2)*AQ125*AT125*VLOOKUP('Données projet'!$B$10,Paramètres!$A$1:$I$89,3,0)*0.475*44/12</f>
        <v>2.2441896876536121E-14</v>
      </c>
      <c r="AX125" s="21">
        <f t="shared" si="60"/>
        <v>87.676677519595202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-1.3567387213697657E-13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344.97546176735341</v>
      </c>
      <c r="BJ125" s="59">
        <f t="shared" si="92"/>
        <v>331.15461126257492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44.998555277647178</v>
      </c>
      <c r="BQ125" s="21">
        <f>EXP(-LN(2)/25)*BQ124+(1-EXP(-LN(2)/25))/(LN(2)/25)*Calculateur!BL125*Calculateur!BN125*VLOOKUP('Données projet'!$B$11,Paramètres!$A$1:$I$89,3,0)*0.475*44/12</f>
        <v>0.884899619149635</v>
      </c>
      <c r="BR125" s="21">
        <f>EXP(-LN(2)/2)*BR124+(1-EXP(-LN(2)/2))/(LN(2)/2)*BL125*BO125*VLOOKUP('Données projet'!$B$11,Paramètres!$A$1:$I$89,3,0)*0.475*44/12</f>
        <v>1.9842679925413942E-5</v>
      </c>
      <c r="BS125" s="22">
        <f t="shared" si="63"/>
        <v>45.883474739476739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-1.7053025658242404E-13</v>
      </c>
      <c r="BZ125" s="13">
        <f>BY125*VLOOKUP('Données projet'!$B$12,Paramètres!$A$1:$I$89,3,0)*VLOOKUP('Données projet'!$B$12,Paramètres!$A$1:$I$89,5,0)</f>
        <v>-1.3567387213697657E-13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344.97546176735341</v>
      </c>
      <c r="CE125" s="59">
        <f t="shared" si="94"/>
        <v>331.15461126257492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44.998555277647178</v>
      </c>
      <c r="CL125" s="21">
        <f>EXP(-LN(2)/25)*CL124+(1-EXP(-LN(2)/25))/(LN(2)/25)*Calculateur!CG125*Calculateur!CI125*VLOOKUP('Données projet'!$B$12,Paramètres!$A$1:$I$89,3,0)*0.475*44/12</f>
        <v>0.884899619149635</v>
      </c>
      <c r="CM125" s="21">
        <f>EXP(-LN(2)/2)*CM124+(1-EXP(-LN(2)/2))/(LN(2)/2)*CG125*CJ125*VLOOKUP('Données projet'!$B$12,Paramètres!$A$1:$I$89,3,0)*0.475*44/12</f>
        <v>1.9842679925413942E-5</v>
      </c>
      <c r="CN125" s="22">
        <f t="shared" si="66"/>
        <v>45.883474739476739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227.19465047672969</v>
      </c>
      <c r="CZ125" s="59">
        <f t="shared" si="96"/>
        <v>529.77979244134417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15.928310614508556</v>
      </c>
      <c r="DG125" s="21">
        <f>EXP(-LN(2)/25)*DG124+(1-EXP(-LN(2)/25))/(LN(2)/25)*Calculateur!DB125*Calculateur!DD125*VLOOKUP('Données projet'!$B$13,Paramètres!$A$1:$I$89,3,0)*0.475*44/12</f>
        <v>2.4720781373190728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18.400388751827627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240.09151195692266</v>
      </c>
      <c r="DU125" s="59">
        <f t="shared" si="98"/>
        <v>559.47775134103165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16.969376667744388</v>
      </c>
      <c r="EB125" s="21">
        <f>EXP(-LN(2)/25)*EB124+(1-EXP(-LN(2)/25))/(LN(2)/25)*Calculateur!DW125*Calculateur!DY125*VLOOKUP('Données projet'!$B$14,Paramètres!$A$1:$I$89,3,0)*0.475*44/12</f>
        <v>2.6336518717843718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19.603028539528761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5.6843418860808015E-14</v>
      </c>
      <c r="EK125" s="17">
        <f>EJ125*VLOOKUP('Données projet'!$B$15,Paramètres!$A$1:$I$89,3,0)*VLOOKUP('Données projet'!$B$15,Paramètres!$A$1:$I$89,5,0)</f>
        <v>4.4337866711430253E-14</v>
      </c>
      <c r="EL125" s="13">
        <f t="shared" si="99"/>
        <v>7.3222115536967035E-13</v>
      </c>
      <c r="EM125" s="20">
        <f t="shared" si="73"/>
        <v>1.3525069634579169E-12</v>
      </c>
      <c r="EN125" s="59">
        <f t="shared" si="74"/>
        <v>276.85792040752352</v>
      </c>
      <c r="EO125" s="59">
        <f ca="1">AVERAGE(OFFSET($EN$3,0,0,'Données projet'!$E$15+1,1))-AVERAGE(OFFSET($H$3,0,0,'Données projet'!$E$15+1,1))</f>
        <v>328.79469965518484</v>
      </c>
      <c r="EP125" s="59">
        <f t="shared" si="100"/>
        <v>322.06400652269735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23.262998159549181</v>
      </c>
      <c r="EW125" s="21">
        <f>EXP(-LN(2)/25)*EW124+(1-EXP(-LN(2)/25))/(LN(2)/25)*Calculateur!ER125*Calculateur!ET125*VLOOKUP('Données projet'!$B$15,Paramètres!$A$1:$I$89,3,0)*0.475*44/12</f>
        <v>2.1884034320277799</v>
      </c>
      <c r="EX125" s="21">
        <f>EXP(-LN(2)/2)*EX124+(1-EXP(-LN(2)/2))/(LN(2)/2)*ER125*EU125*VLOOKUP('Données projet'!$B$15,Paramètres!$A$1:$I$89,3,0)*0.475*44/12</f>
        <v>7.6820675345868491E-7</v>
      </c>
      <c r="EY125" s="22">
        <f t="shared" si="75"/>
        <v>25.451402359783714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-5.6843418860808015E-14</v>
      </c>
      <c r="FF125" s="17">
        <f>FE125*VLOOKUP('Données projet'!$B$16,Paramètres!$A$1:$I$89,3,0)*VLOOKUP('Données projet'!$B$16,Paramètres!$A$1:$I$89,5,0)</f>
        <v>-4.1677594708744434E-14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525.22234644068908</v>
      </c>
      <c r="FK125" s="59">
        <f t="shared" si="102"/>
        <v>311.5550296132094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123.54689945754106</v>
      </c>
      <c r="FR125" s="21">
        <f>EXP(-LN(2)/25)*FR124+(1-EXP(-LN(2)/25))/(LN(2)/25)*Calculateur!FM125*Calculateur!FO125*VLOOKUP('Données projet'!$B$16,Paramètres!$A$1:$I$89,3,0)*0.475*44/12</f>
        <v>31.88879689114578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155.43569634868683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-1.7053025658242404E-13</v>
      </c>
      <c r="GA125" s="17">
        <f>FZ125*VLOOKUP('Données projet'!$B$17,Paramètres!$A$1:$I$89,3,0)*VLOOKUP('Données projet'!$B$17,Paramètres!$A$1:$I$89,5,0)</f>
        <v>-1.1173142411280423E-13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298.45881427802874</v>
      </c>
      <c r="GF125" s="59">
        <f t="shared" si="104"/>
        <v>287.00279305562356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30.065627388616669</v>
      </c>
      <c r="GM125" s="21">
        <f>EXP(-LN(2)/25)*GM124+(1-EXP(-LN(2)/25))/(LN(2)/25)*Calculateur!GH125*Calculateur!GJ125*VLOOKUP('Données projet'!$B$17,Paramètres!$A$1:$I$89,3,0)*0.475*44/12</f>
        <v>0.59124258682361863</v>
      </c>
      <c r="GN125" s="21">
        <f>EXP(-LN(2)/2)*GN124+(1-EXP(-LN(2)/2))/(LN(2)/2)*GH125*GK125*VLOOKUP('Données projet'!$B$17,Paramètres!$A$1:$I$89,3,0)*0.475*44/12</f>
        <v>1.6341030526811474E-5</v>
      </c>
      <c r="GO125" s="21">
        <f t="shared" si="81"/>
        <v>30.656886316470814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135.66666666666666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397</v>
      </c>
      <c r="L126" s="12">
        <f>VLOOKUP(A126,'Données projet'!$A$35:$I$55,9,0)</f>
        <v>6.8888888888888893</v>
      </c>
      <c r="M126" s="12">
        <f t="array" ref="M126">INDEX(L:L,MIN(IF(ISNUMBER(L126:L322),ROW(L126:L322),"")))</f>
        <v>6.8888888888888893</v>
      </c>
      <c r="N126" s="13">
        <f>IF('Données projet'!$A$36&gt;35,N125+M126-V125,IF(A126&lt;'Données projet'!$A$36,$K$205^A126,IF(A126='Données projet'!$A$36,'Données projet'!$B$36,N125+M126-V125)))</f>
        <v>396.99999999999966</v>
      </c>
      <c r="O126" s="13">
        <f>N126*VLOOKUP('Données projet'!$B$9,Paramètres!$A$1:$I$89,3,0)*VLOOKUP('Données projet'!$B$9,Paramètres!$A$1:$I$89,5,0)</f>
        <v>359.20559999999966</v>
      </c>
      <c r="P126" s="13">
        <f t="shared" si="87"/>
        <v>83.455166295200186</v>
      </c>
      <c r="Q126" s="20">
        <f t="shared" si="107"/>
        <v>770.96750129747295</v>
      </c>
      <c r="R126" s="59">
        <f t="shared" si="55"/>
        <v>1048.1112332857526</v>
      </c>
      <c r="S126" s="59">
        <f ca="1">AVERAGE(OFFSET($R$3,0,0,'Données projet'!$E$9+1,1))-AVERAGE(OFFSET($H$3,0,0,'Données projet'!$E$9+1,1))</f>
        <v>600.52384738314299</v>
      </c>
      <c r="T126" s="59">
        <f t="shared" si="88"/>
        <v>314.84650287986256</v>
      </c>
      <c r="U126" s="15">
        <f>IF(ISNA(VLOOKUP(A126,'Données projet'!$A$35:$I$55,3,0)),0,VLOOKUP(A126,'Données projet'!$A$35:$I$55,3,0))</f>
        <v>11</v>
      </c>
      <c r="V126" s="15">
        <f>IF(ISNA(VLOOKUP(A126,'Données projet'!$A$35:$I$55,4,0)),0,VLOOKUP(A126,'Données projet'!$A$35:$I$55,4,0))</f>
        <v>41</v>
      </c>
      <c r="W126" s="16">
        <f>IF(ISNA(VLOOKUP(A126,'Données projet'!$A$35:$I$55,5,0)),0%,VLOOKUP(A126,'Données projet'!$A$35:$I$55,5,0)*VLOOKUP('Données projet'!$B$9,Paramètres!$A$1:$I$89,7,0))</f>
        <v>0.30099999999999999</v>
      </c>
      <c r="X126" s="16">
        <f>IF(ISNA(VLOOKUP(A126,'Données projet'!$A$35:$I$55,6,0)),0%,VLOOKUP(A126,'Données projet'!$A$35:$I$55,6,0)*VLOOKUP('Données projet'!$B$9,Paramètres!$A$1:$I$89,7,0))</f>
        <v>4.3000000000000003E-2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40.385567504819605</v>
      </c>
      <c r="AA126" s="21">
        <f>EXP(-LN(2)/25)*AA125+(1-EXP(-LN(2)/25))/(LN(2)/25)*Calculateur!V126*Calculateur!X126*VLOOKUP('Données projet'!$B$9,Paramètres!$A$1:$I$89,3,0)*0.475*44/12</f>
        <v>19.934202299270144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60.319769804089745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-1.4897523215040567E-13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436.77894860279537</v>
      </c>
      <c r="AO126" s="59">
        <f t="shared" si="90"/>
        <v>398.63561969573072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75.762998762828474</v>
      </c>
      <c r="AV126" s="21">
        <f>EXP(-LN(2)/25)*AV125+(1-EXP(-LN(2)/25))/(LN(2)/25)*Calculateur!AQ126*Calculateur!AS126*VLOOKUP('Données projet'!$B$10,Paramètres!$A$1:$I$89,3,0)*0.475*44/12</f>
        <v>10.113954872831741</v>
      </c>
      <c r="AW126" s="21">
        <f>EXP(-LN(2)/2)*AW125+(1-EXP(-LN(2)/2))/(LN(2)/2)*AQ126*AT126*VLOOKUP('Données projet'!$B$10,Paramètres!$A$1:$I$89,3,0)*0.475*44/12</f>
        <v>1.5868817464087891E-14</v>
      </c>
      <c r="AX126" s="21">
        <f t="shared" si="60"/>
        <v>85.876953635660229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-1.3567387213697657E-13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344.97546176735341</v>
      </c>
      <c r="BJ126" s="59">
        <f t="shared" si="92"/>
        <v>331.15461126257492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44.116161055061127</v>
      </c>
      <c r="BQ126" s="21">
        <f>EXP(-LN(2)/25)*BQ125+(1-EXP(-LN(2)/25))/(LN(2)/25)*Calculateur!BL126*Calculateur!BN126*VLOOKUP('Données projet'!$B$11,Paramètres!$A$1:$I$89,3,0)*0.475*44/12</f>
        <v>0.8607019925291397</v>
      </c>
      <c r="BR126" s="21">
        <f>EXP(-LN(2)/2)*BR125+(1-EXP(-LN(2)/2))/(LN(2)/2)*BL126*BO126*VLOOKUP('Données projet'!$B$11,Paramètres!$A$1:$I$89,3,0)*0.475*44/12</f>
        <v>1.4030893532174376E-5</v>
      </c>
      <c r="BS126" s="22">
        <f t="shared" si="63"/>
        <v>44.976877078483795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-1.7053025658242404E-13</v>
      </c>
      <c r="BZ126" s="13">
        <f>BY126*VLOOKUP('Données projet'!$B$12,Paramètres!$A$1:$I$89,3,0)*VLOOKUP('Données projet'!$B$12,Paramètres!$A$1:$I$89,5,0)</f>
        <v>-1.3567387213697657E-13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344.97546176735341</v>
      </c>
      <c r="CE126" s="59">
        <f t="shared" si="94"/>
        <v>331.15461126257492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44.116161055061127</v>
      </c>
      <c r="CL126" s="21">
        <f>EXP(-LN(2)/25)*CL125+(1-EXP(-LN(2)/25))/(LN(2)/25)*Calculateur!CG126*Calculateur!CI126*VLOOKUP('Données projet'!$B$12,Paramètres!$A$1:$I$89,3,0)*0.475*44/12</f>
        <v>0.8607019925291397</v>
      </c>
      <c r="CM126" s="21">
        <f>EXP(-LN(2)/2)*CM125+(1-EXP(-LN(2)/2))/(LN(2)/2)*CG126*CJ126*VLOOKUP('Données projet'!$B$12,Paramètres!$A$1:$I$89,3,0)*0.475*44/12</f>
        <v>1.4030893532174376E-5</v>
      </c>
      <c r="CN126" s="22">
        <f t="shared" si="66"/>
        <v>44.976877078483795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227.19465047672969</v>
      </c>
      <c r="CZ126" s="59">
        <f t="shared" si="96"/>
        <v>529.77979244134417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15.615966158668211</v>
      </c>
      <c r="DG126" s="21">
        <f>EXP(-LN(2)/25)*DG125+(1-EXP(-LN(2)/25))/(LN(2)/25)*Calculateur!DB126*Calculateur!DD126*VLOOKUP('Données projet'!$B$13,Paramètres!$A$1:$I$89,3,0)*0.475*44/12</f>
        <v>2.4044790306531434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18.020445189321354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240.09151195692266</v>
      </c>
      <c r="DU126" s="59">
        <f t="shared" si="98"/>
        <v>559.47775134103165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16.636617541587682</v>
      </c>
      <c r="EB126" s="21">
        <f>EXP(-LN(2)/25)*EB125+(1-EXP(-LN(2)/25))/(LN(2)/25)*Calculateur!DW126*Calculateur!DY126*VLOOKUP('Données projet'!$B$14,Paramètres!$A$1:$I$89,3,0)*0.475*44/12</f>
        <v>2.5616345228526956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19.198252064440378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5.6843418860808015E-14</v>
      </c>
      <c r="EK126" s="17">
        <f>EJ126*VLOOKUP('Données projet'!$B$15,Paramètres!$A$1:$I$89,3,0)*VLOOKUP('Données projet'!$B$15,Paramètres!$A$1:$I$89,5,0)</f>
        <v>4.4337866711430253E-14</v>
      </c>
      <c r="EL126" s="13">
        <f t="shared" si="99"/>
        <v>7.3222115536967035E-13</v>
      </c>
      <c r="EM126" s="20">
        <f t="shared" si="73"/>
        <v>1.3525069634579169E-12</v>
      </c>
      <c r="EN126" s="59">
        <f t="shared" si="74"/>
        <v>277.1437319882811</v>
      </c>
      <c r="EO126" s="59">
        <f ca="1">AVERAGE(OFFSET($EN$3,0,0,'Données projet'!$E$15+1,1))-AVERAGE(OFFSET($H$3,0,0,'Données projet'!$E$15+1,1))</f>
        <v>328.79469965518484</v>
      </c>
      <c r="EP126" s="59">
        <f t="shared" si="100"/>
        <v>322.06400652269735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22.806824954668247</v>
      </c>
      <c r="EW126" s="21">
        <f>EXP(-LN(2)/25)*EW125+(1-EXP(-LN(2)/25))/(LN(2)/25)*Calculateur!ER126*Calculateur!ET126*VLOOKUP('Données projet'!$B$15,Paramètres!$A$1:$I$89,3,0)*0.475*44/12</f>
        <v>2.1285614250958456</v>
      </c>
      <c r="EX126" s="21">
        <f>EXP(-LN(2)/2)*EX125+(1-EXP(-LN(2)/2))/(LN(2)/2)*ER126*EU126*VLOOKUP('Données projet'!$B$15,Paramètres!$A$1:$I$89,3,0)*0.475*44/12</f>
        <v>5.4320420472393836E-7</v>
      </c>
      <c r="EY126" s="22">
        <f t="shared" si="75"/>
        <v>24.935386922968299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-5.6843418860808015E-14</v>
      </c>
      <c r="FF126" s="17">
        <f>FE126*VLOOKUP('Données projet'!$B$16,Paramètres!$A$1:$I$89,3,0)*VLOOKUP('Données projet'!$B$16,Paramètres!$A$1:$I$89,5,0)</f>
        <v>-4.1677594708744434E-14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525.22234644068908</v>
      </c>
      <c r="FK126" s="59">
        <f t="shared" si="102"/>
        <v>311.5550296132094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121.12422011534655</v>
      </c>
      <c r="FR126" s="21">
        <f>EXP(-LN(2)/25)*FR125+(1-EXP(-LN(2)/25))/(LN(2)/25)*Calculateur!FM126*Calculateur!FO126*VLOOKUP('Données projet'!$B$16,Paramètres!$A$1:$I$89,3,0)*0.475*44/12</f>
        <v>31.016796063198452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152.14101617854499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-1.7053025658242404E-13</v>
      </c>
      <c r="GA126" s="17">
        <f>FZ126*VLOOKUP('Données projet'!$B$17,Paramètres!$A$1:$I$89,3,0)*VLOOKUP('Données projet'!$B$17,Paramètres!$A$1:$I$89,5,0)</f>
        <v>-1.1173142411280423E-13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298.45881427802874</v>
      </c>
      <c r="GF126" s="59">
        <f t="shared" si="104"/>
        <v>287.00279305562356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29.476058773747855</v>
      </c>
      <c r="GM126" s="21">
        <f>EXP(-LN(2)/25)*GM125+(1-EXP(-LN(2)/25))/(LN(2)/25)*Calculateur!GH126*Calculateur!GJ126*VLOOKUP('Données projet'!$B$17,Paramètres!$A$1:$I$89,3,0)*0.475*44/12</f>
        <v>0.57507502719483039</v>
      </c>
      <c r="GN126" s="21">
        <f>EXP(-LN(2)/2)*GN125+(1-EXP(-LN(2)/2))/(LN(2)/2)*GH126*GK126*VLOOKUP('Données projet'!$B$17,Paramètres!$A$1:$I$89,3,0)*0.475*44/12</f>
        <v>1.1554853497084775E-5</v>
      </c>
      <c r="GO126" s="21">
        <f t="shared" si="81"/>
        <v>30.051145355796184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135.66666666666666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</v>
      </c>
      <c r="N127" s="13">
        <f>IF('Données projet'!$A$36&gt;35,N126+M127-V126,IF(A127&lt;'Données projet'!$A$36,$K$205^A127,IF(A127='Données projet'!$A$36,'Données projet'!$B$36,N126+M127-V126)))</f>
        <v>362.99999999999966</v>
      </c>
      <c r="O127" s="13">
        <f>N127*VLOOKUP('Données projet'!$B$9,Paramètres!$A$1:$I$89,3,0)*VLOOKUP('Données projet'!$B$9,Paramètres!$A$1:$I$89,5,0)</f>
        <v>328.44239999999968</v>
      </c>
      <c r="P127" s="13">
        <f t="shared" si="87"/>
        <v>77.107288085743335</v>
      </c>
      <c r="Q127" s="20">
        <f t="shared" si="107"/>
        <v>706.33237341600227</v>
      </c>
      <c r="R127" s="59">
        <f t="shared" si="55"/>
        <v>983.75695879309239</v>
      </c>
      <c r="S127" s="59">
        <f ca="1">AVERAGE(OFFSET($R$3,0,0,'Données projet'!$E$9+1,1))-AVERAGE(OFFSET($H$3,0,0,'Données projet'!$E$9+1,1))</f>
        <v>600.52384738314299</v>
      </c>
      <c r="T127" s="59">
        <f t="shared" si="88"/>
        <v>314.84650287986256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39.593631158813984</v>
      </c>
      <c r="AA127" s="21">
        <f>EXP(-LN(2)/25)*AA126+(1-EXP(-LN(2)/25))/(LN(2)/25)*Calculateur!V127*Calculateur!X127*VLOOKUP('Données projet'!$B$9,Paramètres!$A$1:$I$89,3,0)*0.475*44/12</f>
        <v>19.389100489102464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58.982731647916452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-1.4897523215040567E-13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436.77894860279537</v>
      </c>
      <c r="AO127" s="59">
        <f t="shared" si="90"/>
        <v>398.63561969573072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74.27733256795571</v>
      </c>
      <c r="AV127" s="21">
        <f>EXP(-LN(2)/25)*AV126+(1-EXP(-LN(2)/25))/(LN(2)/25)*Calculateur!AQ127*Calculateur!AS127*VLOOKUP('Données projet'!$B$10,Paramètres!$A$1:$I$89,3,0)*0.475*44/12</f>
        <v>9.8373882449643855</v>
      </c>
      <c r="AW127" s="21">
        <f>EXP(-LN(2)/2)*AW126+(1-EXP(-LN(2)/2))/(LN(2)/2)*AQ127*AT127*VLOOKUP('Données projet'!$B$10,Paramètres!$A$1:$I$89,3,0)*0.475*44/12</f>
        <v>1.122094843826806E-14</v>
      </c>
      <c r="AX127" s="21">
        <f t="shared" si="60"/>
        <v>84.114720812920112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-1.3567387213697657E-13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344.97546176735341</v>
      </c>
      <c r="BJ127" s="59">
        <f t="shared" si="92"/>
        <v>331.15461126257492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43.251070044972657</v>
      </c>
      <c r="BQ127" s="21">
        <f>EXP(-LN(2)/25)*BQ126+(1-EXP(-LN(2)/25))/(LN(2)/25)*Calculateur!BL127*Calculateur!BN127*VLOOKUP('Données projet'!$B$11,Paramètres!$A$1:$I$89,3,0)*0.475*44/12</f>
        <v>0.83716605128107979</v>
      </c>
      <c r="BR127" s="21">
        <f>EXP(-LN(2)/2)*BR126+(1-EXP(-LN(2)/2))/(LN(2)/2)*BL127*BO127*VLOOKUP('Données projet'!$B$11,Paramètres!$A$1:$I$89,3,0)*0.475*44/12</f>
        <v>9.9213399627069711E-6</v>
      </c>
      <c r="BS127" s="22">
        <f t="shared" si="63"/>
        <v>44.088246017593697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-1.7053025658242404E-13</v>
      </c>
      <c r="BZ127" s="13">
        <f>BY127*VLOOKUP('Données projet'!$B$12,Paramètres!$A$1:$I$89,3,0)*VLOOKUP('Données projet'!$B$12,Paramètres!$A$1:$I$89,5,0)</f>
        <v>-1.3567387213697657E-13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344.97546176735341</v>
      </c>
      <c r="CE127" s="59">
        <f t="shared" si="94"/>
        <v>331.15461126257492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43.251070044972657</v>
      </c>
      <c r="CL127" s="21">
        <f>EXP(-LN(2)/25)*CL126+(1-EXP(-LN(2)/25))/(LN(2)/25)*Calculateur!CG127*Calculateur!CI127*VLOOKUP('Données projet'!$B$12,Paramètres!$A$1:$I$89,3,0)*0.475*44/12</f>
        <v>0.83716605128107979</v>
      </c>
      <c r="CM127" s="21">
        <f>EXP(-LN(2)/2)*CM126+(1-EXP(-LN(2)/2))/(LN(2)/2)*CG127*CJ127*VLOOKUP('Données projet'!$B$12,Paramètres!$A$1:$I$89,3,0)*0.475*44/12</f>
        <v>9.9213399627069711E-6</v>
      </c>
      <c r="CN127" s="22">
        <f t="shared" si="66"/>
        <v>44.088246017593697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227.19465047672969</v>
      </c>
      <c r="CZ127" s="59">
        <f t="shared" si="96"/>
        <v>529.77979244134417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15.309746587095589</v>
      </c>
      <c r="DG127" s="21">
        <f>EXP(-LN(2)/25)*DG126+(1-EXP(-LN(2)/25))/(LN(2)/25)*Calculateur!DB127*Calculateur!DD127*VLOOKUP('Données projet'!$B$13,Paramètres!$A$1:$I$89,3,0)*0.475*44/12</f>
        <v>2.3387284251138767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17.648475012209467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240.09151195692266</v>
      </c>
      <c r="DU127" s="59">
        <f t="shared" si="98"/>
        <v>559.47775134103165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16.310383618931883</v>
      </c>
      <c r="EB127" s="21">
        <f>EXP(-LN(2)/25)*EB126+(1-EXP(-LN(2)/25))/(LN(2)/25)*Calculateur!DW127*Calculateur!DY127*VLOOKUP('Données projet'!$B$14,Paramètres!$A$1:$I$89,3,0)*0.475*44/12</f>
        <v>2.4915864921147839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18.801970111046668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5.6843418860808015E-14</v>
      </c>
      <c r="EK127" s="17">
        <f>EJ127*VLOOKUP('Données projet'!$B$15,Paramètres!$A$1:$I$89,3,0)*VLOOKUP('Données projet'!$B$15,Paramètres!$A$1:$I$89,5,0)</f>
        <v>4.4337866711430253E-14</v>
      </c>
      <c r="EL127" s="13">
        <f t="shared" si="99"/>
        <v>7.3222115536967035E-13</v>
      </c>
      <c r="EM127" s="20">
        <f t="shared" si="73"/>
        <v>1.3525069634579169E-12</v>
      </c>
      <c r="EN127" s="59">
        <f t="shared" si="74"/>
        <v>277.42458537709149</v>
      </c>
      <c r="EO127" s="59">
        <f ca="1">AVERAGE(OFFSET($EN$3,0,0,'Données projet'!$E$15+1,1))-AVERAGE(OFFSET($H$3,0,0,'Données projet'!$E$15+1,1))</f>
        <v>328.79469965518484</v>
      </c>
      <c r="EP127" s="59">
        <f t="shared" si="100"/>
        <v>322.06400652269735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22.35959702809685</v>
      </c>
      <c r="EW127" s="21">
        <f>EXP(-LN(2)/25)*EW126+(1-EXP(-LN(2)/25))/(LN(2)/25)*Calculateur!ER127*Calculateur!ET127*VLOOKUP('Données projet'!$B$15,Paramètres!$A$1:$I$89,3,0)*0.475*44/12</f>
        <v>2.070355800990419</v>
      </c>
      <c r="EX127" s="21">
        <f>EXP(-LN(2)/2)*EX126+(1-EXP(-LN(2)/2))/(LN(2)/2)*ER127*EU127*VLOOKUP('Données projet'!$B$15,Paramètres!$A$1:$I$89,3,0)*0.475*44/12</f>
        <v>3.8410337672934245E-7</v>
      </c>
      <c r="EY127" s="22">
        <f t="shared" si="75"/>
        <v>24.429953213190647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-5.6843418860808015E-14</v>
      </c>
      <c r="FF127" s="17">
        <f>FE127*VLOOKUP('Données projet'!$B$16,Paramètres!$A$1:$I$89,3,0)*VLOOKUP('Données projet'!$B$16,Paramètres!$A$1:$I$89,5,0)</f>
        <v>-4.1677594708744434E-14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525.22234644068908</v>
      </c>
      <c r="FK127" s="59">
        <f t="shared" si="102"/>
        <v>311.5550296132094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118.74904803736398</v>
      </c>
      <c r="FR127" s="21">
        <f>EXP(-LN(2)/25)*FR126+(1-EXP(-LN(2)/25))/(LN(2)/25)*Calculateur!FM127*Calculateur!FO127*VLOOKUP('Données projet'!$B$16,Paramètres!$A$1:$I$89,3,0)*0.475*44/12</f>
        <v>30.168640143747876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148.91768818111186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-1.7053025658242404E-13</v>
      </c>
      <c r="GA127" s="17">
        <f>FZ127*VLOOKUP('Données projet'!$B$17,Paramètres!$A$1:$I$89,3,0)*VLOOKUP('Données projet'!$B$17,Paramètres!$A$1:$I$89,5,0)</f>
        <v>-1.1173142411280423E-13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298.45881427802874</v>
      </c>
      <c r="GF127" s="59">
        <f t="shared" si="104"/>
        <v>287.00279305562356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28.89805123981527</v>
      </c>
      <c r="GM127" s="21">
        <f>EXP(-LN(2)/25)*GM126+(1-EXP(-LN(2)/25))/(LN(2)/25)*Calculateur!GH127*Calculateur!GJ127*VLOOKUP('Données projet'!$B$17,Paramètres!$A$1:$I$89,3,0)*0.475*44/12</f>
        <v>0.55934957033430643</v>
      </c>
      <c r="GN127" s="21">
        <f>EXP(-LN(2)/2)*GN126+(1-EXP(-LN(2)/2))/(LN(2)/2)*GH127*GK127*VLOOKUP('Données projet'!$B$17,Paramètres!$A$1:$I$89,3,0)*0.475*44/12</f>
        <v>8.1705152634057372E-6</v>
      </c>
      <c r="GO127" s="21">
        <f t="shared" si="81"/>
        <v>29.457408980664837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135.66666666666666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7</v>
      </c>
      <c r="N128" s="13">
        <f>IF('Données projet'!$A$36&gt;35,N127+M128-V127,IF(A128&lt;'Données projet'!$A$36,$K$205^A128,IF(A128='Données projet'!$A$36,'Données projet'!$B$36,N127+M128-V127)))</f>
        <v>369.99999999999966</v>
      </c>
      <c r="O128" s="13">
        <f>N128*VLOOKUP('Données projet'!$B$9,Paramètres!$A$1:$I$89,3,0)*VLOOKUP('Données projet'!$B$9,Paramètres!$A$1:$I$89,5,0)</f>
        <v>334.77599999999967</v>
      </c>
      <c r="P128" s="13">
        <f t="shared" si="87"/>
        <v>78.419664234834713</v>
      </c>
      <c r="Q128" s="20">
        <f t="shared" si="107"/>
        <v>719.6491152090033</v>
      </c>
      <c r="R128" s="59">
        <f t="shared" si="55"/>
        <v>997.34968179650207</v>
      </c>
      <c r="S128" s="59">
        <f ca="1">AVERAGE(OFFSET($R$3,0,0,'Données projet'!$E$9+1,1))-AVERAGE(OFFSET($H$3,0,0,'Données projet'!$E$9+1,1))</f>
        <v>600.52384738314299</v>
      </c>
      <c r="T128" s="59">
        <f t="shared" si="88"/>
        <v>314.84650287986256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38.817224201520062</v>
      </c>
      <c r="AA128" s="21">
        <f>EXP(-LN(2)/25)*AA127+(1-EXP(-LN(2)/25))/(LN(2)/25)*Calculateur!V128*Calculateur!X128*VLOOKUP('Données projet'!$B$9,Paramètres!$A$1:$I$89,3,0)*0.475*44/12</f>
        <v>18.858904516599477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57.676128718119543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-1.4897523215040567E-13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436.77894860279537</v>
      </c>
      <c r="AO128" s="59">
        <f t="shared" si="90"/>
        <v>398.63561969573072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72.820799380997499</v>
      </c>
      <c r="AV128" s="21">
        <f>EXP(-LN(2)/25)*AV127+(1-EXP(-LN(2)/25))/(LN(2)/25)*Calculateur!AQ128*Calculateur!AS128*VLOOKUP('Données projet'!$B$10,Paramètres!$A$1:$I$89,3,0)*0.475*44/12</f>
        <v>9.5683843460800695</v>
      </c>
      <c r="AW128" s="21">
        <f>EXP(-LN(2)/2)*AW127+(1-EXP(-LN(2)/2))/(LN(2)/2)*AQ128*AT128*VLOOKUP('Données projet'!$B$10,Paramètres!$A$1:$I$89,3,0)*0.475*44/12</f>
        <v>7.9344087320439454E-15</v>
      </c>
      <c r="AX128" s="21">
        <f t="shared" si="60"/>
        <v>82.38918372707758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-1.3567387213697657E-13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344.97546176735341</v>
      </c>
      <c r="BJ128" s="59">
        <f t="shared" si="92"/>
        <v>331.15461126257492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42.402942941938605</v>
      </c>
      <c r="BQ128" s="21">
        <f>EXP(-LN(2)/25)*BQ127+(1-EXP(-LN(2)/25))/(LN(2)/25)*Calculateur!BL128*Calculateur!BN128*VLOOKUP('Données projet'!$B$11,Paramètres!$A$1:$I$89,3,0)*0.475*44/12</f>
        <v>0.81427370158414936</v>
      </c>
      <c r="BR128" s="21">
        <f>EXP(-LN(2)/2)*BR127+(1-EXP(-LN(2)/2))/(LN(2)/2)*BL128*BO128*VLOOKUP('Données projet'!$B$11,Paramètres!$A$1:$I$89,3,0)*0.475*44/12</f>
        <v>7.0154467660871879E-6</v>
      </c>
      <c r="BS128" s="22">
        <f t="shared" si="63"/>
        <v>43.217223658969523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-1.7053025658242404E-13</v>
      </c>
      <c r="BZ128" s="13">
        <f>BY128*VLOOKUP('Données projet'!$B$12,Paramètres!$A$1:$I$89,3,0)*VLOOKUP('Données projet'!$B$12,Paramètres!$A$1:$I$89,5,0)</f>
        <v>-1.3567387213697657E-13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344.97546176735341</v>
      </c>
      <c r="CE128" s="59">
        <f t="shared" si="94"/>
        <v>331.15461126257492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42.402942941938605</v>
      </c>
      <c r="CL128" s="21">
        <f>EXP(-LN(2)/25)*CL127+(1-EXP(-LN(2)/25))/(LN(2)/25)*Calculateur!CG128*Calculateur!CI128*VLOOKUP('Données projet'!$B$12,Paramètres!$A$1:$I$89,3,0)*0.475*44/12</f>
        <v>0.81427370158414936</v>
      </c>
      <c r="CM128" s="21">
        <f>EXP(-LN(2)/2)*CM127+(1-EXP(-LN(2)/2))/(LN(2)/2)*CG128*CJ128*VLOOKUP('Données projet'!$B$12,Paramètres!$A$1:$I$89,3,0)*0.475*44/12</f>
        <v>7.0154467660871879E-6</v>
      </c>
      <c r="CN128" s="22">
        <f t="shared" si="66"/>
        <v>43.217223658969523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227.19465047672969</v>
      </c>
      <c r="CZ128" s="59">
        <f t="shared" si="96"/>
        <v>529.77979244134417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15.009531794546008</v>
      </c>
      <c r="DG128" s="21">
        <f>EXP(-LN(2)/25)*DG127+(1-EXP(-LN(2)/25))/(LN(2)/25)*Calculateur!DB128*Calculateur!DD128*VLOOKUP('Données projet'!$B$13,Paramètres!$A$1:$I$89,3,0)*0.475*44/12</f>
        <v>2.274775773340755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17.284307567886763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240.09151195692266</v>
      </c>
      <c r="DU128" s="59">
        <f t="shared" si="98"/>
        <v>559.47775134103165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15.990546944516318</v>
      </c>
      <c r="EB128" s="21">
        <f>EXP(-LN(2)/25)*EB127+(1-EXP(-LN(2)/25))/(LN(2)/25)*Calculateur!DW128*Calculateur!DY128*VLOOKUP('Données projet'!$B$14,Paramètres!$A$1:$I$89,3,0)*0.475*44/12</f>
        <v>2.4234539284610661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18.414000872977383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5.6843418860808015E-14</v>
      </c>
      <c r="EK128" s="17">
        <f>EJ128*VLOOKUP('Données projet'!$B$15,Paramètres!$A$1:$I$89,3,0)*VLOOKUP('Données projet'!$B$15,Paramètres!$A$1:$I$89,5,0)</f>
        <v>4.4337866711430253E-14</v>
      </c>
      <c r="EL128" s="13">
        <f t="shared" si="99"/>
        <v>7.3222115536967035E-13</v>
      </c>
      <c r="EM128" s="20">
        <f t="shared" si="73"/>
        <v>1.3525069634579169E-12</v>
      </c>
      <c r="EN128" s="59">
        <f t="shared" si="74"/>
        <v>277.70056658750013</v>
      </c>
      <c r="EO128" s="59">
        <f ca="1">AVERAGE(OFFSET($EN$3,0,0,'Données projet'!$E$15+1,1))-AVERAGE(OFFSET($H$3,0,0,'Données projet'!$E$15+1,1))</f>
        <v>328.79469965518484</v>
      </c>
      <c r="EP128" s="59">
        <f t="shared" si="100"/>
        <v>322.06400652269735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21.921138968383417</v>
      </c>
      <c r="EW128" s="21">
        <f>EXP(-LN(2)/25)*EW127+(1-EXP(-LN(2)/25))/(LN(2)/25)*Calculateur!ER128*Calculateur!ET128*VLOOKUP('Données projet'!$B$15,Paramètres!$A$1:$I$89,3,0)*0.475*44/12</f>
        <v>2.0137418127370563</v>
      </c>
      <c r="EX128" s="21">
        <f>EXP(-LN(2)/2)*EX127+(1-EXP(-LN(2)/2))/(LN(2)/2)*ER128*EU128*VLOOKUP('Données projet'!$B$15,Paramètres!$A$1:$I$89,3,0)*0.475*44/12</f>
        <v>2.7160210236196918E-7</v>
      </c>
      <c r="EY128" s="22">
        <f t="shared" si="75"/>
        <v>23.934881052722574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-5.6843418860808015E-14</v>
      </c>
      <c r="FF128" s="17">
        <f>FE128*VLOOKUP('Données projet'!$B$16,Paramètres!$A$1:$I$89,3,0)*VLOOKUP('Données projet'!$B$16,Paramètres!$A$1:$I$89,5,0)</f>
        <v>-4.1677594708744434E-14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525.22234644068908</v>
      </c>
      <c r="FK128" s="59">
        <f t="shared" si="102"/>
        <v>311.5550296132094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116.42045163511872</v>
      </c>
      <c r="FR128" s="21">
        <f>EXP(-LN(2)/25)*FR127+(1-EXP(-LN(2)/25))/(LN(2)/25)*Calculateur!FM128*Calculateur!FO128*VLOOKUP('Données projet'!$B$16,Paramètres!$A$1:$I$89,3,0)*0.475*44/12</f>
        <v>29.343677092517257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145.76412872763598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-1.7053025658242404E-13</v>
      </c>
      <c r="GA128" s="17">
        <f>FZ128*VLOOKUP('Données projet'!$B$17,Paramètres!$A$1:$I$89,3,0)*VLOOKUP('Données projet'!$B$17,Paramètres!$A$1:$I$89,5,0)</f>
        <v>-1.1173142411280423E-13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298.45881427802874</v>
      </c>
      <c r="GF128" s="59">
        <f t="shared" si="104"/>
        <v>287.00279305562356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28.331378081073318</v>
      </c>
      <c r="GM128" s="21">
        <f>EXP(-LN(2)/25)*GM127+(1-EXP(-LN(2)/25))/(LN(2)/25)*Calculateur!GH128*Calculateur!GJ128*VLOOKUP('Données projet'!$B$17,Paramètres!$A$1:$I$89,3,0)*0.475*44/12</f>
        <v>0.54405412691859933</v>
      </c>
      <c r="GN128" s="21">
        <f>EXP(-LN(2)/2)*GN127+(1-EXP(-LN(2)/2))/(LN(2)/2)*GH128*GK128*VLOOKUP('Données projet'!$B$17,Paramètres!$A$1:$I$89,3,0)*0.475*44/12</f>
        <v>5.7774267485423874E-6</v>
      </c>
      <c r="GO128" s="21">
        <f t="shared" si="81"/>
        <v>28.875437985418664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135.66666666666666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</v>
      </c>
      <c r="N129" s="13">
        <f>IF('Données projet'!$A$36&gt;35,N128+M129-V128,IF(A129&lt;'Données projet'!$A$36,$K$205^A129,IF(A129='Données projet'!$A$36,'Données projet'!$B$36,N128+M129-V128)))</f>
        <v>376.99999999999966</v>
      </c>
      <c r="O129" s="13">
        <f>N129*VLOOKUP('Données projet'!$B$9,Paramètres!$A$1:$I$89,3,0)*VLOOKUP('Données projet'!$B$9,Paramètres!$A$1:$I$89,5,0)</f>
        <v>341.10959999999972</v>
      </c>
      <c r="P129" s="13">
        <f t="shared" si="87"/>
        <v>79.729153316624988</v>
      </c>
      <c r="Q129" s="20">
        <f t="shared" si="107"/>
        <v>732.96082869312124</v>
      </c>
      <c r="R129" s="59">
        <f t="shared" si="55"/>
        <v>1010.9325888340296</v>
      </c>
      <c r="S129" s="59">
        <f ca="1">AVERAGE(OFFSET($R$3,0,0,'Données projet'!$E$9+1,1))-AVERAGE(OFFSET($H$3,0,0,'Données projet'!$E$9+1,1))</f>
        <v>600.52384738314299</v>
      </c>
      <c r="T129" s="59">
        <f t="shared" si="88"/>
        <v>314.84650287986256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38.056042111097192</v>
      </c>
      <c r="AA129" s="21">
        <f>EXP(-LN(2)/25)*AA128+(1-EXP(-LN(2)/25))/(LN(2)/25)*Calculateur!V129*Calculateur!X129*VLOOKUP('Données projet'!$B$9,Paramètres!$A$1:$I$89,3,0)*0.475*44/12</f>
        <v>18.34320678084638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56.399248891943571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-1.4897523215040567E-13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436.77894860279537</v>
      </c>
      <c r="AO129" s="59">
        <f t="shared" si="90"/>
        <v>398.63561969573072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71.392827921438013</v>
      </c>
      <c r="AV129" s="21">
        <f>EXP(-LN(2)/25)*AV128+(1-EXP(-LN(2)/25))/(LN(2)/25)*Calculateur!AQ129*Calculateur!AS129*VLOOKUP('Données projet'!$B$10,Paramètres!$A$1:$I$89,3,0)*0.475*44/12</f>
        <v>9.3067363729570456</v>
      </c>
      <c r="AW129" s="21">
        <f>EXP(-LN(2)/2)*AW128+(1-EXP(-LN(2)/2))/(LN(2)/2)*AQ129*AT129*VLOOKUP('Données projet'!$B$10,Paramètres!$A$1:$I$89,3,0)*0.475*44/12</f>
        <v>5.6104742191340302E-15</v>
      </c>
      <c r="AX129" s="21">
        <f t="shared" si="60"/>
        <v>80.69956429439506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-1.3567387213697657E-13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344.97546176735341</v>
      </c>
      <c r="BJ129" s="59">
        <f t="shared" si="92"/>
        <v>331.15461126257492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41.571447094088597</v>
      </c>
      <c r="BQ129" s="21">
        <f>EXP(-LN(2)/25)*BQ128+(1-EXP(-LN(2)/25))/(LN(2)/25)*Calculateur!BL129*Calculateur!BN129*VLOOKUP('Données projet'!$B$11,Paramètres!$A$1:$I$89,3,0)*0.475*44/12</f>
        <v>0.79200734439353793</v>
      </c>
      <c r="BR129" s="21">
        <f>EXP(-LN(2)/2)*BR128+(1-EXP(-LN(2)/2))/(LN(2)/2)*BL129*BO129*VLOOKUP('Données projet'!$B$11,Paramètres!$A$1:$I$89,3,0)*0.475*44/12</f>
        <v>4.9606699813534855E-6</v>
      </c>
      <c r="BS129" s="22">
        <f t="shared" si="63"/>
        <v>42.36345939915212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-1.7053025658242404E-13</v>
      </c>
      <c r="BZ129" s="13">
        <f>BY129*VLOOKUP('Données projet'!$B$12,Paramètres!$A$1:$I$89,3,0)*VLOOKUP('Données projet'!$B$12,Paramètres!$A$1:$I$89,5,0)</f>
        <v>-1.3567387213697657E-13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344.97546176735341</v>
      </c>
      <c r="CE129" s="59">
        <f t="shared" si="94"/>
        <v>331.15461126257492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41.571447094088597</v>
      </c>
      <c r="CL129" s="21">
        <f>EXP(-LN(2)/25)*CL128+(1-EXP(-LN(2)/25))/(LN(2)/25)*Calculateur!CG129*Calculateur!CI129*VLOOKUP('Données projet'!$B$12,Paramètres!$A$1:$I$89,3,0)*0.475*44/12</f>
        <v>0.79200734439353793</v>
      </c>
      <c r="CM129" s="21">
        <f>EXP(-LN(2)/2)*CM128+(1-EXP(-LN(2)/2))/(LN(2)/2)*CG129*CJ129*VLOOKUP('Données projet'!$B$12,Paramètres!$A$1:$I$89,3,0)*0.475*44/12</f>
        <v>4.9606699813534855E-6</v>
      </c>
      <c r="CN129" s="22">
        <f t="shared" si="66"/>
        <v>42.36345939915212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227.19465047672969</v>
      </c>
      <c r="CZ129" s="59">
        <f t="shared" si="96"/>
        <v>529.77979244134417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14.715204030965383</v>
      </c>
      <c r="DG129" s="21">
        <f>EXP(-LN(2)/25)*DG128+(1-EXP(-LN(2)/25))/(LN(2)/25)*Calculateur!DB129*Calculateur!DD129*VLOOKUP('Données projet'!$B$13,Paramètres!$A$1:$I$89,3,0)*0.475*44/12</f>
        <v>2.2125719101934931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16.927775941158878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240.09151195692266</v>
      </c>
      <c r="DU129" s="59">
        <f t="shared" si="98"/>
        <v>559.47775134103165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15.676982072204934</v>
      </c>
      <c r="EB129" s="21">
        <f>EXP(-LN(2)/25)*EB128+(1-EXP(-LN(2)/25))/(LN(2)/25)*Calculateur!DW129*Calculateur!DY129*VLOOKUP('Données projet'!$B$14,Paramètres!$A$1:$I$89,3,0)*0.475*44/12</f>
        <v>2.357184453343395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18.034166525548329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5.6843418860808015E-14</v>
      </c>
      <c r="EK129" s="17">
        <f>EJ129*VLOOKUP('Données projet'!$B$15,Paramètres!$A$1:$I$89,3,0)*VLOOKUP('Données projet'!$B$15,Paramètres!$A$1:$I$89,5,0)</f>
        <v>4.4337866711430253E-14</v>
      </c>
      <c r="EL129" s="13">
        <f t="shared" si="99"/>
        <v>7.3222115536967035E-13</v>
      </c>
      <c r="EM129" s="20">
        <f t="shared" si="73"/>
        <v>1.3525069634579169E-12</v>
      </c>
      <c r="EN129" s="59">
        <f t="shared" si="74"/>
        <v>277.97176014090974</v>
      </c>
      <c r="EO129" s="59">
        <f ca="1">AVERAGE(OFFSET($EN$3,0,0,'Données projet'!$E$15+1,1))-AVERAGE(OFFSET($H$3,0,0,'Données projet'!$E$15+1,1))</f>
        <v>328.79469965518484</v>
      </c>
      <c r="EP129" s="59">
        <f t="shared" si="100"/>
        <v>322.06400652269735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21.491278803787953</v>
      </c>
      <c r="EW129" s="21">
        <f>EXP(-LN(2)/25)*EW128+(1-EXP(-LN(2)/25))/(LN(2)/25)*Calculateur!ER129*Calculateur!ET129*VLOOKUP('Données projet'!$B$15,Paramètres!$A$1:$I$89,3,0)*0.475*44/12</f>
        <v>1.958675936969682</v>
      </c>
      <c r="EX129" s="21">
        <f>EXP(-LN(2)/2)*EX128+(1-EXP(-LN(2)/2))/(LN(2)/2)*ER129*EU129*VLOOKUP('Données projet'!$B$15,Paramètres!$A$1:$I$89,3,0)*0.475*44/12</f>
        <v>1.9205168836467123E-7</v>
      </c>
      <c r="EY129" s="22">
        <f t="shared" si="75"/>
        <v>23.449954932809327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-5.6843418860808015E-14</v>
      </c>
      <c r="FF129" s="17">
        <f>FE129*VLOOKUP('Données projet'!$B$16,Paramètres!$A$1:$I$89,3,0)*VLOOKUP('Données projet'!$B$16,Paramètres!$A$1:$I$89,5,0)</f>
        <v>-4.1677594708744434E-14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525.22234644068908</v>
      </c>
      <c r="FK129" s="59">
        <f t="shared" si="102"/>
        <v>311.5550296132094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114.13751758801794</v>
      </c>
      <c r="FR129" s="21">
        <f>EXP(-LN(2)/25)*FR128+(1-EXP(-LN(2)/25))/(LN(2)/25)*Calculateur!FM129*Calculateur!FO129*VLOOKUP('Données projet'!$B$16,Paramètres!$A$1:$I$89,3,0)*0.475*44/12</f>
        <v>28.541272699305459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142.67879028732341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-1.7053025658242404E-13</v>
      </c>
      <c r="GA129" s="17">
        <f>FZ129*VLOOKUP('Données projet'!$B$17,Paramètres!$A$1:$I$89,3,0)*VLOOKUP('Données projet'!$B$17,Paramètres!$A$1:$I$89,5,0)</f>
        <v>-1.1173142411280423E-13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298.45881427802874</v>
      </c>
      <c r="GF129" s="59">
        <f t="shared" si="104"/>
        <v>287.00279305562356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27.775817037337799</v>
      </c>
      <c r="GM129" s="21">
        <f>EXP(-LN(2)/25)*GM128+(1-EXP(-LN(2)/25))/(LN(2)/25)*Calculateur!GH129*Calculateur!GJ129*VLOOKUP('Données projet'!$B$17,Paramètres!$A$1:$I$89,3,0)*0.475*44/12</f>
        <v>0.52917693820744716</v>
      </c>
      <c r="GN129" s="21">
        <f>EXP(-LN(2)/2)*GN128+(1-EXP(-LN(2)/2))/(LN(2)/2)*GH129*GK129*VLOOKUP('Données projet'!$B$17,Paramètres!$A$1:$I$89,3,0)*0.475*44/12</f>
        <v>4.0852576317028686E-6</v>
      </c>
      <c r="GO129" s="21">
        <f t="shared" si="81"/>
        <v>28.304998060802877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135.66666666666666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</v>
      </c>
      <c r="N130" s="13">
        <f>IF('Données projet'!$A$36&gt;35,N129+M130-V129,IF(A130&lt;'Données projet'!$A$36,$K$205^A130,IF(A130='Données projet'!$A$36,'Données projet'!$B$36,N129+M130-V129)))</f>
        <v>383.99999999999966</v>
      </c>
      <c r="O130" s="13">
        <f>N130*VLOOKUP('Données projet'!$B$9,Paramètres!$A$1:$I$89,3,0)*VLOOKUP('Données projet'!$B$9,Paramètres!$A$1:$I$89,5,0)</f>
        <v>347.44319999999971</v>
      </c>
      <c r="P130" s="13">
        <f t="shared" si="87"/>
        <v>81.035815119183155</v>
      </c>
      <c r="Q130" s="20">
        <f t="shared" si="107"/>
        <v>746.2676179992435</v>
      </c>
      <c r="R130" s="59">
        <f t="shared" si="55"/>
        <v>1024.5058670917078</v>
      </c>
      <c r="S130" s="59">
        <f ca="1">AVERAGE(OFFSET($R$3,0,0,'Données projet'!$E$9+1,1))-AVERAGE(OFFSET($H$3,0,0,'Données projet'!$E$9+1,1))</f>
        <v>600.52384738314299</v>
      </c>
      <c r="T130" s="59">
        <f t="shared" si="88"/>
        <v>314.84650287986256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37.309786337192278</v>
      </c>
      <c r="AA130" s="21">
        <f>EXP(-LN(2)/25)*AA129+(1-EXP(-LN(2)/25))/(LN(2)/25)*Calculateur!V130*Calculateur!X130*VLOOKUP('Données projet'!$B$9,Paramètres!$A$1:$I$89,3,0)*0.475*44/12</f>
        <v>17.841610826796813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55.151397163989088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-1.4897523215040567E-13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436.77894860279537</v>
      </c>
      <c r="AO130" s="59">
        <f t="shared" si="90"/>
        <v>398.63561969573072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69.992858111223896</v>
      </c>
      <c r="AV130" s="21">
        <f>EXP(-LN(2)/25)*AV129+(1-EXP(-LN(2)/25))/(LN(2)/25)*Calculateur!AQ130*Calculateur!AS130*VLOOKUP('Données projet'!$B$10,Paramètres!$A$1:$I$89,3,0)*0.475*44/12</f>
        <v>9.052243177418541</v>
      </c>
      <c r="AW130" s="21">
        <f>EXP(-LN(2)/2)*AW129+(1-EXP(-LN(2)/2))/(LN(2)/2)*AQ130*AT130*VLOOKUP('Données projet'!$B$10,Paramètres!$A$1:$I$89,3,0)*0.475*44/12</f>
        <v>3.9672043660219727E-15</v>
      </c>
      <c r="AX130" s="21">
        <f t="shared" si="60"/>
        <v>79.045101288642442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-1.3567387213697657E-13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344.97546176735341</v>
      </c>
      <c r="BJ130" s="59">
        <f t="shared" si="92"/>
        <v>331.15461126257492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40.756256372652544</v>
      </c>
      <c r="BQ130" s="21">
        <f>EXP(-LN(2)/25)*BQ129+(1-EXP(-LN(2)/25))/(LN(2)/25)*Calculateur!BL130*Calculateur!BN130*VLOOKUP('Données projet'!$B$11,Paramètres!$A$1:$I$89,3,0)*0.475*44/12</f>
        <v>0.77034986191124055</v>
      </c>
      <c r="BR130" s="21">
        <f>EXP(-LN(2)/2)*BR129+(1-EXP(-LN(2)/2))/(LN(2)/2)*BL130*BO130*VLOOKUP('Données projet'!$B$11,Paramètres!$A$1:$I$89,3,0)*0.475*44/12</f>
        <v>3.5077233830435939E-6</v>
      </c>
      <c r="BS130" s="22">
        <f t="shared" si="63"/>
        <v>41.526609742287171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-1.7053025658242404E-13</v>
      </c>
      <c r="BZ130" s="13">
        <f>BY130*VLOOKUP('Données projet'!$B$12,Paramètres!$A$1:$I$89,3,0)*VLOOKUP('Données projet'!$B$12,Paramètres!$A$1:$I$89,5,0)</f>
        <v>-1.3567387213697657E-13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344.97546176735341</v>
      </c>
      <c r="CE130" s="59">
        <f t="shared" si="94"/>
        <v>331.15461126257492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40.756256372652544</v>
      </c>
      <c r="CL130" s="21">
        <f>EXP(-LN(2)/25)*CL129+(1-EXP(-LN(2)/25))/(LN(2)/25)*Calculateur!CG130*Calculateur!CI130*VLOOKUP('Données projet'!$B$12,Paramètres!$A$1:$I$89,3,0)*0.475*44/12</f>
        <v>0.77034986191124055</v>
      </c>
      <c r="CM130" s="21">
        <f>EXP(-LN(2)/2)*CM129+(1-EXP(-LN(2)/2))/(LN(2)/2)*CG130*CJ130*VLOOKUP('Données projet'!$B$12,Paramètres!$A$1:$I$89,3,0)*0.475*44/12</f>
        <v>3.5077233830435939E-6</v>
      </c>
      <c r="CN130" s="22">
        <f t="shared" si="66"/>
        <v>41.526609742287171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227.19465047672969</v>
      </c>
      <c r="CZ130" s="59">
        <f t="shared" si="96"/>
        <v>529.77979244134417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14.426647855306365</v>
      </c>
      <c r="DG130" s="21">
        <f>EXP(-LN(2)/25)*DG129+(1-EXP(-LN(2)/25))/(LN(2)/25)*Calculateur!DB130*Calculateur!DD130*VLOOKUP('Données projet'!$B$13,Paramètres!$A$1:$I$89,3,0)*0.475*44/12</f>
        <v>2.1520690149551522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16.578716870261516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240.09151195692266</v>
      </c>
      <c r="DU130" s="59">
        <f t="shared" si="98"/>
        <v>559.47775134103165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15.369566015783889</v>
      </c>
      <c r="EB130" s="21">
        <f>EXP(-LN(2)/25)*EB129+(1-EXP(-LN(2)/25))/(LN(2)/25)*Calculateur!DW130*Calculateur!DY130*VLOOKUP('Données projet'!$B$14,Paramètres!$A$1:$I$89,3,0)*0.475*44/12</f>
        <v>2.2927271205077768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17.662293136291666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5.6843418860808015E-14</v>
      </c>
      <c r="EK130" s="17">
        <f>EJ130*VLOOKUP('Données projet'!$B$15,Paramètres!$A$1:$I$89,3,0)*VLOOKUP('Données projet'!$B$15,Paramètres!$A$1:$I$89,5,0)</f>
        <v>4.4337866711430253E-14</v>
      </c>
      <c r="EL130" s="13">
        <f t="shared" si="99"/>
        <v>7.3222115536967035E-13</v>
      </c>
      <c r="EM130" s="20">
        <f t="shared" si="73"/>
        <v>1.3525069634579169E-12</v>
      </c>
      <c r="EN130" s="59">
        <f t="shared" si="74"/>
        <v>278.23824909246565</v>
      </c>
      <c r="EO130" s="59">
        <f ca="1">AVERAGE(OFFSET($EN$3,0,0,'Données projet'!$E$15+1,1))-AVERAGE(OFFSET($H$3,0,0,'Données projet'!$E$15+1,1))</f>
        <v>328.79469965518484</v>
      </c>
      <c r="EP130" s="59">
        <f t="shared" si="100"/>
        <v>322.06400652269735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21.069847934831397</v>
      </c>
      <c r="EW130" s="21">
        <f>EXP(-LN(2)/25)*EW129+(1-EXP(-LN(2)/25))/(LN(2)/25)*Calculateur!ER130*Calculateur!ET130*VLOOKUP('Données projet'!$B$15,Paramètres!$A$1:$I$89,3,0)*0.475*44/12</f>
        <v>1.9051158404709552</v>
      </c>
      <c r="EX130" s="21">
        <f>EXP(-LN(2)/2)*EX129+(1-EXP(-LN(2)/2))/(LN(2)/2)*ER130*EU130*VLOOKUP('Données projet'!$B$15,Paramètres!$A$1:$I$89,3,0)*0.475*44/12</f>
        <v>1.3580105118098459E-7</v>
      </c>
      <c r="EY130" s="22">
        <f t="shared" si="75"/>
        <v>22.974963911103405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-5.6843418860808015E-14</v>
      </c>
      <c r="FF130" s="17">
        <f>FE130*VLOOKUP('Données projet'!$B$16,Paramètres!$A$1:$I$89,3,0)*VLOOKUP('Données projet'!$B$16,Paramètres!$A$1:$I$89,5,0)</f>
        <v>-4.1677594708744434E-14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525.22234644068908</v>
      </c>
      <c r="FK130" s="59">
        <f t="shared" si="102"/>
        <v>311.5550296132094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111.89935048512854</v>
      </c>
      <c r="FR130" s="21">
        <f>EXP(-LN(2)/25)*FR129+(1-EXP(-LN(2)/25))/(LN(2)/25)*Calculateur!FM130*Calculateur!FO130*VLOOKUP('Données projet'!$B$16,Paramètres!$A$1:$I$89,3,0)*0.475*44/12</f>
        <v>27.760810096422652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139.6601605815512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-1.7053025658242404E-13</v>
      </c>
      <c r="GA130" s="17">
        <f>FZ130*VLOOKUP('Données projet'!$B$17,Paramètres!$A$1:$I$89,3,0)*VLOOKUP('Données projet'!$B$17,Paramètres!$A$1:$I$89,5,0)</f>
        <v>-1.1173142411280423E-13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298.45881427802874</v>
      </c>
      <c r="GF130" s="59">
        <f t="shared" si="104"/>
        <v>287.00279305562356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27.231150206811154</v>
      </c>
      <c r="GM130" s="21">
        <f>EXP(-LN(2)/25)*GM129+(1-EXP(-LN(2)/25))/(LN(2)/25)*Calculateur!GH130*Calculateur!GJ130*VLOOKUP('Données projet'!$B$17,Paramètres!$A$1:$I$89,3,0)*0.475*44/12</f>
        <v>0.51470656700395878</v>
      </c>
      <c r="GN130" s="21">
        <f>EXP(-LN(2)/2)*GN129+(1-EXP(-LN(2)/2))/(LN(2)/2)*GH130*GK130*VLOOKUP('Données projet'!$B$17,Paramètres!$A$1:$I$89,3,0)*0.475*44/12</f>
        <v>2.8887133742711937E-6</v>
      </c>
      <c r="GO130" s="21">
        <f t="shared" si="81"/>
        <v>27.745859662528488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135.66666666666666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</v>
      </c>
      <c r="N131" s="13">
        <f>IF('Données projet'!$A$36&gt;35,N130+M131-V130,IF(A131&lt;'Données projet'!$A$36,$K$205^A131,IF(A131='Données projet'!$A$36,'Données projet'!$B$36,N130+M131-V130)))</f>
        <v>390.99999999999966</v>
      </c>
      <c r="O131" s="13">
        <f>N131*VLOOKUP('Données projet'!$B$9,Paramètres!$A$1:$I$89,3,0)*VLOOKUP('Données projet'!$B$9,Paramètres!$A$1:$I$89,5,0)</f>
        <v>353.77679999999964</v>
      </c>
      <c r="P131" s="13">
        <f t="shared" si="87"/>
        <v>82.33970712600572</v>
      </c>
      <c r="Q131" s="20">
        <f t="shared" ref="Q131:Q153" si="108">(O131+P131)*0.475*44/12</f>
        <v>759.5695832444593</v>
      </c>
      <c r="R131" s="59">
        <f t="shared" ref="R131:R194" si="109">Q131+(I131+J131)*44/12</f>
        <v>1038.06969830095</v>
      </c>
      <c r="S131" s="59">
        <f ca="1">AVERAGE(OFFSET($R$3,0,0,'Données projet'!$E$9+1,1))-AVERAGE(OFFSET($H$3,0,0,'Données projet'!$E$9+1,1))</f>
        <v>600.52384738314299</v>
      </c>
      <c r="T131" s="59">
        <f t="shared" si="88"/>
        <v>314.84650287986256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36.578164183842567</v>
      </c>
      <c r="AA131" s="21">
        <f>EXP(-LN(2)/25)*AA130+(1-EXP(-LN(2)/25))/(LN(2)/25)*Calculateur!V131*Calculateur!X131*VLOOKUP('Données projet'!$B$9,Paramètres!$A$1:$I$89,3,0)*0.475*44/12</f>
        <v>17.353731040488519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53.931895224331086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-1.4897523215040567E-13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436.77894860279537</v>
      </c>
      <c r="AO131" s="59">
        <f t="shared" si="90"/>
        <v>398.63561969573072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68.620340855090816</v>
      </c>
      <c r="AV131" s="21">
        <f>EXP(-LN(2)/25)*AV130+(1-EXP(-LN(2)/25))/(LN(2)/25)*Calculateur!AQ131*Calculateur!AS131*VLOOKUP('Données projet'!$B$10,Paramètres!$A$1:$I$89,3,0)*0.475*44/12</f>
        <v>8.8047091116952512</v>
      </c>
      <c r="AW131" s="21">
        <f>EXP(-LN(2)/2)*AW130+(1-EXP(-LN(2)/2))/(LN(2)/2)*AQ131*AT131*VLOOKUP('Données projet'!$B$10,Paramètres!$A$1:$I$89,3,0)*0.475*44/12</f>
        <v>2.8052371095670151E-15</v>
      </c>
      <c r="AX131" s="21">
        <f t="shared" si="60"/>
        <v>77.425049966786062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-1.3567387213697657E-13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344.97546176735341</v>
      </c>
      <c r="BJ131" s="59">
        <f t="shared" si="92"/>
        <v>331.15461126257492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39.957051044046608</v>
      </c>
      <c r="BQ131" s="21">
        <f>EXP(-LN(2)/25)*BQ130+(1-EXP(-LN(2)/25))/(LN(2)/25)*Calculateur!BL131*Calculateur!BN131*VLOOKUP('Données projet'!$B$11,Paramètres!$A$1:$I$89,3,0)*0.475*44/12</f>
        <v>0.74928460442633915</v>
      </c>
      <c r="BR131" s="21">
        <f>EXP(-LN(2)/2)*BR130+(1-EXP(-LN(2)/2))/(LN(2)/2)*BL131*BO131*VLOOKUP('Données projet'!$B$11,Paramètres!$A$1:$I$89,3,0)*0.475*44/12</f>
        <v>2.4803349906767428E-6</v>
      </c>
      <c r="BS131" s="22">
        <f t="shared" si="63"/>
        <v>40.706338128807936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-1.7053025658242404E-13</v>
      </c>
      <c r="BZ131" s="13">
        <f>BY131*VLOOKUP('Données projet'!$B$12,Paramètres!$A$1:$I$89,3,0)*VLOOKUP('Données projet'!$B$12,Paramètres!$A$1:$I$89,5,0)</f>
        <v>-1.3567387213697657E-13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344.97546176735341</v>
      </c>
      <c r="CE131" s="59">
        <f t="shared" si="94"/>
        <v>331.15461126257492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39.957051044046608</v>
      </c>
      <c r="CL131" s="21">
        <f>EXP(-LN(2)/25)*CL130+(1-EXP(-LN(2)/25))/(LN(2)/25)*Calculateur!CG131*Calculateur!CI131*VLOOKUP('Données projet'!$B$12,Paramètres!$A$1:$I$89,3,0)*0.475*44/12</f>
        <v>0.74928460442633915</v>
      </c>
      <c r="CM131" s="21">
        <f>EXP(-LN(2)/2)*CM130+(1-EXP(-LN(2)/2))/(LN(2)/2)*CG131*CJ131*VLOOKUP('Données projet'!$B$12,Paramètres!$A$1:$I$89,3,0)*0.475*44/12</f>
        <v>2.4803349906767428E-6</v>
      </c>
      <c r="CN131" s="22">
        <f t="shared" si="66"/>
        <v>40.706338128807936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227.19465047672969</v>
      </c>
      <c r="CZ131" s="59">
        <f t="shared" si="96"/>
        <v>529.77979244134417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14.143750090250132</v>
      </c>
      <c r="DG131" s="21">
        <f>EXP(-LN(2)/25)*DG130+(1-EXP(-LN(2)/25))/(LN(2)/25)*Calculateur!DB131*Calculateur!DD131*VLOOKUP('Données projet'!$B$13,Paramètres!$A$1:$I$89,3,0)*0.475*44/12</f>
        <v>2.0932205745688126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16.236970664818944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240.09151195692266</v>
      </c>
      <c r="DU131" s="59">
        <f t="shared" si="98"/>
        <v>559.47775134103165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15.068178200723981</v>
      </c>
      <c r="EB131" s="21">
        <f>EXP(-LN(2)/25)*EB130+(1-EXP(-LN(2)/25))/(LN(2)/25)*Calculateur!DW131*Calculateur!DY131*VLOOKUP('Données projet'!$B$14,Paramètres!$A$1:$I$89,3,0)*0.475*44/12</f>
        <v>2.2300323768282126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17.298210577552194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5.6843418860808015E-14</v>
      </c>
      <c r="EK131" s="17">
        <f>EJ131*VLOOKUP('Données projet'!$B$15,Paramètres!$A$1:$I$89,3,0)*VLOOKUP('Données projet'!$B$15,Paramètres!$A$1:$I$89,5,0)</f>
        <v>4.4337866711430253E-14</v>
      </c>
      <c r="EL131" s="13">
        <f t="shared" si="99"/>
        <v>7.3222115536967035E-13</v>
      </c>
      <c r="EM131" s="20">
        <f t="shared" si="73"/>
        <v>1.3525069634579169E-12</v>
      </c>
      <c r="EN131" s="59">
        <f t="shared" si="74"/>
        <v>278.50011505649212</v>
      </c>
      <c r="EO131" s="59">
        <f ca="1">AVERAGE(OFFSET($EN$3,0,0,'Données projet'!$E$15+1,1))-AVERAGE(OFFSET($H$3,0,0,'Données projet'!$E$15+1,1))</f>
        <v>328.79469965518484</v>
      </c>
      <c r="EP131" s="59">
        <f t="shared" si="100"/>
        <v>322.06400652269735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20.656681068167629</v>
      </c>
      <c r="EW131" s="21">
        <f>EXP(-LN(2)/25)*EW130+(1-EXP(-LN(2)/25))/(LN(2)/25)*Calculateur!ER131*Calculateur!ET131*VLOOKUP('Données projet'!$B$15,Paramètres!$A$1:$I$89,3,0)*0.475*44/12</f>
        <v>1.853020347627589</v>
      </c>
      <c r="EX131" s="21">
        <f>EXP(-LN(2)/2)*EX130+(1-EXP(-LN(2)/2))/(LN(2)/2)*ER131*EU131*VLOOKUP('Données projet'!$B$15,Paramètres!$A$1:$I$89,3,0)*0.475*44/12</f>
        <v>9.6025844182335613E-8</v>
      </c>
      <c r="EY131" s="22">
        <f t="shared" si="75"/>
        <v>22.50970151182106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-5.6843418860808015E-14</v>
      </c>
      <c r="FF131" s="17">
        <f>FE131*VLOOKUP('Données projet'!$B$16,Paramètres!$A$1:$I$89,3,0)*VLOOKUP('Données projet'!$B$16,Paramètres!$A$1:$I$89,5,0)</f>
        <v>-4.1677594708744434E-14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525.22234644068908</v>
      </c>
      <c r="FK131" s="59">
        <f t="shared" si="102"/>
        <v>311.5550296132094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109.70507247397966</v>
      </c>
      <c r="FR131" s="21">
        <f>EXP(-LN(2)/25)*FR130+(1-EXP(-LN(2)/25))/(LN(2)/25)*Calculateur!FM131*Calculateur!FO131*VLOOKUP('Données projet'!$B$16,Paramètres!$A$1:$I$89,3,0)*0.475*44/12</f>
        <v>27.001689284458418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136.70676175843806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-1.7053025658242404E-13</v>
      </c>
      <c r="GA131" s="17">
        <f>FZ131*VLOOKUP('Données projet'!$B$17,Paramètres!$A$1:$I$89,3,0)*VLOOKUP('Données projet'!$B$17,Paramètres!$A$1:$I$89,5,0)</f>
        <v>-1.1173142411280423E-13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298.45881427802874</v>
      </c>
      <c r="GF131" s="59">
        <f t="shared" si="104"/>
        <v>287.00279305562356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26.697163960617175</v>
      </c>
      <c r="GM131" s="21">
        <f>EXP(-LN(2)/25)*GM130+(1-EXP(-LN(2)/25))/(LN(2)/25)*Calculateur!GH131*Calculateur!GJ131*VLOOKUP('Données projet'!$B$17,Paramètres!$A$1:$I$89,3,0)*0.475*44/12</f>
        <v>0.5006318888619935</v>
      </c>
      <c r="GN131" s="21">
        <f>EXP(-LN(2)/2)*GN130+(1-EXP(-LN(2)/2))/(LN(2)/2)*GH131*GK131*VLOOKUP('Données projet'!$B$17,Paramètres!$A$1:$I$89,3,0)*0.475*44/12</f>
        <v>2.0426288158514343E-6</v>
      </c>
      <c r="GO131" s="21">
        <f t="shared" si="81"/>
        <v>27.197797892107982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135.66666666666666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</v>
      </c>
      <c r="N132" s="13">
        <f>IF('Données projet'!$A$36&gt;35,N131+M132-V131,IF(A132&lt;'Données projet'!$A$36,$K$205^A132,IF(A132='Données projet'!$A$36,'Données projet'!$B$36,N131+M132-V131)))</f>
        <v>397.99999999999966</v>
      </c>
      <c r="O132" s="13">
        <f>N132*VLOOKUP('Données projet'!$B$9,Paramètres!$A$1:$I$89,3,0)*VLOOKUP('Données projet'!$B$9,Paramètres!$A$1:$I$89,5,0)</f>
        <v>360.11039999999969</v>
      </c>
      <c r="P132" s="13">
        <f t="shared" si="87"/>
        <v>83.640884644487258</v>
      </c>
      <c r="Q132" s="20">
        <f t="shared" si="108"/>
        <v>772.86682075581473</v>
      </c>
      <c r="R132" s="59">
        <f t="shared" si="109"/>
        <v>1051.6242589873007</v>
      </c>
      <c r="S132" s="59">
        <f ca="1">AVERAGE(OFFSET($R$3,0,0,'Données projet'!$E$9+1,1))-AVERAGE(OFFSET($H$3,0,0,'Données projet'!$E$9+1,1))</f>
        <v>600.52384738314299</v>
      </c>
      <c r="T132" s="59">
        <f t="shared" si="88"/>
        <v>314.84650287986256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35.860888694674593</v>
      </c>
      <c r="AA132" s="21">
        <f>EXP(-LN(2)/25)*AA131+(1-EXP(-LN(2)/25))/(LN(2)/25)*Calculateur!V132*Calculateur!X132*VLOOKUP('Données projet'!$B$9,Paramètres!$A$1:$I$89,3,0)*0.475*44/12</f>
        <v>16.879192352593307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52.7400810472679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-1.4897523215040567E-13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436.77894860279537</v>
      </c>
      <c r="AO132" s="59">
        <f t="shared" si="90"/>
        <v>398.63561969573072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67.274737825197647</v>
      </c>
      <c r="AV132" s="21">
        <f>EXP(-LN(2)/25)*AV131+(1-EXP(-LN(2)/25))/(LN(2)/25)*Calculateur!AQ132*Calculateur!AS132*VLOOKUP('Données projet'!$B$10,Paramètres!$A$1:$I$89,3,0)*0.475*44/12</f>
        <v>8.5639438780164152</v>
      </c>
      <c r="AW132" s="21">
        <f>EXP(-LN(2)/2)*AW131+(1-EXP(-LN(2)/2))/(LN(2)/2)*AQ132*AT132*VLOOKUP('Données projet'!$B$10,Paramètres!$A$1:$I$89,3,0)*0.475*44/12</f>
        <v>1.9836021830109864E-15</v>
      </c>
      <c r="AX132" s="21">
        <f t="shared" ref="AX132:AX153" si="114">SUM(AU132:AW132)</f>
        <v>75.838681703214064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-1.3567387213697657E-13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344.97546176735341</v>
      </c>
      <c r="BJ132" s="59">
        <f t="shared" si="92"/>
        <v>331.15461126257492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39.173517644467516</v>
      </c>
      <c r="BQ132" s="21">
        <f>EXP(-LN(2)/25)*BQ131+(1-EXP(-LN(2)/25))/(LN(2)/25)*Calculateur!BL132*Calculateur!BN132*VLOOKUP('Données projet'!$B$11,Paramètres!$A$1:$I$89,3,0)*0.475*44/12</f>
        <v>0.72879537751513612</v>
      </c>
      <c r="BR132" s="21">
        <f>EXP(-LN(2)/2)*BR131+(1-EXP(-LN(2)/2))/(LN(2)/2)*BL132*BO132*VLOOKUP('Données projet'!$B$11,Paramètres!$A$1:$I$89,3,0)*0.475*44/12</f>
        <v>1.753861691521797E-6</v>
      </c>
      <c r="BS132" s="22">
        <f t="shared" ref="BS132:BS153" si="117">SUM(BP132:BR132)</f>
        <v>39.902314775844339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-1.7053025658242404E-13</v>
      </c>
      <c r="BZ132" s="13">
        <f>BY132*VLOOKUP('Données projet'!$B$12,Paramètres!$A$1:$I$89,3,0)*VLOOKUP('Données projet'!$B$12,Paramètres!$A$1:$I$89,5,0)</f>
        <v>-1.3567387213697657E-13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344.97546176735341</v>
      </c>
      <c r="CE132" s="59">
        <f t="shared" si="94"/>
        <v>331.15461126257492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39.173517644467516</v>
      </c>
      <c r="CL132" s="21">
        <f>EXP(-LN(2)/25)*CL131+(1-EXP(-LN(2)/25))/(LN(2)/25)*Calculateur!CG132*Calculateur!CI132*VLOOKUP('Données projet'!$B$12,Paramètres!$A$1:$I$89,3,0)*0.475*44/12</f>
        <v>0.72879537751513612</v>
      </c>
      <c r="CM132" s="21">
        <f>EXP(-LN(2)/2)*CM131+(1-EXP(-LN(2)/2))/(LN(2)/2)*CG132*CJ132*VLOOKUP('Données projet'!$B$12,Paramètres!$A$1:$I$89,3,0)*0.475*44/12</f>
        <v>1.753861691521797E-6</v>
      </c>
      <c r="CN132" s="22">
        <f t="shared" ref="CN132:CN153" si="120">SUM(CK132:CM132)</f>
        <v>39.902314775844339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227.19465047672969</v>
      </c>
      <c r="CZ132" s="59">
        <f t="shared" si="96"/>
        <v>529.77979244134417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13.866399777816053</v>
      </c>
      <c r="DG132" s="21">
        <f>EXP(-LN(2)/25)*DG131+(1-EXP(-LN(2)/25))/(LN(2)/25)*Calculateur!DB132*Calculateur!DD132*VLOOKUP('Données projet'!$B$13,Paramètres!$A$1:$I$89,3,0)*0.475*44/12</f>
        <v>2.0359813478795425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15.902381125695594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240.09151195692266</v>
      </c>
      <c r="DU132" s="59">
        <f t="shared" si="98"/>
        <v>559.47775134103165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14.772700416888982</v>
      </c>
      <c r="EB132" s="21">
        <f>EXP(-LN(2)/25)*EB131+(1-EXP(-LN(2)/25))/(LN(2)/25)*Calculateur!DW132*Calculateur!DY132*VLOOKUP('Données projet'!$B$14,Paramètres!$A$1:$I$89,3,0)*0.475*44/12</f>
        <v>2.1690520242115392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16.941752441100522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5.6843418860808015E-14</v>
      </c>
      <c r="EK132" s="17">
        <f>EJ132*VLOOKUP('Données projet'!$B$15,Paramètres!$A$1:$I$89,3,0)*VLOOKUP('Données projet'!$B$15,Paramètres!$A$1:$I$89,5,0)</f>
        <v>4.4337866711430253E-14</v>
      </c>
      <c r="EL132" s="13">
        <f t="shared" si="99"/>
        <v>7.3222115536967035E-13</v>
      </c>
      <c r="EM132" s="20">
        <f t="shared" ref="EM132:EM153" si="127">(EK132+EL132)*0.475*44/12</f>
        <v>1.3525069634579169E-12</v>
      </c>
      <c r="EN132" s="59">
        <f t="shared" ref="EN132:EN195" si="128">EM132+(EE132+EF132)*44/12</f>
        <v>278.7574382314873</v>
      </c>
      <c r="EO132" s="59">
        <f ca="1">AVERAGE(OFFSET($EN$3,0,0,'Données projet'!$E$15+1,1))-AVERAGE(OFFSET($H$3,0,0,'Données projet'!$E$15+1,1))</f>
        <v>328.79469965518484</v>
      </c>
      <c r="EP132" s="59">
        <f t="shared" si="100"/>
        <v>322.06400652269735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20.251616151752234</v>
      </c>
      <c r="EW132" s="21">
        <f>EXP(-LN(2)/25)*EW131+(1-EXP(-LN(2)/25))/(LN(2)/25)*Calculateur!ER132*Calculateur!ET132*VLOOKUP('Données projet'!$B$15,Paramètres!$A$1:$I$89,3,0)*0.475*44/12</f>
        <v>1.8023494087756078</v>
      </c>
      <c r="EX132" s="21">
        <f>EXP(-LN(2)/2)*EX131+(1-EXP(-LN(2)/2))/(LN(2)/2)*ER132*EU132*VLOOKUP('Données projet'!$B$15,Paramètres!$A$1:$I$89,3,0)*0.475*44/12</f>
        <v>6.7900525590492295E-8</v>
      </c>
      <c r="EY132" s="22">
        <f t="shared" ref="EY132:EY153" si="129">SUM(EV132:EX132)</f>
        <v>22.053965628428369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-5.6843418860808015E-14</v>
      </c>
      <c r="FF132" s="17">
        <f>FE132*VLOOKUP('Données projet'!$B$16,Paramètres!$A$1:$I$89,3,0)*VLOOKUP('Données projet'!$B$16,Paramètres!$A$1:$I$89,5,0)</f>
        <v>-4.1677594708744434E-14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525.22234644068908</v>
      </c>
      <c r="FK132" s="59">
        <f t="shared" si="102"/>
        <v>311.5550296132094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107.55382291625196</v>
      </c>
      <c r="FR132" s="21">
        <f>EXP(-LN(2)/25)*FR131+(1-EXP(-LN(2)/25))/(LN(2)/25)*Calculateur!FM132*Calculateur!FO132*VLOOKUP('Données projet'!$B$16,Paramètres!$A$1:$I$89,3,0)*0.475*44/12</f>
        <v>26.263326671017776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133.81714958726974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-1.7053025658242404E-13</v>
      </c>
      <c r="GA132" s="17">
        <f>FZ132*VLOOKUP('Données projet'!$B$17,Paramètres!$A$1:$I$89,3,0)*VLOOKUP('Données projet'!$B$17,Paramètres!$A$1:$I$89,5,0)</f>
        <v>-1.1173142411280423E-13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298.45881427802874</v>
      </c>
      <c r="GF132" s="59">
        <f t="shared" si="104"/>
        <v>287.00279305562356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26.17364885901161</v>
      </c>
      <c r="GM132" s="21">
        <f>EXP(-LN(2)/25)*GM131+(1-EXP(-LN(2)/25))/(LN(2)/25)*Calculateur!GH132*Calculateur!GJ132*VLOOKUP('Données projet'!$B$17,Paramètres!$A$1:$I$89,3,0)*0.475*44/12</f>
        <v>0.48694208353397544</v>
      </c>
      <c r="GN132" s="21">
        <f>EXP(-LN(2)/2)*GN131+(1-EXP(-LN(2)/2))/(LN(2)/2)*GH132*GK132*VLOOKUP('Données projet'!$B$17,Paramètres!$A$1:$I$89,3,0)*0.475*44/12</f>
        <v>1.4443566871355968E-6</v>
      </c>
      <c r="GO132" s="21">
        <f t="shared" ref="GO132:GO153" si="135">SUM(GL132:GN132)</f>
        <v>26.660592386902273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135.66666666666666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</v>
      </c>
      <c r="N133" s="13">
        <f>IF('Données projet'!$A$36&gt;35,N132+M133-V132,IF(A133&lt;'Données projet'!$A$36,$K$205^A133,IF(A133='Données projet'!$A$36,'Données projet'!$B$36,N132+M133-V132)))</f>
        <v>404.99999999999966</v>
      </c>
      <c r="O133" s="13">
        <f>N133*VLOOKUP('Données projet'!$B$9,Paramètres!$A$1:$I$89,3,0)*VLOOKUP('Données projet'!$B$9,Paramètres!$A$1:$I$89,5,0)</f>
        <v>366.44399999999968</v>
      </c>
      <c r="P133" s="13">
        <f t="shared" ref="P133:P196" si="141">EXP(-1.0587+0.8836*LN(O133)+0.284)</f>
        <v>84.939400925097203</v>
      </c>
      <c r="Q133" s="20">
        <f t="shared" si="108"/>
        <v>786.15942327787707</v>
      </c>
      <c r="R133" s="59">
        <f t="shared" si="109"/>
        <v>1065.1697207025604</v>
      </c>
      <c r="S133" s="59">
        <f ca="1">AVERAGE(OFFSET($R$3,0,0,'Données projet'!$E$9+1,1))-AVERAGE(OFFSET($H$3,0,0,'Données projet'!$E$9+1,1))</f>
        <v>600.52384738314299</v>
      </c>
      <c r="T133" s="59">
        <f t="shared" ref="T133:T196" si="142">$T$3</f>
        <v>314.84650287986256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35.157678540354347</v>
      </c>
      <c r="AA133" s="21">
        <f>EXP(-LN(2)/25)*AA132+(1-EXP(-LN(2)/25))/(LN(2)/25)*Calculateur!V133*Calculateur!X133*VLOOKUP('Données projet'!$B$9,Paramètres!$A$1:$I$89,3,0)*0.475*44/12</f>
        <v>16.417629950073497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51.575308490427844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-1.4897523215040567E-13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436.77894860279537</v>
      </c>
      <c r="AO133" s="59">
        <f t="shared" ref="AO133:AO196" si="144">$AO$3</f>
        <v>398.63561969573072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65.955521249983875</v>
      </c>
      <c r="AV133" s="21">
        <f>EXP(-LN(2)/25)*AV132+(1-EXP(-LN(2)/25))/(LN(2)/25)*Calculateur!AQ133*Calculateur!AS133*VLOOKUP('Données projet'!$B$10,Paramètres!$A$1:$I$89,3,0)*0.475*44/12</f>
        <v>8.3297623823138203</v>
      </c>
      <c r="AW133" s="21">
        <f>EXP(-LN(2)/2)*AW132+(1-EXP(-LN(2)/2))/(LN(2)/2)*AQ133*AT133*VLOOKUP('Données projet'!$B$10,Paramètres!$A$1:$I$89,3,0)*0.475*44/12</f>
        <v>1.4026185547835075E-15</v>
      </c>
      <c r="AX133" s="21">
        <f t="shared" si="114"/>
        <v>74.285283632297691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-1.3567387213697657E-13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344.97546176735341</v>
      </c>
      <c r="BJ133" s="59">
        <f t="shared" ref="BJ133:BJ196" si="146">$BJ$3</f>
        <v>331.15461126257492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38.405348856945984</v>
      </c>
      <c r="BQ133" s="21">
        <f>EXP(-LN(2)/25)*BQ132+(1-EXP(-LN(2)/25))/(LN(2)/25)*Calculateur!BL133*Calculateur!BN133*VLOOKUP('Données projet'!$B$11,Paramètres!$A$1:$I$89,3,0)*0.475*44/12</f>
        <v>0.70886642959130153</v>
      </c>
      <c r="BR133" s="21">
        <f>EXP(-LN(2)/2)*BR132+(1-EXP(-LN(2)/2))/(LN(2)/2)*BL133*BO133*VLOOKUP('Données projet'!$B$11,Paramètres!$A$1:$I$89,3,0)*0.475*44/12</f>
        <v>1.2401674953383714E-6</v>
      </c>
      <c r="BS133" s="22">
        <f t="shared" si="117"/>
        <v>39.11421652670478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-1.7053025658242404E-13</v>
      </c>
      <c r="BZ133" s="13">
        <f>BY133*VLOOKUP('Données projet'!$B$12,Paramètres!$A$1:$I$89,3,0)*VLOOKUP('Données projet'!$B$12,Paramètres!$A$1:$I$89,5,0)</f>
        <v>-1.3567387213697657E-13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344.97546176735341</v>
      </c>
      <c r="CE133" s="59">
        <f t="shared" ref="CE133:CE196" si="148">$CE$3</f>
        <v>331.15461126257492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38.405348856945984</v>
      </c>
      <c r="CL133" s="21">
        <f>EXP(-LN(2)/25)*CL132+(1-EXP(-LN(2)/25))/(LN(2)/25)*Calculateur!CG133*Calculateur!CI133*VLOOKUP('Données projet'!$B$12,Paramètres!$A$1:$I$89,3,0)*0.475*44/12</f>
        <v>0.70886642959130153</v>
      </c>
      <c r="CM133" s="21">
        <f>EXP(-LN(2)/2)*CM132+(1-EXP(-LN(2)/2))/(LN(2)/2)*CG133*CJ133*VLOOKUP('Données projet'!$B$12,Paramètres!$A$1:$I$89,3,0)*0.475*44/12</f>
        <v>1.2401674953383714E-6</v>
      </c>
      <c r="CN133" s="22">
        <f t="shared" si="120"/>
        <v>39.11421652670478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227.19465047672969</v>
      </c>
      <c r="CZ133" s="59">
        <f t="shared" ref="CZ133:CZ196" si="150">$CZ$3</f>
        <v>529.77979244134417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13.59448813584182</v>
      </c>
      <c r="DG133" s="21">
        <f>EXP(-LN(2)/25)*DG132+(1-EXP(-LN(2)/25))/(LN(2)/25)*Calculateur!DB133*Calculateur!DD133*VLOOKUP('Données projet'!$B$13,Paramètres!$A$1:$I$89,3,0)*0.475*44/12</f>
        <v>1.9803073308541708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15.57479546669599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240.09151195692266</v>
      </c>
      <c r="DU133" s="59">
        <f t="shared" ref="DU133:DU196" si="152">$DU$3</f>
        <v>559.47775134103165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14.483016772171334</v>
      </c>
      <c r="EB133" s="21">
        <f>EXP(-LN(2)/25)*EB132+(1-EXP(-LN(2)/25))/(LN(2)/25)*Calculateur!DW133*Calculateur!DY133*VLOOKUP('Données projet'!$B$14,Paramètres!$A$1:$I$89,3,0)*0.475*44/12</f>
        <v>2.109739182543986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16.592755954715319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5.6843418860808015E-14</v>
      </c>
      <c r="EK133" s="17">
        <f>EJ133*VLOOKUP('Données projet'!$B$15,Paramètres!$A$1:$I$89,3,0)*VLOOKUP('Données projet'!$B$15,Paramètres!$A$1:$I$89,5,0)</f>
        <v>4.4337866711430253E-14</v>
      </c>
      <c r="EL133" s="13">
        <f t="shared" ref="EL133:EL153" si="153">EXP(-1.0587+0.8836*LN(EK133)+0.284)</f>
        <v>7.3222115536967035E-13</v>
      </c>
      <c r="EM133" s="20">
        <f t="shared" si="127"/>
        <v>1.3525069634579169E-12</v>
      </c>
      <c r="EN133" s="59">
        <f t="shared" si="128"/>
        <v>279.01029742468478</v>
      </c>
      <c r="EO133" s="59">
        <f ca="1">AVERAGE(OFFSET($EN$3,0,0,'Données projet'!$E$15+1,1))-AVERAGE(OFFSET($H$3,0,0,'Données projet'!$E$15+1,1))</f>
        <v>328.79469965518484</v>
      </c>
      <c r="EP133" s="59">
        <f t="shared" ref="EP133:EP196" si="154">$EP$3</f>
        <v>322.06400652269735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19.85449431128254</v>
      </c>
      <c r="EW133" s="21">
        <f>EXP(-LN(2)/25)*EW132+(1-EXP(-LN(2)/25))/(LN(2)/25)*Calculateur!ER133*Calculateur!ET133*VLOOKUP('Données projet'!$B$15,Paramètres!$A$1:$I$89,3,0)*0.475*44/12</f>
        <v>1.7530640694112027</v>
      </c>
      <c r="EX133" s="21">
        <f>EXP(-LN(2)/2)*EX132+(1-EXP(-LN(2)/2))/(LN(2)/2)*ER133*EU133*VLOOKUP('Données projet'!$B$15,Paramètres!$A$1:$I$89,3,0)*0.475*44/12</f>
        <v>4.8012922091167807E-8</v>
      </c>
      <c r="EY133" s="22">
        <f t="shared" si="129"/>
        <v>21.607558428706664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-5.6843418860808015E-14</v>
      </c>
      <c r="FF133" s="17">
        <f>FE133*VLOOKUP('Données projet'!$B$16,Paramètres!$A$1:$I$89,3,0)*VLOOKUP('Données projet'!$B$16,Paramètres!$A$1:$I$89,5,0)</f>
        <v>-4.1677594708744434E-14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525.22234644068908</v>
      </c>
      <c r="FK133" s="59">
        <f t="shared" ref="FK133:FK196" si="156">$FK$3</f>
        <v>311.5550296132094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105.44475805021864</v>
      </c>
      <c r="FR133" s="21">
        <f>EXP(-LN(2)/25)*FR132+(1-EXP(-LN(2)/25))/(LN(2)/25)*Calculateur!FM133*Calculateur!FO133*VLOOKUP('Données projet'!$B$16,Paramètres!$A$1:$I$89,3,0)*0.475*44/12</f>
        <v>25.54515462207047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130.98991267228911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-1.7053025658242404E-13</v>
      </c>
      <c r="GA133" s="17">
        <f>FZ133*VLOOKUP('Données projet'!$B$17,Paramètres!$A$1:$I$89,3,0)*VLOOKUP('Données projet'!$B$17,Paramètres!$A$1:$I$89,5,0)</f>
        <v>-1.1173142411280423E-13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298.45881427802874</v>
      </c>
      <c r="GF133" s="59">
        <f t="shared" ref="GF133:GF196" si="158">$GF$3</f>
        <v>287.00279305562356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25.66039956923585</v>
      </c>
      <c r="GM133" s="21">
        <f>EXP(-LN(2)/25)*GM132+(1-EXP(-LN(2)/25))/(LN(2)/25)*Calculateur!GH133*Calculateur!GJ133*VLOOKUP('Données projet'!$B$17,Paramètres!$A$1:$I$89,3,0)*0.475*44/12</f>
        <v>0.47362662665256766</v>
      </c>
      <c r="GN133" s="21">
        <f>EXP(-LN(2)/2)*GN132+(1-EXP(-LN(2)/2))/(LN(2)/2)*GH133*GK133*VLOOKUP('Données projet'!$B$17,Paramètres!$A$1:$I$89,3,0)*0.475*44/12</f>
        <v>1.0213144079257171E-6</v>
      </c>
      <c r="GO133" s="21">
        <f t="shared" si="135"/>
        <v>26.134027217202824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135.66666666666666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</v>
      </c>
      <c r="N134" s="13">
        <f>IF('Données projet'!$A$36&gt;35,N133+M134-V133,IF(A134&lt;'Données projet'!$A$36,$K$205^A134,IF(A134='Données projet'!$A$36,'Données projet'!$B$36,N133+M134-V133)))</f>
        <v>411.99999999999966</v>
      </c>
      <c r="O134" s="13">
        <f>N134*VLOOKUP('Données projet'!$B$9,Paramètres!$A$1:$I$89,3,0)*VLOOKUP('Données projet'!$B$9,Paramètres!$A$1:$I$89,5,0)</f>
        <v>372.77759999999967</v>
      </c>
      <c r="P134" s="13">
        <f t="shared" si="141"/>
        <v>86.23530727208437</v>
      </c>
      <c r="Q134" s="20">
        <f t="shared" si="108"/>
        <v>799.44748016554638</v>
      </c>
      <c r="R134" s="59">
        <f t="shared" si="109"/>
        <v>1078.7062502417339</v>
      </c>
      <c r="S134" s="59">
        <f ca="1">AVERAGE(OFFSET($R$3,0,0,'Données projet'!$E$9+1,1))-AVERAGE(OFFSET($H$3,0,0,'Données projet'!$E$9+1,1))</f>
        <v>600.52384738314299</v>
      </c>
      <c r="T134" s="59">
        <f t="shared" si="142"/>
        <v>314.84650287986256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34.468257908244482</v>
      </c>
      <c r="AA134" s="21">
        <f>EXP(-LN(2)/25)*AA133+(1-EXP(-LN(2)/25))/(LN(2)/25)*Calculateur!V134*Calculateur!X134*VLOOKUP('Données projet'!$B$9,Paramètres!$A$1:$I$89,3,0)*0.475*44/12</f>
        <v>15.968688995723101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50.436946903967581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-1.4897523215040567E-13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436.77894860279537</v>
      </c>
      <c r="AO134" s="59">
        <f t="shared" si="144"/>
        <v>398.63561969573072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64.662173707167383</v>
      </c>
      <c r="AV134" s="21">
        <f>EXP(-LN(2)/25)*AV133+(1-EXP(-LN(2)/25))/(LN(2)/25)*Calculateur!AQ134*Calculateur!AS134*VLOOKUP('Données projet'!$B$10,Paramètres!$A$1:$I$89,3,0)*0.475*44/12</f>
        <v>8.1019845919262838</v>
      </c>
      <c r="AW134" s="21">
        <f>EXP(-LN(2)/2)*AW133+(1-EXP(-LN(2)/2))/(LN(2)/2)*AQ134*AT134*VLOOKUP('Données projet'!$B$10,Paramètres!$A$1:$I$89,3,0)*0.475*44/12</f>
        <v>9.9180109150549318E-16</v>
      </c>
      <c r="AX134" s="21">
        <f t="shared" si="114"/>
        <v>72.764158299093666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-1.3567387213697657E-13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344.97546176735341</v>
      </c>
      <c r="BJ134" s="59">
        <f t="shared" si="146"/>
        <v>331.15461126257492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37.652243390811051</v>
      </c>
      <c r="BQ134" s="21">
        <f>EXP(-LN(2)/25)*BQ133+(1-EXP(-LN(2)/25))/(LN(2)/25)*Calculateur!BL134*Calculateur!BN134*VLOOKUP('Données projet'!$B$11,Paramètres!$A$1:$I$89,3,0)*0.475*44/12</f>
        <v>0.68948243979646195</v>
      </c>
      <c r="BR134" s="21">
        <f>EXP(-LN(2)/2)*BR133+(1-EXP(-LN(2)/2))/(LN(2)/2)*BL134*BO134*VLOOKUP('Données projet'!$B$11,Paramètres!$A$1:$I$89,3,0)*0.475*44/12</f>
        <v>8.7693084576089848E-7</v>
      </c>
      <c r="BS134" s="22">
        <f t="shared" si="117"/>
        <v>38.341726707538363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-1.7053025658242404E-13</v>
      </c>
      <c r="BZ134" s="13">
        <f>BY134*VLOOKUP('Données projet'!$B$12,Paramètres!$A$1:$I$89,3,0)*VLOOKUP('Données projet'!$B$12,Paramètres!$A$1:$I$89,5,0)</f>
        <v>-1.3567387213697657E-13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344.97546176735341</v>
      </c>
      <c r="CE134" s="59">
        <f t="shared" si="148"/>
        <v>331.15461126257492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37.652243390811051</v>
      </c>
      <c r="CL134" s="21">
        <f>EXP(-LN(2)/25)*CL133+(1-EXP(-LN(2)/25))/(LN(2)/25)*Calculateur!CG134*Calculateur!CI134*VLOOKUP('Données projet'!$B$12,Paramètres!$A$1:$I$89,3,0)*0.475*44/12</f>
        <v>0.68948243979646195</v>
      </c>
      <c r="CM134" s="21">
        <f>EXP(-LN(2)/2)*CM133+(1-EXP(-LN(2)/2))/(LN(2)/2)*CG134*CJ134*VLOOKUP('Données projet'!$B$12,Paramètres!$A$1:$I$89,3,0)*0.475*44/12</f>
        <v>8.7693084576089848E-7</v>
      </c>
      <c r="CN134" s="22">
        <f t="shared" si="120"/>
        <v>38.341726707538363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227.19465047672969</v>
      </c>
      <c r="CZ134" s="59">
        <f t="shared" si="150"/>
        <v>529.77979244134417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13.327908515316976</v>
      </c>
      <c r="DG134" s="21">
        <f>EXP(-LN(2)/25)*DG133+(1-EXP(-LN(2)/25))/(LN(2)/25)*Calculateur!DB134*Calculateur!DD134*VLOOKUP('Données projet'!$B$13,Paramètres!$A$1:$I$89,3,0)*0.475*44/12</f>
        <v>1.9261557227521271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15.254064238069102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240.09151195692266</v>
      </c>
      <c r="DU134" s="59">
        <f t="shared" si="152"/>
        <v>559.47775134103165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14.199013647037024</v>
      </c>
      <c r="EB134" s="21">
        <f>EXP(-LN(2)/25)*EB133+(1-EXP(-LN(2)/25))/(LN(2)/25)*Calculateur!DW134*Calculateur!DY134*VLOOKUP('Données projet'!$B$14,Paramètres!$A$1:$I$89,3,0)*0.475*44/12</f>
        <v>2.052048253650959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16.251061900687983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5.6843418860808015E-14</v>
      </c>
      <c r="EK134" s="17">
        <f>EJ134*VLOOKUP('Données projet'!$B$15,Paramètres!$A$1:$I$89,3,0)*VLOOKUP('Données projet'!$B$15,Paramètres!$A$1:$I$89,5,0)</f>
        <v>4.4337866711430253E-14</v>
      </c>
      <c r="EL134" s="13">
        <f t="shared" si="153"/>
        <v>7.3222115536967035E-13</v>
      </c>
      <c r="EM134" s="20">
        <f t="shared" si="127"/>
        <v>1.3525069634579169E-12</v>
      </c>
      <c r="EN134" s="59">
        <f t="shared" si="128"/>
        <v>279.25877007618874</v>
      </c>
      <c r="EO134" s="59">
        <f ca="1">AVERAGE(OFFSET($EN$3,0,0,'Données projet'!$E$15+1,1))-AVERAGE(OFFSET($H$3,0,0,'Données projet'!$E$15+1,1))</f>
        <v>328.79469965518484</v>
      </c>
      <c r="EP134" s="59">
        <f t="shared" si="154"/>
        <v>322.06400652269735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19.465159787884051</v>
      </c>
      <c r="EW134" s="21">
        <f>EXP(-LN(2)/25)*EW133+(1-EXP(-LN(2)/25))/(LN(2)/25)*Calculateur!ER134*Calculateur!ET134*VLOOKUP('Données projet'!$B$15,Paramètres!$A$1:$I$89,3,0)*0.475*44/12</f>
        <v>1.7051264402435207</v>
      </c>
      <c r="EX134" s="21">
        <f>EXP(-LN(2)/2)*EX133+(1-EXP(-LN(2)/2))/(LN(2)/2)*ER134*EU134*VLOOKUP('Données projet'!$B$15,Paramètres!$A$1:$I$89,3,0)*0.475*44/12</f>
        <v>3.3950262795246147E-8</v>
      </c>
      <c r="EY134" s="22">
        <f t="shared" si="129"/>
        <v>21.170286262077834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-5.6843418860808015E-14</v>
      </c>
      <c r="FF134" s="17">
        <f>FE134*VLOOKUP('Données projet'!$B$16,Paramètres!$A$1:$I$89,3,0)*VLOOKUP('Données projet'!$B$16,Paramètres!$A$1:$I$89,5,0)</f>
        <v>-4.1677594708744434E-14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525.22234644068908</v>
      </c>
      <c r="FK134" s="59">
        <f t="shared" si="156"/>
        <v>311.5550296132094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103.37705065980569</v>
      </c>
      <c r="FR134" s="21">
        <f>EXP(-LN(2)/25)*FR133+(1-EXP(-LN(2)/25))/(LN(2)/25)*Calculateur!FM134*Calculateur!FO134*VLOOKUP('Données projet'!$B$16,Paramètres!$A$1:$I$89,3,0)*0.475*44/12</f>
        <v>24.846621025568655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128.22367168537434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-1.7053025658242404E-13</v>
      </c>
      <c r="GA134" s="17">
        <f>FZ134*VLOOKUP('Données projet'!$B$17,Paramètres!$A$1:$I$89,3,0)*VLOOKUP('Données projet'!$B$17,Paramètres!$A$1:$I$89,5,0)</f>
        <v>-1.1173142411280423E-13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298.45881427802874</v>
      </c>
      <c r="GF134" s="59">
        <f t="shared" si="158"/>
        <v>287.00279305562356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25.157214784981434</v>
      </c>
      <c r="GM134" s="21">
        <f>EXP(-LN(2)/25)*GM133+(1-EXP(-LN(2)/25))/(LN(2)/25)*Calculateur!GH134*Calculateur!GJ134*VLOOKUP('Données projet'!$B$17,Paramètres!$A$1:$I$89,3,0)*0.475*44/12</f>
        <v>0.46067528163981142</v>
      </c>
      <c r="GN134" s="21">
        <f>EXP(-LN(2)/2)*GN133+(1-EXP(-LN(2)/2))/(LN(2)/2)*GH134*GK134*VLOOKUP('Données projet'!$B$17,Paramètres!$A$1:$I$89,3,0)*0.475*44/12</f>
        <v>7.2217834356779842E-7</v>
      </c>
      <c r="GO134" s="21">
        <f t="shared" si="135"/>
        <v>25.617890788799588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135.66666666666666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>
        <f>VLOOKUP(A135,'Données projet'!$A$35:$I$55,2,0)</f>
        <v>419</v>
      </c>
      <c r="L135" s="12">
        <f>VLOOKUP(A135,'Données projet'!$A$35:$I$55,9,0)</f>
        <v>7</v>
      </c>
      <c r="M135" s="12">
        <f t="array" ref="M135">INDEX(L:L,MIN(IF(ISNUMBER(L135:L331),ROW(L135:L331),"")))</f>
        <v>7</v>
      </c>
      <c r="N135" s="13">
        <f>IF('Données projet'!$A$36&gt;35,N134+M135-V134,IF(A135&lt;'Données projet'!$A$36,$K$205^A135,IF(A135='Données projet'!$A$36,'Données projet'!$B$36,N134+M135-V134)))</f>
        <v>418.99999999999966</v>
      </c>
      <c r="O135" s="13">
        <f>N135*VLOOKUP('Données projet'!$B$9,Paramètres!$A$1:$I$89,3,0)*VLOOKUP('Données projet'!$B$9,Paramètres!$A$1:$I$89,5,0)</f>
        <v>379.11119999999966</v>
      </c>
      <c r="P135" s="13">
        <f t="shared" si="141"/>
        <v>87.528653146444213</v>
      </c>
      <c r="Q135" s="20">
        <f t="shared" si="108"/>
        <v>812.7310775633897</v>
      </c>
      <c r="R135" s="59">
        <f t="shared" si="109"/>
        <v>1092.2340098460791</v>
      </c>
      <c r="S135" s="59">
        <f ca="1">AVERAGE(OFFSET($R$3,0,0,'Données projet'!$E$9+1,1))-AVERAGE(OFFSET($H$3,0,0,'Données projet'!$E$9+1,1))</f>
        <v>600.52384738314299</v>
      </c>
      <c r="T135" s="59">
        <f t="shared" si="142"/>
        <v>314.84650287986256</v>
      </c>
      <c r="U135" s="15">
        <f>IF(ISNA(VLOOKUP(A135,'Données projet'!$A$35:$I$55,3,0)),0,VLOOKUP(A135,'Données projet'!$A$35:$I$55,3,0))</f>
        <v>12</v>
      </c>
      <c r="V135" s="15">
        <f>IF(ISNA(VLOOKUP(A135,'Données projet'!$A$35:$I$55,4,0)),0,VLOOKUP(A135,'Données projet'!$A$35:$I$55,4,0))</f>
        <v>42</v>
      </c>
      <c r="W135" s="16">
        <f>IF(ISNA(VLOOKUP(A135,'Données projet'!$A$35:$I$55,5,0)),0%,VLOOKUP(A135,'Données projet'!$A$35:$I$55,5,0)*VLOOKUP('Données projet'!$B$9,Paramètres!$A$1:$I$89,7,0))</f>
        <v>0.30099999999999999</v>
      </c>
      <c r="X135" s="16">
        <f>IF(ISNA(VLOOKUP(A135,'Données projet'!$A$35:$I$55,6,0)),0%,VLOOKUP(A135,'Données projet'!$A$35:$I$55,6,0)*VLOOKUP('Données projet'!$B$9,Paramètres!$A$1:$I$89,7,0))</f>
        <v>4.3000000000000003E-2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46.437258989857895</v>
      </c>
      <c r="AA135" s="21">
        <f>EXP(-LN(2)/25)*AA134+(1-EXP(-LN(2)/25))/(LN(2)/25)*Calculateur!V135*Calculateur!X135*VLOOKUP('Données projet'!$B$9,Paramètres!$A$1:$I$89,3,0)*0.475*44/12</f>
        <v>17.331326469096485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63.768585458954377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-1.4897523215040567E-13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436.77894860279537</v>
      </c>
      <c r="AO135" s="59">
        <f t="shared" si="144"/>
        <v>398.63561969573072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63.394187920801414</v>
      </c>
      <c r="AV135" s="21">
        <f>EXP(-LN(2)/25)*AV134+(1-EXP(-LN(2)/25))/(LN(2)/25)*Calculateur!AQ135*Calculateur!AS135*VLOOKUP('Données projet'!$B$10,Paramètres!$A$1:$I$89,3,0)*0.475*44/12</f>
        <v>7.8804353971952077</v>
      </c>
      <c r="AW135" s="21">
        <f>EXP(-LN(2)/2)*AW134+(1-EXP(-LN(2)/2))/(LN(2)/2)*AQ135*AT135*VLOOKUP('Données projet'!$B$10,Paramètres!$A$1:$I$89,3,0)*0.475*44/12</f>
        <v>7.0130927739175377E-16</v>
      </c>
      <c r="AX135" s="21">
        <f t="shared" si="114"/>
        <v>71.274623317996628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-1.3567387213697657E-13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344.97546176735341</v>
      </c>
      <c r="BJ135" s="59">
        <f t="shared" si="146"/>
        <v>331.15461126257492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36.913905863518053</v>
      </c>
      <c r="BQ135" s="21">
        <f>EXP(-LN(2)/25)*BQ134+(1-EXP(-LN(2)/25))/(LN(2)/25)*Calculateur!BL135*Calculateur!BN135*VLOOKUP('Données projet'!$B$11,Paramètres!$A$1:$I$89,3,0)*0.475*44/12</f>
        <v>0.67062850622192205</v>
      </c>
      <c r="BR135" s="21">
        <f>EXP(-LN(2)/2)*BR134+(1-EXP(-LN(2)/2))/(LN(2)/2)*BL135*BO135*VLOOKUP('Données projet'!$B$11,Paramètres!$A$1:$I$89,3,0)*0.475*44/12</f>
        <v>6.2008374766918569E-7</v>
      </c>
      <c r="BS135" s="22">
        <f t="shared" si="117"/>
        <v>37.584534989823723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-1.7053025658242404E-13</v>
      </c>
      <c r="BZ135" s="13">
        <f>BY135*VLOOKUP('Données projet'!$B$12,Paramètres!$A$1:$I$89,3,0)*VLOOKUP('Données projet'!$B$12,Paramètres!$A$1:$I$89,5,0)</f>
        <v>-1.3567387213697657E-13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344.97546176735341</v>
      </c>
      <c r="CE135" s="59">
        <f t="shared" si="148"/>
        <v>331.15461126257492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36.913905863518053</v>
      </c>
      <c r="CL135" s="21">
        <f>EXP(-LN(2)/25)*CL134+(1-EXP(-LN(2)/25))/(LN(2)/25)*Calculateur!CG135*Calculateur!CI135*VLOOKUP('Données projet'!$B$12,Paramètres!$A$1:$I$89,3,0)*0.475*44/12</f>
        <v>0.67062850622192205</v>
      </c>
      <c r="CM135" s="21">
        <f>EXP(-LN(2)/2)*CM134+(1-EXP(-LN(2)/2))/(LN(2)/2)*CG135*CJ135*VLOOKUP('Données projet'!$B$12,Paramètres!$A$1:$I$89,3,0)*0.475*44/12</f>
        <v>6.2008374766918569E-7</v>
      </c>
      <c r="CN135" s="22">
        <f t="shared" si="120"/>
        <v>37.584534989823723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227.19465047672969</v>
      </c>
      <c r="CZ135" s="59">
        <f t="shared" si="150"/>
        <v>529.77979244134417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13.066556358553109</v>
      </c>
      <c r="DG135" s="21">
        <f>EXP(-LN(2)/25)*DG134+(1-EXP(-LN(2)/25))/(LN(2)/25)*Calculateur!DB135*Calculateur!DD135*VLOOKUP('Données projet'!$B$13,Paramètres!$A$1:$I$89,3,0)*0.475*44/12</f>
        <v>1.873484893221343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14.940041251774453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240.09151195692266</v>
      </c>
      <c r="DU135" s="59">
        <f t="shared" si="152"/>
        <v>559.47775134103165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13.920579649961795</v>
      </c>
      <c r="EB135" s="21">
        <f>EXP(-LN(2)/25)*EB134+(1-EXP(-LN(2)/25))/(LN(2)/25)*Calculateur!DW135*Calculateur!DY135*VLOOKUP('Données projet'!$B$14,Paramètres!$A$1:$I$89,3,0)*0.475*44/12</f>
        <v>1.9959348862423458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15.91651453620414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5.6843418860808015E-14</v>
      </c>
      <c r="EK135" s="17">
        <f>EJ135*VLOOKUP('Données projet'!$B$15,Paramètres!$A$1:$I$89,3,0)*VLOOKUP('Données projet'!$B$15,Paramètres!$A$1:$I$89,5,0)</f>
        <v>4.4337866711430253E-14</v>
      </c>
      <c r="EL135" s="13">
        <f t="shared" si="153"/>
        <v>7.3222115536967035E-13</v>
      </c>
      <c r="EM135" s="20">
        <f t="shared" si="127"/>
        <v>1.3525069634579169E-12</v>
      </c>
      <c r="EN135" s="59">
        <f t="shared" si="128"/>
        <v>279.50293228269078</v>
      </c>
      <c r="EO135" s="59">
        <f ca="1">AVERAGE(OFFSET($EN$3,0,0,'Données projet'!$E$15+1,1))-AVERAGE(OFFSET($H$3,0,0,'Données projet'!$E$15+1,1))</f>
        <v>328.79469965518484</v>
      </c>
      <c r="EP135" s="59">
        <f t="shared" si="154"/>
        <v>322.06400652269735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19.083459877018797</v>
      </c>
      <c r="EW135" s="21">
        <f>EXP(-LN(2)/25)*EW134+(1-EXP(-LN(2)/25))/(LN(2)/25)*Calculateur!ER135*Calculateur!ET135*VLOOKUP('Données projet'!$B$15,Paramètres!$A$1:$I$89,3,0)*0.475*44/12</f>
        <v>1.6584996680663593</v>
      </c>
      <c r="EX135" s="21">
        <f>EXP(-LN(2)/2)*EX134+(1-EXP(-LN(2)/2))/(LN(2)/2)*ER135*EU135*VLOOKUP('Données projet'!$B$15,Paramètres!$A$1:$I$89,3,0)*0.475*44/12</f>
        <v>2.4006461045583903E-8</v>
      </c>
      <c r="EY135" s="22">
        <f t="shared" si="129"/>
        <v>20.741959569091616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-5.6843418860808015E-14</v>
      </c>
      <c r="FF135" s="17">
        <f>FE135*VLOOKUP('Données projet'!$B$16,Paramètres!$A$1:$I$89,3,0)*VLOOKUP('Données projet'!$B$16,Paramètres!$A$1:$I$89,5,0)</f>
        <v>-4.1677594708744434E-14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525.22234644068908</v>
      </c>
      <c r="FK135" s="59">
        <f t="shared" si="156"/>
        <v>311.5550296132094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101.34988975014176</v>
      </c>
      <c r="FR135" s="21">
        <f>EXP(-LN(2)/25)*FR134+(1-EXP(-LN(2)/25))/(LN(2)/25)*Calculateur!FM135*Calculateur!FO135*VLOOKUP('Données projet'!$B$16,Paramètres!$A$1:$I$89,3,0)*0.475*44/12</f>
        <v>24.167188866997467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125.51707861713922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-1.7053025658242404E-13</v>
      </c>
      <c r="GA135" s="17">
        <f>FZ135*VLOOKUP('Données projet'!$B$17,Paramètres!$A$1:$I$89,3,0)*VLOOKUP('Données projet'!$B$17,Paramètres!$A$1:$I$89,5,0)</f>
        <v>-1.1173142411280423E-13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298.45881427802874</v>
      </c>
      <c r="GF135" s="59">
        <f t="shared" si="158"/>
        <v>287.00279305562356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24.663897147433836</v>
      </c>
      <c r="GM135" s="21">
        <f>EXP(-LN(2)/25)*GM134+(1-EXP(-LN(2)/25))/(LN(2)/25)*Calculateur!GH135*Calculateur!GJ135*VLOOKUP('Données projet'!$B$17,Paramètres!$A$1:$I$89,3,0)*0.475*44/12</f>
        <v>0.44807809183751063</v>
      </c>
      <c r="GN135" s="21">
        <f>EXP(-LN(2)/2)*GN134+(1-EXP(-LN(2)/2))/(LN(2)/2)*GH135*GK135*VLOOKUP('Données projet'!$B$17,Paramètres!$A$1:$I$89,3,0)*0.475*44/12</f>
        <v>5.1065720396285857E-7</v>
      </c>
      <c r="GO135" s="21">
        <f t="shared" si="135"/>
        <v>25.111975749928551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135.66666666666666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7.1111111111111107</v>
      </c>
      <c r="N136" s="13">
        <f>IF('Données projet'!$A$36&gt;35,N135+M136-V135,IF(A136&lt;'Données projet'!$A$36,$K$205^A136,IF(A136='Données projet'!$A$36,'Données projet'!$B$36,N135+M136-V135)))</f>
        <v>384.11111111111074</v>
      </c>
      <c r="O136" s="13">
        <f>N136*VLOOKUP('Données projet'!$B$9,Paramètres!$A$1:$I$89,3,0)*VLOOKUP('Données projet'!$B$9,Paramètres!$A$1:$I$89,5,0)</f>
        <v>347.54373333333297</v>
      </c>
      <c r="P136" s="13">
        <f t="shared" si="141"/>
        <v>81.05653330221287</v>
      </c>
      <c r="Q136" s="20">
        <f t="shared" si="108"/>
        <v>746.47879772357555</v>
      </c>
      <c r="R136" s="59">
        <f t="shared" si="109"/>
        <v>1026.2216565443491</v>
      </c>
      <c r="S136" s="59">
        <f ca="1">AVERAGE(OFFSET($R$3,0,0,'Données projet'!$E$9+1,1))-AVERAGE(OFFSET($H$3,0,0,'Données projet'!$E$9+1,1))</f>
        <v>600.52384738314299</v>
      </c>
      <c r="T136" s="59">
        <f t="shared" si="142"/>
        <v>314.84650287986256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45.526652664998011</v>
      </c>
      <c r="AA136" s="21">
        <f>EXP(-LN(2)/25)*AA135+(1-EXP(-LN(2)/25))/(LN(2)/25)*Calculateur!V136*Calculateur!X136*VLOOKUP('Données projet'!$B$9,Paramètres!$A$1:$I$89,3,0)*0.475*44/12</f>
        <v>16.857400435384193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62.384053100382204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-1.4897523215040567E-13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436.77894860279537</v>
      </c>
      <c r="AO136" s="59">
        <f t="shared" si="144"/>
        <v>398.63561969573072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62.151066562311115</v>
      </c>
      <c r="AV136" s="21">
        <f>EXP(-LN(2)/25)*AV135+(1-EXP(-LN(2)/25))/(LN(2)/25)*Calculateur!AQ136*Calculateur!AS136*VLOOKUP('Données projet'!$B$10,Paramètres!$A$1:$I$89,3,0)*0.475*44/12</f>
        <v>7.6649444768448181</v>
      </c>
      <c r="AW136" s="21">
        <f>EXP(-LN(2)/2)*AW135+(1-EXP(-LN(2)/2))/(LN(2)/2)*AQ136*AT136*VLOOKUP('Données projet'!$B$10,Paramètres!$A$1:$I$89,3,0)*0.475*44/12</f>
        <v>4.9590054575274659E-16</v>
      </c>
      <c r="AX136" s="21">
        <f t="shared" si="114"/>
        <v>69.816011039155939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-1.3567387213697657E-13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344.97546176735341</v>
      </c>
      <c r="BJ136" s="59">
        <f t="shared" si="146"/>
        <v>331.15461126257492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36.190046684793842</v>
      </c>
      <c r="BQ136" s="21">
        <f>EXP(-LN(2)/25)*BQ135+(1-EXP(-LN(2)/25))/(LN(2)/25)*Calculateur!BL136*Calculateur!BN136*VLOOKUP('Données projet'!$B$11,Paramètres!$A$1:$I$89,3,0)*0.475*44/12</f>
        <v>0.6522901344524632</v>
      </c>
      <c r="BR136" s="21">
        <f>EXP(-LN(2)/2)*BR135+(1-EXP(-LN(2)/2))/(LN(2)/2)*BL136*BO136*VLOOKUP('Données projet'!$B$11,Paramètres!$A$1:$I$89,3,0)*0.475*44/12</f>
        <v>4.3846542288044924E-7</v>
      </c>
      <c r="BS136" s="22">
        <f t="shared" si="117"/>
        <v>36.842337257711726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-1.7053025658242404E-13</v>
      </c>
      <c r="BZ136" s="13">
        <f>BY136*VLOOKUP('Données projet'!$B$12,Paramètres!$A$1:$I$89,3,0)*VLOOKUP('Données projet'!$B$12,Paramètres!$A$1:$I$89,5,0)</f>
        <v>-1.3567387213697657E-13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344.97546176735341</v>
      </c>
      <c r="CE136" s="59">
        <f t="shared" si="148"/>
        <v>331.15461126257492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36.190046684793842</v>
      </c>
      <c r="CL136" s="21">
        <f>EXP(-LN(2)/25)*CL135+(1-EXP(-LN(2)/25))/(LN(2)/25)*Calculateur!CG136*Calculateur!CI136*VLOOKUP('Données projet'!$B$12,Paramètres!$A$1:$I$89,3,0)*0.475*44/12</f>
        <v>0.6522901344524632</v>
      </c>
      <c r="CM136" s="21">
        <f>EXP(-LN(2)/2)*CM135+(1-EXP(-LN(2)/2))/(LN(2)/2)*CG136*CJ136*VLOOKUP('Données projet'!$B$12,Paramètres!$A$1:$I$89,3,0)*0.475*44/12</f>
        <v>4.3846542288044924E-7</v>
      </c>
      <c r="CN136" s="22">
        <f t="shared" si="120"/>
        <v>36.842337257711726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227.19465047672969</v>
      </c>
      <c r="CZ136" s="59">
        <f t="shared" si="150"/>
        <v>529.77979244134417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12.810329158174309</v>
      </c>
      <c r="DG136" s="21">
        <f>EXP(-LN(2)/25)*DG135+(1-EXP(-LN(2)/25))/(LN(2)/25)*Calculateur!DB136*Calculateur!DD136*VLOOKUP('Données projet'!$B$13,Paramètres!$A$1:$I$89,3,0)*0.475*44/12</f>
        <v>1.8222543502939168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14.632583508468226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240.09151195692266</v>
      </c>
      <c r="DU136" s="59">
        <f t="shared" si="152"/>
        <v>559.47775134103165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13.647605573741242</v>
      </c>
      <c r="EB136" s="21">
        <f>EXP(-LN(2)/25)*EB135+(1-EXP(-LN(2)/25))/(LN(2)/25)*Calculateur!DW136*Calculateur!DY136*VLOOKUP('Données projet'!$B$14,Paramètres!$A$1:$I$89,3,0)*0.475*44/12</f>
        <v>1.941355941816395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15.588961515557637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5.6843418860808015E-14</v>
      </c>
      <c r="EK136" s="17">
        <f>EJ136*VLOOKUP('Données projet'!$B$15,Paramètres!$A$1:$I$89,3,0)*VLOOKUP('Données projet'!$B$15,Paramètres!$A$1:$I$89,5,0)</f>
        <v>4.4337866711430253E-14</v>
      </c>
      <c r="EL136" s="13">
        <f t="shared" si="153"/>
        <v>7.3222115536967035E-13</v>
      </c>
      <c r="EM136" s="20">
        <f t="shared" si="127"/>
        <v>1.3525069634579169E-12</v>
      </c>
      <c r="EN136" s="59">
        <f t="shared" si="128"/>
        <v>279.74285882077487</v>
      </c>
      <c r="EO136" s="59">
        <f ca="1">AVERAGE(OFFSET($EN$3,0,0,'Données projet'!$E$15+1,1))-AVERAGE(OFFSET($H$3,0,0,'Données projet'!$E$15+1,1))</f>
        <v>328.79469965518484</v>
      </c>
      <c r="EP136" s="59">
        <f t="shared" si="154"/>
        <v>322.06400652269735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18.709244868591654</v>
      </c>
      <c r="EW136" s="21">
        <f>EXP(-LN(2)/25)*EW135+(1-EXP(-LN(2)/25))/(LN(2)/25)*Calculateur!ER136*Calculateur!ET136*VLOOKUP('Données projet'!$B$15,Paramètres!$A$1:$I$89,3,0)*0.475*44/12</f>
        <v>1.6131479074263777</v>
      </c>
      <c r="EX136" s="21">
        <f>EXP(-LN(2)/2)*EX135+(1-EXP(-LN(2)/2))/(LN(2)/2)*ER136*EU136*VLOOKUP('Données projet'!$B$15,Paramètres!$A$1:$I$89,3,0)*0.475*44/12</f>
        <v>1.6975131397623074E-8</v>
      </c>
      <c r="EY136" s="22">
        <f t="shared" si="129"/>
        <v>20.322392792993163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-5.6843418860808015E-14</v>
      </c>
      <c r="FF136" s="17">
        <f>FE136*VLOOKUP('Données projet'!$B$16,Paramètres!$A$1:$I$89,3,0)*VLOOKUP('Données projet'!$B$16,Paramètres!$A$1:$I$89,5,0)</f>
        <v>-4.1677594708744434E-14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525.22234644068908</v>
      </c>
      <c r="FK136" s="59">
        <f t="shared" si="156"/>
        <v>311.5550296132094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99.362480229470265</v>
      </c>
      <c r="FR136" s="21">
        <f>EXP(-LN(2)/25)*FR135+(1-EXP(-LN(2)/25))/(LN(2)/25)*Calculateur!FM136*Calculateur!FO136*VLOOKUP('Données projet'!$B$16,Paramètres!$A$1:$I$89,3,0)*0.475*44/12</f>
        <v>23.506335816532193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122.86881604600245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-1.7053025658242404E-13</v>
      </c>
      <c r="GA136" s="17">
        <f>FZ136*VLOOKUP('Données projet'!$B$17,Paramètres!$A$1:$I$89,3,0)*VLOOKUP('Données projet'!$B$17,Paramètres!$A$1:$I$89,5,0)</f>
        <v>-1.1173142411280423E-13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298.45881427802874</v>
      </c>
      <c r="GF136" s="59">
        <f t="shared" si="158"/>
        <v>287.00279305562356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24.180253167864496</v>
      </c>
      <c r="GM136" s="21">
        <f>EXP(-LN(2)/25)*GM135+(1-EXP(-LN(2)/25))/(LN(2)/25)*Calculateur!GH136*Calculateur!GJ136*VLOOKUP('Données projet'!$B$17,Paramètres!$A$1:$I$89,3,0)*0.475*44/12</f>
        <v>0.43582537285281114</v>
      </c>
      <c r="GN136" s="21">
        <f>EXP(-LN(2)/2)*GN135+(1-EXP(-LN(2)/2))/(LN(2)/2)*GH136*GK136*VLOOKUP('Données projet'!$B$17,Paramètres!$A$1:$I$89,3,0)*0.475*44/12</f>
        <v>3.6108917178389921E-7</v>
      </c>
      <c r="GO136" s="21">
        <f t="shared" si="135"/>
        <v>24.616078901806478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135.66666666666666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7.1111111111111107</v>
      </c>
      <c r="N137" s="13">
        <f>IF('Données projet'!$A$36&gt;35,N136+M137-V136,IF(A137&lt;'Données projet'!$A$36,$K$205^A137,IF(A137='Données projet'!$A$36,'Données projet'!$B$36,N136+M137-V136)))</f>
        <v>391.22222222222183</v>
      </c>
      <c r="O137" s="13">
        <f>N137*VLOOKUP('Données projet'!$B$9,Paramètres!$A$1:$I$89,3,0)*VLOOKUP('Données projet'!$B$9,Paramètres!$A$1:$I$89,5,0)</f>
        <v>353.97786666666627</v>
      </c>
      <c r="P137" s="13">
        <f t="shared" si="141"/>
        <v>82.381055781393044</v>
      </c>
      <c r="Q137" s="20">
        <f t="shared" si="108"/>
        <v>759.99178993037003</v>
      </c>
      <c r="R137" s="59">
        <f t="shared" si="109"/>
        <v>1039.9704131001872</v>
      </c>
      <c r="S137" s="59">
        <f ca="1">AVERAGE(OFFSET($R$3,0,0,'Données projet'!$E$9+1,1))-AVERAGE(OFFSET($H$3,0,0,'Données projet'!$E$9+1,1))</f>
        <v>600.52384738314299</v>
      </c>
      <c r="T137" s="59">
        <f t="shared" si="142"/>
        <v>314.84650287986256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44.633902774753615</v>
      </c>
      <c r="AA137" s="21">
        <f>EXP(-LN(2)/25)*AA136+(1-EXP(-LN(2)/25))/(LN(2)/25)*Calculateur!V137*Calculateur!X137*VLOOKUP('Données projet'!$B$9,Paramètres!$A$1:$I$89,3,0)*0.475*44/12</f>
        <v>16.396433933986451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61.030336708740066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-1.4897523215040567E-13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436.77894860279537</v>
      </c>
      <c r="AO137" s="59">
        <f t="shared" si="144"/>
        <v>398.63561969573072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60.932322055431655</v>
      </c>
      <c r="AV137" s="21">
        <f>EXP(-LN(2)/25)*AV136+(1-EXP(-LN(2)/25))/(LN(2)/25)*Calculateur!AQ137*Calculateur!AS137*VLOOKUP('Données projet'!$B$10,Paramètres!$A$1:$I$89,3,0)*0.475*44/12</f>
        <v>7.4553461670435848</v>
      </c>
      <c r="AW137" s="21">
        <f>EXP(-LN(2)/2)*AW136+(1-EXP(-LN(2)/2))/(LN(2)/2)*AQ137*AT137*VLOOKUP('Données projet'!$B$10,Paramètres!$A$1:$I$89,3,0)*0.475*44/12</f>
        <v>3.5065463869587689E-16</v>
      </c>
      <c r="AX137" s="21">
        <f t="shared" si="114"/>
        <v>68.387668222475241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-1.3567387213697657E-13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344.97546176735341</v>
      </c>
      <c r="BJ137" s="59">
        <f t="shared" si="146"/>
        <v>331.15461126257492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35.480381943053914</v>
      </c>
      <c r="BQ137" s="21">
        <f>EXP(-LN(2)/25)*BQ136+(1-EXP(-LN(2)/25))/(LN(2)/25)*Calculateur!BL137*Calculateur!BN137*VLOOKUP('Données projet'!$B$11,Paramètres!$A$1:$I$89,3,0)*0.475*44/12</f>
        <v>0.63445322642341329</v>
      </c>
      <c r="BR137" s="21">
        <f>EXP(-LN(2)/2)*BR136+(1-EXP(-LN(2)/2))/(LN(2)/2)*BL137*BO137*VLOOKUP('Données projet'!$B$11,Paramètres!$A$1:$I$89,3,0)*0.475*44/12</f>
        <v>3.1004187383459285E-7</v>
      </c>
      <c r="BS137" s="22">
        <f t="shared" si="117"/>
        <v>36.114835479519201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-1.7053025658242404E-13</v>
      </c>
      <c r="BZ137" s="13">
        <f>BY137*VLOOKUP('Données projet'!$B$12,Paramètres!$A$1:$I$89,3,0)*VLOOKUP('Données projet'!$B$12,Paramètres!$A$1:$I$89,5,0)</f>
        <v>-1.3567387213697657E-13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344.97546176735341</v>
      </c>
      <c r="CE137" s="59">
        <f t="shared" si="148"/>
        <v>331.15461126257492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35.480381943053914</v>
      </c>
      <c r="CL137" s="21">
        <f>EXP(-LN(2)/25)*CL136+(1-EXP(-LN(2)/25))/(LN(2)/25)*Calculateur!CG137*Calculateur!CI137*VLOOKUP('Données projet'!$B$12,Paramètres!$A$1:$I$89,3,0)*0.475*44/12</f>
        <v>0.63445322642341329</v>
      </c>
      <c r="CM137" s="21">
        <f>EXP(-LN(2)/2)*CM136+(1-EXP(-LN(2)/2))/(LN(2)/2)*CG137*CJ137*VLOOKUP('Données projet'!$B$12,Paramètres!$A$1:$I$89,3,0)*0.475*44/12</f>
        <v>3.1004187383459285E-7</v>
      </c>
      <c r="CN137" s="22">
        <f t="shared" si="120"/>
        <v>36.114835479519201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227.19465047672969</v>
      </c>
      <c r="CZ137" s="59">
        <f t="shared" si="150"/>
        <v>529.77979244134417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12.559126416911775</v>
      </c>
      <c r="DG137" s="21">
        <f>EXP(-LN(2)/25)*DG136+(1-EXP(-LN(2)/25))/(LN(2)/25)*Calculateur!DB137*Calculateur!DD137*VLOOKUP('Données projet'!$B$13,Paramètres!$A$1:$I$89,3,0)*0.475*44/12</f>
        <v>1.7724247092569383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14.331551126168714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240.09151195692266</v>
      </c>
      <c r="DU137" s="59">
        <f t="shared" si="152"/>
        <v>559.47775134103165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13.379984352657628</v>
      </c>
      <c r="EB137" s="21">
        <f>EXP(-LN(2)/25)*EB136+(1-EXP(-LN(2)/25))/(LN(2)/25)*Calculateur!DW137*Calculateur!DY137*VLOOKUP('Données projet'!$B$14,Paramètres!$A$1:$I$89,3,0)*0.475*44/12</f>
        <v>1.8882694614959539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15.268253814153582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5.6843418860808015E-14</v>
      </c>
      <c r="EK137" s="17">
        <f>EJ137*VLOOKUP('Données projet'!$B$15,Paramètres!$A$1:$I$89,3,0)*VLOOKUP('Données projet'!$B$15,Paramètres!$A$1:$I$89,5,0)</f>
        <v>4.4337866711430253E-14</v>
      </c>
      <c r="EL137" s="13">
        <f t="shared" si="153"/>
        <v>7.3222115536967035E-13</v>
      </c>
      <c r="EM137" s="20">
        <f t="shared" si="127"/>
        <v>1.3525069634579169E-12</v>
      </c>
      <c r="EN137" s="59">
        <f t="shared" si="128"/>
        <v>279.9786231698186</v>
      </c>
      <c r="EO137" s="59">
        <f ca="1">AVERAGE(OFFSET($EN$3,0,0,'Données projet'!$E$15+1,1))-AVERAGE(OFFSET($H$3,0,0,'Données projet'!$E$15+1,1))</f>
        <v>328.79469965518484</v>
      </c>
      <c r="EP137" s="59">
        <f t="shared" si="154"/>
        <v>322.06400652269735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18.34236798823115</v>
      </c>
      <c r="EW137" s="21">
        <f>EXP(-LN(2)/25)*EW136+(1-EXP(-LN(2)/25))/(LN(2)/25)*Calculateur!ER137*Calculateur!ET137*VLOOKUP('Données projet'!$B$15,Paramètres!$A$1:$I$89,3,0)*0.475*44/12</f>
        <v>1.5690362930660418</v>
      </c>
      <c r="EX137" s="21">
        <f>EXP(-LN(2)/2)*EX136+(1-EXP(-LN(2)/2))/(LN(2)/2)*ER137*EU137*VLOOKUP('Données projet'!$B$15,Paramètres!$A$1:$I$89,3,0)*0.475*44/12</f>
        <v>1.2003230522791952E-8</v>
      </c>
      <c r="EY137" s="22">
        <f t="shared" si="129"/>
        <v>19.911404293300421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-5.6843418860808015E-14</v>
      </c>
      <c r="FF137" s="17">
        <f>FE137*VLOOKUP('Données projet'!$B$16,Paramètres!$A$1:$I$89,3,0)*VLOOKUP('Données projet'!$B$16,Paramètres!$A$1:$I$89,5,0)</f>
        <v>-4.1677594708744434E-14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525.22234644068908</v>
      </c>
      <c r="FK137" s="59">
        <f t="shared" si="156"/>
        <v>311.5550296132094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97.41404259729903</v>
      </c>
      <c r="FR137" s="21">
        <f>EXP(-LN(2)/25)*FR136+(1-EXP(-LN(2)/25))/(LN(2)/25)*Calculateur!FM137*Calculateur!FO137*VLOOKUP('Données projet'!$B$16,Paramètres!$A$1:$I$89,3,0)*0.475*44/12</f>
        <v>22.863553827484644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120.27759642478367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-1.7053025658242404E-13</v>
      </c>
      <c r="GA137" s="17">
        <f>FZ137*VLOOKUP('Données projet'!$B$17,Paramètres!$A$1:$I$89,3,0)*VLOOKUP('Données projet'!$B$17,Paramètres!$A$1:$I$89,5,0)</f>
        <v>-1.1173142411280423E-13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298.45881427802874</v>
      </c>
      <c r="GF137" s="59">
        <f t="shared" si="158"/>
        <v>287.00279305562356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23.706093151740813</v>
      </c>
      <c r="GM137" s="21">
        <f>EXP(-LN(2)/25)*GM136+(1-EXP(-LN(2)/25))/(LN(2)/25)*Calculateur!GH137*Calculateur!GJ137*VLOOKUP('Données projet'!$B$17,Paramètres!$A$1:$I$89,3,0)*0.475*44/12</f>
        <v>0.42390770511309078</v>
      </c>
      <c r="GN137" s="21">
        <f>EXP(-LN(2)/2)*GN136+(1-EXP(-LN(2)/2))/(LN(2)/2)*GH137*GK137*VLOOKUP('Données projet'!$B$17,Paramètres!$A$1:$I$89,3,0)*0.475*44/12</f>
        <v>2.5532860198142929E-7</v>
      </c>
      <c r="GO137" s="21">
        <f t="shared" si="135"/>
        <v>24.130001112182505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135.66666666666666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7.1111111111111107</v>
      </c>
      <c r="N138" s="13">
        <f>IF('Données projet'!$A$36&gt;35,N137+M138-V137,IF(A138&lt;'Données projet'!$A$36,$K$205^A138,IF(A138='Données projet'!$A$36,'Données projet'!$B$36,N137+M138-V137)))</f>
        <v>398.33333333333292</v>
      </c>
      <c r="O138" s="13">
        <f>N138*VLOOKUP('Données projet'!$B$9,Paramètres!$A$1:$I$89,3,0)*VLOOKUP('Données projet'!$B$9,Paramètres!$A$1:$I$89,5,0)</f>
        <v>360.41199999999964</v>
      </c>
      <c r="P138" s="13">
        <f t="shared" si="141"/>
        <v>83.70277868501104</v>
      </c>
      <c r="Q138" s="20">
        <f t="shared" si="108"/>
        <v>773.49990620972676</v>
      </c>
      <c r="R138" s="59">
        <f t="shared" si="109"/>
        <v>1053.7102037442219</v>
      </c>
      <c r="S138" s="59">
        <f ca="1">AVERAGE(OFFSET($R$3,0,0,'Données projet'!$E$9+1,1))-AVERAGE(OFFSET($H$3,0,0,'Données projet'!$E$9+1,1))</f>
        <v>600.52384738314299</v>
      </c>
      <c r="T138" s="59">
        <f t="shared" si="142"/>
        <v>314.84650287986256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43.758659165333242</v>
      </c>
      <c r="AA138" s="21">
        <f>EXP(-LN(2)/25)*AA137+(1-EXP(-LN(2)/25))/(LN(2)/25)*Calculateur!V138*Calculateur!X138*VLOOKUP('Données projet'!$B$9,Paramètres!$A$1:$I$89,3,0)*0.475*44/12</f>
        <v>15.948072585810605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59.706731751143849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-1.4897523215040567E-13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436.77894860279537</v>
      </c>
      <c r="AO138" s="59">
        <f t="shared" si="144"/>
        <v>398.63561969573072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59.737476384971352</v>
      </c>
      <c r="AV138" s="21">
        <f>EXP(-LN(2)/25)*AV137+(1-EXP(-LN(2)/25))/(LN(2)/25)*Calculateur!AQ138*Calculateur!AS138*VLOOKUP('Données projet'!$B$10,Paramètres!$A$1:$I$89,3,0)*0.475*44/12</f>
        <v>7.2514793340461621</v>
      </c>
      <c r="AW138" s="21">
        <f>EXP(-LN(2)/2)*AW137+(1-EXP(-LN(2)/2))/(LN(2)/2)*AQ138*AT138*VLOOKUP('Données projet'!$B$10,Paramètres!$A$1:$I$89,3,0)*0.475*44/12</f>
        <v>2.4795027287637329E-16</v>
      </c>
      <c r="AX138" s="21">
        <f t="shared" si="114"/>
        <v>66.988955719017511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-1.3567387213697657E-13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344.97546176735341</v>
      </c>
      <c r="BJ138" s="59">
        <f t="shared" si="146"/>
        <v>331.15461126257492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34.784633294046749</v>
      </c>
      <c r="BQ138" s="21">
        <f>EXP(-LN(2)/25)*BQ137+(1-EXP(-LN(2)/25))/(LN(2)/25)*Calculateur!BL138*Calculateur!BN138*VLOOKUP('Données projet'!$B$11,Paramètres!$A$1:$I$89,3,0)*0.475*44/12</f>
        <v>0.61710406958241992</v>
      </c>
      <c r="BR138" s="21">
        <f>EXP(-LN(2)/2)*BR137+(1-EXP(-LN(2)/2))/(LN(2)/2)*BL138*BO138*VLOOKUP('Données projet'!$B$11,Paramètres!$A$1:$I$89,3,0)*0.475*44/12</f>
        <v>2.1923271144022462E-7</v>
      </c>
      <c r="BS138" s="22">
        <f t="shared" si="117"/>
        <v>35.401737582861877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-1.7053025658242404E-13</v>
      </c>
      <c r="BZ138" s="13">
        <f>BY138*VLOOKUP('Données projet'!$B$12,Paramètres!$A$1:$I$89,3,0)*VLOOKUP('Données projet'!$B$12,Paramètres!$A$1:$I$89,5,0)</f>
        <v>-1.3567387213697657E-13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344.97546176735341</v>
      </c>
      <c r="CE138" s="59">
        <f t="shared" si="148"/>
        <v>331.15461126257492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34.784633294046749</v>
      </c>
      <c r="CL138" s="21">
        <f>EXP(-LN(2)/25)*CL137+(1-EXP(-LN(2)/25))/(LN(2)/25)*Calculateur!CG138*Calculateur!CI138*VLOOKUP('Données projet'!$B$12,Paramètres!$A$1:$I$89,3,0)*0.475*44/12</f>
        <v>0.61710406958241992</v>
      </c>
      <c r="CM138" s="21">
        <f>EXP(-LN(2)/2)*CM137+(1-EXP(-LN(2)/2))/(LN(2)/2)*CG138*CJ138*VLOOKUP('Données projet'!$B$12,Paramètres!$A$1:$I$89,3,0)*0.475*44/12</f>
        <v>2.1923271144022462E-7</v>
      </c>
      <c r="CN138" s="22">
        <f t="shared" si="120"/>
        <v>35.401737582861877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227.19465047672969</v>
      </c>
      <c r="CZ138" s="59">
        <f t="shared" si="150"/>
        <v>529.77979244134417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12.312849608186857</v>
      </c>
      <c r="DG138" s="21">
        <f>EXP(-LN(2)/25)*DG137+(1-EXP(-LN(2)/25))/(LN(2)/25)*Calculateur!DB138*Calculateur!DD138*VLOOKUP('Données projet'!$B$13,Paramètres!$A$1:$I$89,3,0)*0.475*44/12</f>
        <v>1.7239576623745427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14.0368072705614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240.09151195692266</v>
      </c>
      <c r="DU138" s="59">
        <f t="shared" si="152"/>
        <v>559.47775134103165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13.117611020486637</v>
      </c>
      <c r="EB138" s="21">
        <f>EXP(-LN(2)/25)*EB137+(1-EXP(-LN(2)/25))/(LN(2)/25)*Calculateur!DW138*Calculateur!DY138*VLOOKUP('Données projet'!$B$14,Paramètres!$A$1:$I$89,3,0)*0.475*44/12</f>
        <v>1.8366346337715718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14.954245654258209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5.6843418860808015E-14</v>
      </c>
      <c r="EK138" s="17">
        <f>EJ138*VLOOKUP('Données projet'!$B$15,Paramètres!$A$1:$I$89,3,0)*VLOOKUP('Données projet'!$B$15,Paramètres!$A$1:$I$89,5,0)</f>
        <v>4.4337866711430253E-14</v>
      </c>
      <c r="EL138" s="13">
        <f t="shared" si="153"/>
        <v>7.3222115536967035E-13</v>
      </c>
      <c r="EM138" s="20">
        <f t="shared" si="127"/>
        <v>1.3525069634579169E-12</v>
      </c>
      <c r="EN138" s="59">
        <f t="shared" si="128"/>
        <v>280.21029753449653</v>
      </c>
      <c r="EO138" s="59">
        <f ca="1">AVERAGE(OFFSET($EN$3,0,0,'Données projet'!$E$15+1,1))-AVERAGE(OFFSET($H$3,0,0,'Données projet'!$E$15+1,1))</f>
        <v>328.79469965518484</v>
      </c>
      <c r="EP138" s="59">
        <f t="shared" si="154"/>
        <v>322.06400652269735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17.982685339721712</v>
      </c>
      <c r="EW138" s="21">
        <f>EXP(-LN(2)/25)*EW137+(1-EXP(-LN(2)/25))/(LN(2)/25)*Calculateur!ER138*Calculateur!ET138*VLOOKUP('Données projet'!$B$15,Paramètres!$A$1:$I$89,3,0)*0.475*44/12</f>
        <v>1.5261309131201182</v>
      </c>
      <c r="EX138" s="21">
        <f>EXP(-LN(2)/2)*EX137+(1-EXP(-LN(2)/2))/(LN(2)/2)*ER138*EU138*VLOOKUP('Données projet'!$B$15,Paramètres!$A$1:$I$89,3,0)*0.475*44/12</f>
        <v>8.4875656988115368E-9</v>
      </c>
      <c r="EY138" s="22">
        <f t="shared" si="129"/>
        <v>19.508816261329393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-5.6843418860808015E-14</v>
      </c>
      <c r="FF138" s="17">
        <f>FE138*VLOOKUP('Données projet'!$B$16,Paramètres!$A$1:$I$89,3,0)*VLOOKUP('Données projet'!$B$16,Paramètres!$A$1:$I$89,5,0)</f>
        <v>-4.1677594708744434E-14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525.22234644068908</v>
      </c>
      <c r="FK138" s="59">
        <f t="shared" si="156"/>
        <v>311.5550296132094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95.503812638665067</v>
      </c>
      <c r="FR138" s="21">
        <f>EXP(-LN(2)/25)*FR137+(1-EXP(-LN(2)/25))/(LN(2)/25)*Calculateur!FM138*Calculateur!FO138*VLOOKUP('Données projet'!$B$16,Paramètres!$A$1:$I$89,3,0)*0.475*44/12</f>
        <v>22.238348745730036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117.7421613843951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-1.7053025658242404E-13</v>
      </c>
      <c r="GA138" s="17">
        <f>FZ138*VLOOKUP('Données projet'!$B$17,Paramètres!$A$1:$I$89,3,0)*VLOOKUP('Données projet'!$B$17,Paramètres!$A$1:$I$89,5,0)</f>
        <v>-1.1173142411280423E-13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298.45881427802874</v>
      </c>
      <c r="GF138" s="59">
        <f t="shared" si="158"/>
        <v>287.00279305562356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23.241231124324262</v>
      </c>
      <c r="GM138" s="21">
        <f>EXP(-LN(2)/25)*GM137+(1-EXP(-LN(2)/25))/(LN(2)/25)*Calculateur!GH138*Calculateur!GJ138*VLOOKUP('Données projet'!$B$17,Paramètres!$A$1:$I$89,3,0)*0.475*44/12</f>
        <v>0.41231592662443595</v>
      </c>
      <c r="GN138" s="21">
        <f>EXP(-LN(2)/2)*GN137+(1-EXP(-LN(2)/2))/(LN(2)/2)*GH138*GK138*VLOOKUP('Données projet'!$B$17,Paramètres!$A$1:$I$89,3,0)*0.475*44/12</f>
        <v>1.8054458589194961E-7</v>
      </c>
      <c r="GO138" s="21">
        <f t="shared" si="135"/>
        <v>23.653547231493285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135.66666666666666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7.1111111111111107</v>
      </c>
      <c r="N139" s="13">
        <f>IF('Données projet'!$A$36&gt;35,N138+M139-V138,IF(A139&lt;'Données projet'!$A$36,$K$205^A139,IF(A139='Données projet'!$A$36,'Données projet'!$B$36,N138+M139-V138)))</f>
        <v>405.444444444444</v>
      </c>
      <c r="O139" s="13">
        <f>N139*VLOOKUP('Données projet'!$B$9,Paramètres!$A$1:$I$89,3,0)*VLOOKUP('Données projet'!$B$9,Paramètres!$A$1:$I$89,5,0)</f>
        <v>366.84613333333294</v>
      </c>
      <c r="P139" s="13">
        <f t="shared" si="141"/>
        <v>85.021757757075406</v>
      </c>
      <c r="Q139" s="20">
        <f t="shared" si="108"/>
        <v>787.00324364912785</v>
      </c>
      <c r="R139" s="59">
        <f t="shared" si="109"/>
        <v>1067.44119651602</v>
      </c>
      <c r="S139" s="59">
        <f ca="1">AVERAGE(OFFSET($R$3,0,0,'Données projet'!$E$9+1,1))-AVERAGE(OFFSET($H$3,0,0,'Données projet'!$E$9+1,1))</f>
        <v>600.52384738314299</v>
      </c>
      <c r="T139" s="59">
        <f t="shared" si="142"/>
        <v>314.84650287986256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42.900578549247712</v>
      </c>
      <c r="AA139" s="21">
        <f>EXP(-LN(2)/25)*AA138+(1-EXP(-LN(2)/25))/(LN(2)/25)*Calculateur!V139*Calculateur!X139*VLOOKUP('Données projet'!$B$9,Paramètres!$A$1:$I$89,3,0)*0.475*44/12</f>
        <v>15.511971702278927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58.412550251526639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-1.4897523215040567E-13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436.77894860279537</v>
      </c>
      <c r="AO139" s="59">
        <f t="shared" si="144"/>
        <v>398.63561969573072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58.566060909324875</v>
      </c>
      <c r="AV139" s="21">
        <f>EXP(-LN(2)/25)*AV138+(1-EXP(-LN(2)/25))/(LN(2)/25)*Calculateur!AQ139*Calculateur!AS139*VLOOKUP('Données projet'!$B$10,Paramètres!$A$1:$I$89,3,0)*0.475*44/12</f>
        <v>7.0531872503179454</v>
      </c>
      <c r="AW139" s="21">
        <f>EXP(-LN(2)/2)*AW138+(1-EXP(-LN(2)/2))/(LN(2)/2)*AQ139*AT139*VLOOKUP('Données projet'!$B$10,Paramètres!$A$1:$I$89,3,0)*0.475*44/12</f>
        <v>1.7532731934793844E-16</v>
      </c>
      <c r="AX139" s="21">
        <f t="shared" si="114"/>
        <v>65.619248159642822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-1.3567387213697657E-13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344.97546176735341</v>
      </c>
      <c r="BJ139" s="59">
        <f t="shared" si="146"/>
        <v>331.15461126257492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34.102527851681842</v>
      </c>
      <c r="BQ139" s="21">
        <f>EXP(-LN(2)/25)*BQ138+(1-EXP(-LN(2)/25))/(LN(2)/25)*Calculateur!BL139*Calculateur!BN139*VLOOKUP('Données projet'!$B$11,Paramètres!$A$1:$I$89,3,0)*0.475*44/12</f>
        <v>0.60022932634759607</v>
      </c>
      <c r="BR139" s="21">
        <f>EXP(-LN(2)/2)*BR138+(1-EXP(-LN(2)/2))/(LN(2)/2)*BL139*BO139*VLOOKUP('Données projet'!$B$11,Paramètres!$A$1:$I$89,3,0)*0.475*44/12</f>
        <v>1.5502093691729642E-7</v>
      </c>
      <c r="BS139" s="22">
        <f t="shared" si="117"/>
        <v>34.702757333050371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-1.7053025658242404E-13</v>
      </c>
      <c r="BZ139" s="13">
        <f>BY139*VLOOKUP('Données projet'!$B$12,Paramètres!$A$1:$I$89,3,0)*VLOOKUP('Données projet'!$B$12,Paramètres!$A$1:$I$89,5,0)</f>
        <v>-1.3567387213697657E-13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344.97546176735341</v>
      </c>
      <c r="CE139" s="59">
        <f t="shared" si="148"/>
        <v>331.15461126257492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34.102527851681842</v>
      </c>
      <c r="CL139" s="21">
        <f>EXP(-LN(2)/25)*CL138+(1-EXP(-LN(2)/25))/(LN(2)/25)*Calculateur!CG139*Calculateur!CI139*VLOOKUP('Données projet'!$B$12,Paramètres!$A$1:$I$89,3,0)*0.475*44/12</f>
        <v>0.60022932634759607</v>
      </c>
      <c r="CM139" s="21">
        <f>EXP(-LN(2)/2)*CM138+(1-EXP(-LN(2)/2))/(LN(2)/2)*CG139*CJ139*VLOOKUP('Données projet'!$B$12,Paramètres!$A$1:$I$89,3,0)*0.475*44/12</f>
        <v>1.5502093691729642E-7</v>
      </c>
      <c r="CN139" s="22">
        <f t="shared" si="120"/>
        <v>34.702757333050371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227.19465047672969</v>
      </c>
      <c r="CZ139" s="59">
        <f t="shared" si="150"/>
        <v>529.77979244134417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12.071402137467013</v>
      </c>
      <c r="DG139" s="21">
        <f>EXP(-LN(2)/25)*DG138+(1-EXP(-LN(2)/25))/(LN(2)/25)*Calculateur!DB139*Calculateur!DD139*VLOOKUP('Données projet'!$B$13,Paramètres!$A$1:$I$89,3,0)*0.475*44/12</f>
        <v>1.6768159494379176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13.748218086904931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240.09151195692266</v>
      </c>
      <c r="DU139" s="59">
        <f t="shared" si="152"/>
        <v>559.47775134103165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12.860382669327588</v>
      </c>
      <c r="EB139" s="21">
        <f>EXP(-LN(2)/25)*EB138+(1-EXP(-LN(2)/25))/(LN(2)/25)*Calculateur!DW139*Calculateur!DY139*VLOOKUP('Données projet'!$B$14,Paramètres!$A$1:$I$89,3,0)*0.475*44/12</f>
        <v>1.7864117631266705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14.646794432454259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5.6843418860808015E-14</v>
      </c>
      <c r="EK139" s="17">
        <f>EJ139*VLOOKUP('Données projet'!$B$15,Paramètres!$A$1:$I$89,3,0)*VLOOKUP('Données projet'!$B$15,Paramètres!$A$1:$I$89,5,0)</f>
        <v>4.4337866711430253E-14</v>
      </c>
      <c r="EL139" s="13">
        <f t="shared" si="153"/>
        <v>7.3222115536967035E-13</v>
      </c>
      <c r="EM139" s="20">
        <f t="shared" si="127"/>
        <v>1.3525069634579169E-12</v>
      </c>
      <c r="EN139" s="59">
        <f t="shared" si="128"/>
        <v>280.43795286689351</v>
      </c>
      <c r="EO139" s="59">
        <f ca="1">AVERAGE(OFFSET($EN$3,0,0,'Données projet'!$E$15+1,1))-AVERAGE(OFFSET($H$3,0,0,'Données projet'!$E$15+1,1))</f>
        <v>328.79469965518484</v>
      </c>
      <c r="EP139" s="59">
        <f t="shared" si="154"/>
        <v>322.06400652269735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17.63005584856479</v>
      </c>
      <c r="EW139" s="21">
        <f>EXP(-LN(2)/25)*EW138+(1-EXP(-LN(2)/25))/(LN(2)/25)*Calculateur!ER139*Calculateur!ET139*VLOOKUP('Données projet'!$B$15,Paramètres!$A$1:$I$89,3,0)*0.475*44/12</f>
        <v>1.4843987830451117</v>
      </c>
      <c r="EX139" s="21">
        <f>EXP(-LN(2)/2)*EX138+(1-EXP(-LN(2)/2))/(LN(2)/2)*ER139*EU139*VLOOKUP('Données projet'!$B$15,Paramètres!$A$1:$I$89,3,0)*0.475*44/12</f>
        <v>6.0016152613959758E-9</v>
      </c>
      <c r="EY139" s="22">
        <f t="shared" si="129"/>
        <v>19.114454637611519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-5.6843418860808015E-14</v>
      </c>
      <c r="FF139" s="17">
        <f>FE139*VLOOKUP('Données projet'!$B$16,Paramètres!$A$1:$I$89,3,0)*VLOOKUP('Données projet'!$B$16,Paramètres!$A$1:$I$89,5,0)</f>
        <v>-4.1677594708744434E-14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525.22234644068908</v>
      </c>
      <c r="FK139" s="59">
        <f t="shared" si="156"/>
        <v>311.5550296132094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93.631041124394685</v>
      </c>
      <c r="FR139" s="21">
        <f>EXP(-LN(2)/25)*FR138+(1-EXP(-LN(2)/25))/(LN(2)/25)*Calculateur!FM139*Calculateur!FO139*VLOOKUP('Données projet'!$B$16,Paramètres!$A$1:$I$89,3,0)*0.475*44/12</f>
        <v>21.630239929814113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115.26128105420879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-1.7053025658242404E-13</v>
      </c>
      <c r="GA139" s="17">
        <f>FZ139*VLOOKUP('Données projet'!$B$17,Paramètres!$A$1:$I$89,3,0)*VLOOKUP('Données projet'!$B$17,Paramètres!$A$1:$I$89,5,0)</f>
        <v>-1.1173142411280423E-13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298.45881427802874</v>
      </c>
      <c r="GF139" s="59">
        <f t="shared" si="158"/>
        <v>287.00279305562356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22.785484757727509</v>
      </c>
      <c r="GM139" s="21">
        <f>EXP(-LN(2)/25)*GM138+(1-EXP(-LN(2)/25))/(LN(2)/25)*Calculateur!GH139*Calculateur!GJ139*VLOOKUP('Données projet'!$B$17,Paramètres!$A$1:$I$89,3,0)*0.475*44/12</f>
        <v>0.40104112592813851</v>
      </c>
      <c r="GN139" s="21">
        <f>EXP(-LN(2)/2)*GN138+(1-EXP(-LN(2)/2))/(LN(2)/2)*GH139*GK139*VLOOKUP('Données projet'!$B$17,Paramètres!$A$1:$I$89,3,0)*0.475*44/12</f>
        <v>1.2766430099071464E-7</v>
      </c>
      <c r="GO139" s="21">
        <f t="shared" si="135"/>
        <v>23.186526011319948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135.66666666666666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7.1111111111111107</v>
      </c>
      <c r="N140" s="13">
        <f>IF('Données projet'!$A$36&gt;35,N139+M140-V139,IF(A140&lt;'Données projet'!$A$36,$K$205^A140,IF(A140='Données projet'!$A$36,'Données projet'!$B$36,N139+M140-V139)))</f>
        <v>412.55555555555509</v>
      </c>
      <c r="O140" s="13">
        <f>N140*VLOOKUP('Données projet'!$B$9,Paramètres!$A$1:$I$89,3,0)*VLOOKUP('Données projet'!$B$9,Paramètres!$A$1:$I$89,5,0)</f>
        <v>373.28026666666625</v>
      </c>
      <c r="P140" s="13">
        <f t="shared" si="141"/>
        <v>86.338046674190522</v>
      </c>
      <c r="Q140" s="20">
        <f t="shared" si="108"/>
        <v>800.50189573532555</v>
      </c>
      <c r="R140" s="59">
        <f t="shared" si="109"/>
        <v>1081.1635546235589</v>
      </c>
      <c r="S140" s="59">
        <f ca="1">AVERAGE(OFFSET($R$3,0,0,'Données projet'!$E$9+1,1))-AVERAGE(OFFSET($H$3,0,0,'Données projet'!$E$9+1,1))</f>
        <v>600.52384738314299</v>
      </c>
      <c r="T140" s="59">
        <f t="shared" si="142"/>
        <v>314.84650287986256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42.059324370666126</v>
      </c>
      <c r="AA140" s="21">
        <f>EXP(-LN(2)/25)*AA139+(1-EXP(-LN(2)/25))/(LN(2)/25)*Calculateur!V140*Calculateur!X140*VLOOKUP('Données projet'!$B$9,Paramètres!$A$1:$I$89,3,0)*0.475*44/12</f>
        <v>15.087796020340971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57.147120391007093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-1.4897523215040567E-13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436.77894860279537</v>
      </c>
      <c r="AO140" s="59">
        <f t="shared" si="144"/>
        <v>398.63561969573072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57.417616176662939</v>
      </c>
      <c r="AV140" s="21">
        <f>EXP(-LN(2)/25)*AV139+(1-EXP(-LN(2)/25))/(LN(2)/25)*Calculateur!AQ140*Calculateur!AS140*VLOOKUP('Données projet'!$B$10,Paramètres!$A$1:$I$89,3,0)*0.475*44/12</f>
        <v>6.8603174740470036</v>
      </c>
      <c r="AW140" s="21">
        <f>EXP(-LN(2)/2)*AW139+(1-EXP(-LN(2)/2))/(LN(2)/2)*AQ140*AT140*VLOOKUP('Données projet'!$B$10,Paramètres!$A$1:$I$89,3,0)*0.475*44/12</f>
        <v>1.2397513643818665E-16</v>
      </c>
      <c r="AX140" s="21">
        <f t="shared" si="114"/>
        <v>64.27793365070994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-1.3567387213697657E-13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344.97546176735341</v>
      </c>
      <c r="BJ140" s="59">
        <f t="shared" si="146"/>
        <v>331.15461126257492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33.433798080998471</v>
      </c>
      <c r="BQ140" s="21">
        <f>EXP(-LN(2)/25)*BQ139+(1-EXP(-LN(2)/25))/(LN(2)/25)*Calculateur!BL140*Calculateur!BN140*VLOOKUP('Données projet'!$B$11,Paramètres!$A$1:$I$89,3,0)*0.475*44/12</f>
        <v>0.58381602385393261</v>
      </c>
      <c r="BR140" s="21">
        <f>EXP(-LN(2)/2)*BR139+(1-EXP(-LN(2)/2))/(LN(2)/2)*BL140*BO140*VLOOKUP('Données projet'!$B$11,Paramètres!$A$1:$I$89,3,0)*0.475*44/12</f>
        <v>1.0961635572011231E-7</v>
      </c>
      <c r="BS140" s="22">
        <f t="shared" si="117"/>
        <v>34.017614214468765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-1.7053025658242404E-13</v>
      </c>
      <c r="BZ140" s="13">
        <f>BY140*VLOOKUP('Données projet'!$B$12,Paramètres!$A$1:$I$89,3,0)*VLOOKUP('Données projet'!$B$12,Paramètres!$A$1:$I$89,5,0)</f>
        <v>-1.3567387213697657E-13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344.97546176735341</v>
      </c>
      <c r="CE140" s="59">
        <f t="shared" si="148"/>
        <v>331.15461126257492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33.433798080998471</v>
      </c>
      <c r="CL140" s="21">
        <f>EXP(-LN(2)/25)*CL139+(1-EXP(-LN(2)/25))/(LN(2)/25)*Calculateur!CG140*Calculateur!CI140*VLOOKUP('Données projet'!$B$12,Paramètres!$A$1:$I$89,3,0)*0.475*44/12</f>
        <v>0.58381602385393261</v>
      </c>
      <c r="CM140" s="21">
        <f>EXP(-LN(2)/2)*CM139+(1-EXP(-LN(2)/2))/(LN(2)/2)*CG140*CJ140*VLOOKUP('Données projet'!$B$12,Paramètres!$A$1:$I$89,3,0)*0.475*44/12</f>
        <v>1.0961635572011231E-7</v>
      </c>
      <c r="CN140" s="22">
        <f t="shared" si="120"/>
        <v>34.017614214468765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227.19465047672969</v>
      </c>
      <c r="CZ140" s="59">
        <f t="shared" si="150"/>
        <v>529.77979244134417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11.83468930437957</v>
      </c>
      <c r="DG140" s="21">
        <f>EXP(-LN(2)/25)*DG139+(1-EXP(-LN(2)/25))/(LN(2)/25)*Calculateur!DB140*Calculateur!DD140*VLOOKUP('Données projet'!$B$13,Paramètres!$A$1:$I$89,3,0)*0.475*44/12</f>
        <v>1.6309633291206194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13.46565263350019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240.09151195692266</v>
      </c>
      <c r="DU140" s="59">
        <f t="shared" si="152"/>
        <v>559.47775134103165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12.608198409240966</v>
      </c>
      <c r="EB140" s="21">
        <f>EXP(-LN(2)/25)*EB139+(1-EXP(-LN(2)/25))/(LN(2)/25)*Calculateur!DW140*Calculateur!DY140*VLOOKUP('Données projet'!$B$14,Paramètres!$A$1:$I$89,3,0)*0.475*44/12</f>
        <v>1.73756223952066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14.345760648761626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5.6843418860808015E-14</v>
      </c>
      <c r="EK140" s="17">
        <f>EJ140*VLOOKUP('Données projet'!$B$15,Paramètres!$A$1:$I$89,3,0)*VLOOKUP('Données projet'!$B$15,Paramètres!$A$1:$I$89,5,0)</f>
        <v>4.4337866711430253E-14</v>
      </c>
      <c r="EL140" s="13">
        <f t="shared" si="153"/>
        <v>7.3222115536967035E-13</v>
      </c>
      <c r="EM140" s="20">
        <f t="shared" si="127"/>
        <v>1.3525069634579169E-12</v>
      </c>
      <c r="EN140" s="59">
        <f t="shared" si="128"/>
        <v>280.66165888823457</v>
      </c>
      <c r="EO140" s="59">
        <f ca="1">AVERAGE(OFFSET($EN$3,0,0,'Données projet'!$E$15+1,1))-AVERAGE(OFFSET($H$3,0,0,'Données projet'!$E$15+1,1))</f>
        <v>328.79469965518484</v>
      </c>
      <c r="EP140" s="59">
        <f t="shared" si="154"/>
        <v>322.06400652269735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17.284341206646705</v>
      </c>
      <c r="EW140" s="21">
        <f>EXP(-LN(2)/25)*EW139+(1-EXP(-LN(2)/25))/(LN(2)/25)*Calculateur!ER140*Calculateur!ET140*VLOOKUP('Données projet'!$B$15,Paramètres!$A$1:$I$89,3,0)*0.475*44/12</f>
        <v>1.4438078202616038</v>
      </c>
      <c r="EX140" s="21">
        <f>EXP(-LN(2)/2)*EX139+(1-EXP(-LN(2)/2))/(LN(2)/2)*ER140*EU140*VLOOKUP('Données projet'!$B$15,Paramètres!$A$1:$I$89,3,0)*0.475*44/12</f>
        <v>4.2437828494057684E-9</v>
      </c>
      <c r="EY140" s="22">
        <f t="shared" si="129"/>
        <v>18.728149031152093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-5.6843418860808015E-14</v>
      </c>
      <c r="FF140" s="17">
        <f>FE140*VLOOKUP('Données projet'!$B$16,Paramètres!$A$1:$I$89,3,0)*VLOOKUP('Données projet'!$B$16,Paramètres!$A$1:$I$89,5,0)</f>
        <v>-4.1677594708744434E-14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525.22234644068908</v>
      </c>
      <c r="FK140" s="59">
        <f t="shared" si="156"/>
        <v>311.5550296132094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91.794993517241309</v>
      </c>
      <c r="FR140" s="21">
        <f>EXP(-LN(2)/25)*FR139+(1-EXP(-LN(2)/25))/(LN(2)/25)*Calculateur!FM140*Calculateur!FO140*VLOOKUP('Données projet'!$B$16,Paramètres!$A$1:$I$89,3,0)*0.475*44/12</f>
        <v>21.038759881448463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112.83375339868977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-1.7053025658242404E-13</v>
      </c>
      <c r="GA140" s="17">
        <f>FZ140*VLOOKUP('Données projet'!$B$17,Paramètres!$A$1:$I$89,3,0)*VLOOKUP('Données projet'!$B$17,Paramètres!$A$1:$I$89,5,0)</f>
        <v>-1.1173142411280423E-13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298.45881427802874</v>
      </c>
      <c r="GF140" s="59">
        <f t="shared" si="158"/>
        <v>287.00279305562356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22.338675299401885</v>
      </c>
      <c r="GM140" s="21">
        <f>EXP(-LN(2)/25)*GM139+(1-EXP(-LN(2)/25))/(LN(2)/25)*Calculateur!GH140*Calculateur!GJ140*VLOOKUP('Données projet'!$B$17,Paramètres!$A$1:$I$89,3,0)*0.475*44/12</f>
        <v>0.39007463524979735</v>
      </c>
      <c r="GN140" s="21">
        <f>EXP(-LN(2)/2)*GN139+(1-EXP(-LN(2)/2))/(LN(2)/2)*GH140*GK140*VLOOKUP('Données projet'!$B$17,Paramètres!$A$1:$I$89,3,0)*0.475*44/12</f>
        <v>9.0272292945974803E-8</v>
      </c>
      <c r="GO140" s="21">
        <f t="shared" si="135"/>
        <v>22.728750024923976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135.66666666666666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7.1111111111111107</v>
      </c>
      <c r="N141" s="13">
        <f>IF('Données projet'!$A$36&gt;35,N140+M141-V140,IF(A141&lt;'Données projet'!$A$36,$K$205^A141,IF(A141='Données projet'!$A$36,'Données projet'!$B$36,N140+M141-V140)))</f>
        <v>419.66666666666617</v>
      </c>
      <c r="O141" s="13">
        <f>N141*VLOOKUP('Données projet'!$B$9,Paramètres!$A$1:$I$89,3,0)*VLOOKUP('Données projet'!$B$9,Paramètres!$A$1:$I$89,5,0)</f>
        <v>379.7143999999995</v>
      </c>
      <c r="P141" s="13">
        <f t="shared" si="141"/>
        <v>87.65169715652047</v>
      </c>
      <c r="Q141" s="20">
        <f t="shared" si="108"/>
        <v>813.9959525476055</v>
      </c>
      <c r="R141" s="59">
        <f t="shared" si="109"/>
        <v>1094.8774366578411</v>
      </c>
      <c r="S141" s="59">
        <f ca="1">AVERAGE(OFFSET($R$3,0,0,'Données projet'!$E$9+1,1))-AVERAGE(OFFSET($H$3,0,0,'Données projet'!$E$9+1,1))</f>
        <v>600.52384738314299</v>
      </c>
      <c r="T141" s="59">
        <f t="shared" si="142"/>
        <v>314.84650287986256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41.234566673412139</v>
      </c>
      <c r="AA141" s="21">
        <f>EXP(-LN(2)/25)*AA140+(1-EXP(-LN(2)/25))/(LN(2)/25)*Calculateur!V141*Calculateur!X141*VLOOKUP('Données projet'!$B$9,Paramètres!$A$1:$I$89,3,0)*0.475*44/12</f>
        <v>14.675219444732038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55.909786118144176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-1.4897523215040567E-13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436.77894860279537</v>
      </c>
      <c r="AO141" s="59">
        <f t="shared" si="144"/>
        <v>398.63561969573072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56.291691744726378</v>
      </c>
      <c r="AV141" s="21">
        <f>EXP(-LN(2)/25)*AV140+(1-EXP(-LN(2)/25))/(LN(2)/25)*Calculateur!AQ141*Calculateur!AS141*VLOOKUP('Données projet'!$B$10,Paramètres!$A$1:$I$89,3,0)*0.475*44/12</f>
        <v>6.6727217319507721</v>
      </c>
      <c r="AW141" s="21">
        <f>EXP(-LN(2)/2)*AW140+(1-EXP(-LN(2)/2))/(LN(2)/2)*AQ141*AT141*VLOOKUP('Données projet'!$B$10,Paramètres!$A$1:$I$89,3,0)*0.475*44/12</f>
        <v>8.7663659673969221E-17</v>
      </c>
      <c r="AX141" s="21">
        <f t="shared" si="114"/>
        <v>62.964413476677151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-1.3567387213697657E-13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344.97546176735341</v>
      </c>
      <c r="BJ141" s="59">
        <f t="shared" si="146"/>
        <v>331.15461126257492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32.778181693233321</v>
      </c>
      <c r="BQ141" s="21">
        <f>EXP(-LN(2)/25)*BQ140+(1-EXP(-LN(2)/25))/(LN(2)/25)*Calculateur!BL141*Calculateur!BN141*VLOOKUP('Données projet'!$B$11,Paramètres!$A$1:$I$89,3,0)*0.475*44/12</f>
        <v>0.56785154398009641</v>
      </c>
      <c r="BR141" s="21">
        <f>EXP(-LN(2)/2)*BR140+(1-EXP(-LN(2)/2))/(LN(2)/2)*BL141*BO141*VLOOKUP('Données projet'!$B$11,Paramètres!$A$1:$I$89,3,0)*0.475*44/12</f>
        <v>7.7510468458648212E-8</v>
      </c>
      <c r="BS141" s="22">
        <f t="shared" si="117"/>
        <v>33.34603331472389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-1.7053025658242404E-13</v>
      </c>
      <c r="BZ141" s="13">
        <f>BY141*VLOOKUP('Données projet'!$B$12,Paramètres!$A$1:$I$89,3,0)*VLOOKUP('Données projet'!$B$12,Paramètres!$A$1:$I$89,5,0)</f>
        <v>-1.3567387213697657E-13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344.97546176735341</v>
      </c>
      <c r="CE141" s="59">
        <f t="shared" si="148"/>
        <v>331.15461126257492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32.778181693233321</v>
      </c>
      <c r="CL141" s="21">
        <f>EXP(-LN(2)/25)*CL140+(1-EXP(-LN(2)/25))/(LN(2)/25)*Calculateur!CG141*Calculateur!CI141*VLOOKUP('Données projet'!$B$12,Paramètres!$A$1:$I$89,3,0)*0.475*44/12</f>
        <v>0.56785154398009641</v>
      </c>
      <c r="CM141" s="21">
        <f>EXP(-LN(2)/2)*CM140+(1-EXP(-LN(2)/2))/(LN(2)/2)*CG141*CJ141*VLOOKUP('Données projet'!$B$12,Paramètres!$A$1:$I$89,3,0)*0.475*44/12</f>
        <v>7.7510468458648212E-8</v>
      </c>
      <c r="CN141" s="22">
        <f t="shared" si="120"/>
        <v>33.34603331472389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227.19465047672969</v>
      </c>
      <c r="CZ141" s="59">
        <f t="shared" si="150"/>
        <v>529.77979244134417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11.602618265568399</v>
      </c>
      <c r="DG141" s="21">
        <f>EXP(-LN(2)/25)*DG140+(1-EXP(-LN(2)/25))/(LN(2)/25)*Calculateur!DB141*Calculateur!DD141*VLOOKUP('Données projet'!$B$13,Paramètres!$A$1:$I$89,3,0)*0.475*44/12</f>
        <v>1.5863645511171822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13.188982816685581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240.09151195692266</v>
      </c>
      <c r="DU141" s="59">
        <f t="shared" si="152"/>
        <v>559.47775134103165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12.360959328677433</v>
      </c>
      <c r="EB141" s="21">
        <f>EXP(-LN(2)/25)*EB140+(1-EXP(-LN(2)/25))/(LN(2)/25)*Calculateur!DW141*Calculateur!DY141*VLOOKUP('Données projet'!$B$14,Paramètres!$A$1:$I$89,3,0)*0.475*44/12</f>
        <v>1.6900485087065407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14.051007837383974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5.6843418860808015E-14</v>
      </c>
      <c r="EK141" s="17">
        <f>EJ141*VLOOKUP('Données projet'!$B$15,Paramètres!$A$1:$I$89,3,0)*VLOOKUP('Données projet'!$B$15,Paramètres!$A$1:$I$89,5,0)</f>
        <v>4.4337866711430253E-14</v>
      </c>
      <c r="EL141" s="13">
        <f t="shared" si="153"/>
        <v>7.3222115536967035E-13</v>
      </c>
      <c r="EM141" s="20">
        <f t="shared" si="127"/>
        <v>1.3525069634579169E-12</v>
      </c>
      <c r="EN141" s="59">
        <f t="shared" si="128"/>
        <v>280.88148411023707</v>
      </c>
      <c r="EO141" s="59">
        <f ca="1">AVERAGE(OFFSET($EN$3,0,0,'Données projet'!$E$15+1,1))-AVERAGE(OFFSET($H$3,0,0,'Données projet'!$E$15+1,1))</f>
        <v>328.79469965518484</v>
      </c>
      <c r="EP141" s="59">
        <f t="shared" si="154"/>
        <v>322.06400652269735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16.945405817991521</v>
      </c>
      <c r="EW141" s="21">
        <f>EXP(-LN(2)/25)*EW140+(1-EXP(-LN(2)/25))/(LN(2)/25)*Calculateur!ER141*Calculateur!ET141*VLOOKUP('Données projet'!$B$15,Paramètres!$A$1:$I$89,3,0)*0.475*44/12</f>
        <v>1.4043268194899969</v>
      </c>
      <c r="EX141" s="21">
        <f>EXP(-LN(2)/2)*EX140+(1-EXP(-LN(2)/2))/(LN(2)/2)*ER141*EU141*VLOOKUP('Données projet'!$B$15,Paramètres!$A$1:$I$89,3,0)*0.475*44/12</f>
        <v>3.0008076306979879E-9</v>
      </c>
      <c r="EY141" s="22">
        <f t="shared" si="129"/>
        <v>18.349732640482323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-5.6843418860808015E-14</v>
      </c>
      <c r="FF141" s="17">
        <f>FE141*VLOOKUP('Données projet'!$B$16,Paramètres!$A$1:$I$89,3,0)*VLOOKUP('Données projet'!$B$16,Paramètres!$A$1:$I$89,5,0)</f>
        <v>-4.1677594708744434E-14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525.22234644068908</v>
      </c>
      <c r="FK141" s="59">
        <f t="shared" si="156"/>
        <v>311.5550296132094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89.994949683785762</v>
      </c>
      <c r="FR141" s="21">
        <f>EXP(-LN(2)/25)*FR140+(1-EXP(-LN(2)/25))/(LN(2)/25)*Calculateur!FM141*Calculateur!FO141*VLOOKUP('Données projet'!$B$16,Paramètres!$A$1:$I$89,3,0)*0.475*44/12</f>
        <v>20.463453886109956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110.45840356989572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-1.7053025658242404E-13</v>
      </c>
      <c r="GA141" s="17">
        <f>FZ141*VLOOKUP('Données projet'!$B$17,Paramètres!$A$1:$I$89,3,0)*VLOOKUP('Données projet'!$B$17,Paramètres!$A$1:$I$89,5,0)</f>
        <v>-1.1173142411280423E-13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298.45881427802874</v>
      </c>
      <c r="GF141" s="59">
        <f t="shared" si="158"/>
        <v>287.00279305562356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21.900627502027167</v>
      </c>
      <c r="GM141" s="21">
        <f>EXP(-LN(2)/25)*GM140+(1-EXP(-LN(2)/25))/(LN(2)/25)*Calculateur!GH141*Calculateur!GJ141*VLOOKUP('Données projet'!$B$17,Paramètres!$A$1:$I$89,3,0)*0.475*44/12</f>
        <v>0.37940802383575811</v>
      </c>
      <c r="GN141" s="21">
        <f>EXP(-LN(2)/2)*GN140+(1-EXP(-LN(2)/2))/(LN(2)/2)*GH141*GK141*VLOOKUP('Données projet'!$B$17,Paramètres!$A$1:$I$89,3,0)*0.475*44/12</f>
        <v>6.3832150495357322E-8</v>
      </c>
      <c r="GO141" s="21">
        <f t="shared" si="135"/>
        <v>22.280035589695075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135.66666666666666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7.1111111111111107</v>
      </c>
      <c r="N142" s="13">
        <f>IF('Données projet'!$A$36&gt;35,N141+M142-V141,IF(A142&lt;'Données projet'!$A$36,$K$205^A142,IF(A142='Données projet'!$A$36,'Données projet'!$B$36,N141+M142-V141)))</f>
        <v>426.77777777777726</v>
      </c>
      <c r="O142" s="13">
        <f>N142*VLOOKUP('Données projet'!$B$9,Paramètres!$A$1:$I$89,3,0)*VLOOKUP('Données projet'!$B$9,Paramètres!$A$1:$I$89,5,0)</f>
        <v>386.14853333333286</v>
      </c>
      <c r="P142" s="13">
        <f t="shared" si="141"/>
        <v>88.962759071019875</v>
      </c>
      <c r="Q142" s="20">
        <f t="shared" si="108"/>
        <v>827.48550093758092</v>
      </c>
      <c r="R142" s="59">
        <f t="shared" si="109"/>
        <v>1108.5829967936729</v>
      </c>
      <c r="S142" s="59">
        <f ca="1">AVERAGE(OFFSET($R$3,0,0,'Données projet'!$E$9+1,1))-AVERAGE(OFFSET($H$3,0,0,'Données projet'!$E$9+1,1))</f>
        <v>600.52384738314299</v>
      </c>
      <c r="T142" s="59">
        <f t="shared" si="142"/>
        <v>314.84650287986256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40.425981971548779</v>
      </c>
      <c r="AA142" s="21">
        <f>EXP(-LN(2)/25)*AA141+(1-EXP(-LN(2)/25))/(LN(2)/25)*Calculateur!V142*Calculateur!X142*VLOOKUP('Données projet'!$B$9,Paramètres!$A$1:$I$89,3,0)*0.475*44/12</f>
        <v>14.273924797279591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54.69990676882837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-1.4897523215040567E-13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436.77894860279537</v>
      </c>
      <c r="AO142" s="59">
        <f t="shared" si="144"/>
        <v>398.63561969573072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55.187846004154004</v>
      </c>
      <c r="AV142" s="21">
        <f>EXP(-LN(2)/25)*AV141+(1-EXP(-LN(2)/25))/(LN(2)/25)*Calculateur!AQ142*Calculateur!AS142*VLOOKUP('Données projet'!$B$10,Paramètres!$A$1:$I$89,3,0)*0.475*44/12</f>
        <v>6.4902558052873927</v>
      </c>
      <c r="AW142" s="21">
        <f>EXP(-LN(2)/2)*AW141+(1-EXP(-LN(2)/2))/(LN(2)/2)*AQ142*AT142*VLOOKUP('Données projet'!$B$10,Paramètres!$A$1:$I$89,3,0)*0.475*44/12</f>
        <v>6.1987568219093324E-17</v>
      </c>
      <c r="AX142" s="21">
        <f t="shared" si="114"/>
        <v>61.678101809441394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-1.3567387213697657E-13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344.97546176735341</v>
      </c>
      <c r="BJ142" s="59">
        <f t="shared" si="146"/>
        <v>331.15461126257492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32.135421542945735</v>
      </c>
      <c r="BQ142" s="21">
        <f>EXP(-LN(2)/25)*BQ141+(1-EXP(-LN(2)/25))/(LN(2)/25)*Calculateur!BL142*Calculateur!BN142*VLOOKUP('Données projet'!$B$11,Paramètres!$A$1:$I$89,3,0)*0.475*44/12</f>
        <v>0.5523236136479458</v>
      </c>
      <c r="BR142" s="21">
        <f>EXP(-LN(2)/2)*BR141+(1-EXP(-LN(2)/2))/(LN(2)/2)*BL142*BO142*VLOOKUP('Données projet'!$B$11,Paramètres!$A$1:$I$89,3,0)*0.475*44/12</f>
        <v>5.4808177860056155E-8</v>
      </c>
      <c r="BS142" s="22">
        <f t="shared" si="117"/>
        <v>32.687745211401854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-1.7053025658242404E-13</v>
      </c>
      <c r="BZ142" s="13">
        <f>BY142*VLOOKUP('Données projet'!$B$12,Paramètres!$A$1:$I$89,3,0)*VLOOKUP('Données projet'!$B$12,Paramètres!$A$1:$I$89,5,0)</f>
        <v>-1.3567387213697657E-13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344.97546176735341</v>
      </c>
      <c r="CE142" s="59">
        <f t="shared" si="148"/>
        <v>331.15461126257492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32.135421542945735</v>
      </c>
      <c r="CL142" s="21">
        <f>EXP(-LN(2)/25)*CL141+(1-EXP(-LN(2)/25))/(LN(2)/25)*Calculateur!CG142*Calculateur!CI142*VLOOKUP('Données projet'!$B$12,Paramètres!$A$1:$I$89,3,0)*0.475*44/12</f>
        <v>0.5523236136479458</v>
      </c>
      <c r="CM142" s="21">
        <f>EXP(-LN(2)/2)*CM141+(1-EXP(-LN(2)/2))/(LN(2)/2)*CG142*CJ142*VLOOKUP('Données projet'!$B$12,Paramètres!$A$1:$I$89,3,0)*0.475*44/12</f>
        <v>5.4808177860056155E-8</v>
      </c>
      <c r="CN142" s="22">
        <f t="shared" si="120"/>
        <v>32.687745211401854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227.19465047672969</v>
      </c>
      <c r="CZ142" s="59">
        <f t="shared" si="150"/>
        <v>529.77979244134417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11.375097998278958</v>
      </c>
      <c r="DG142" s="21">
        <f>EXP(-LN(2)/25)*DG141+(1-EXP(-LN(2)/25))/(LN(2)/25)*Calculateur!DB142*Calculateur!DD142*VLOOKUP('Données projet'!$B$13,Paramètres!$A$1:$I$89,3,0)*0.475*44/12</f>
        <v>1.5429853290435969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12.918083327322556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240.09151195692266</v>
      </c>
      <c r="DU142" s="59">
        <f t="shared" si="152"/>
        <v>559.47775134103165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12.118568455682801</v>
      </c>
      <c r="EB142" s="21">
        <f>EXP(-LN(2)/25)*EB141+(1-EXP(-LN(2)/25))/(LN(2)/25)*Calculateur!DW142*Calculateur!DY142*VLOOKUP('Données projet'!$B$14,Paramètres!$A$1:$I$89,3,0)*0.475*44/12</f>
        <v>1.6438340433601719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13.762402499042974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5.6843418860808015E-14</v>
      </c>
      <c r="EK142" s="17">
        <f>EJ142*VLOOKUP('Données projet'!$B$15,Paramètres!$A$1:$I$89,3,0)*VLOOKUP('Données projet'!$B$15,Paramètres!$A$1:$I$89,5,0)</f>
        <v>4.4337866711430253E-14</v>
      </c>
      <c r="EL142" s="13">
        <f t="shared" si="153"/>
        <v>7.3222115536967035E-13</v>
      </c>
      <c r="EM142" s="20">
        <f t="shared" si="127"/>
        <v>1.3525069634579169E-12</v>
      </c>
      <c r="EN142" s="59">
        <f t="shared" si="128"/>
        <v>281.09749585609342</v>
      </c>
      <c r="EO142" s="59">
        <f ca="1">AVERAGE(OFFSET($EN$3,0,0,'Données projet'!$E$15+1,1))-AVERAGE(OFFSET($H$3,0,0,'Données projet'!$E$15+1,1))</f>
        <v>328.79469965518484</v>
      </c>
      <c r="EP142" s="59">
        <f t="shared" si="154"/>
        <v>322.06400652269735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16.613116745577692</v>
      </c>
      <c r="EW142" s="21">
        <f>EXP(-LN(2)/25)*EW141+(1-EXP(-LN(2)/25))/(LN(2)/25)*Calculateur!ER142*Calculateur!ET142*VLOOKUP('Données projet'!$B$15,Paramètres!$A$1:$I$89,3,0)*0.475*44/12</f>
        <v>1.3659254287607052</v>
      </c>
      <c r="EX142" s="21">
        <f>EXP(-LN(2)/2)*EX141+(1-EXP(-LN(2)/2))/(LN(2)/2)*ER142*EU142*VLOOKUP('Données projet'!$B$15,Paramètres!$A$1:$I$89,3,0)*0.475*44/12</f>
        <v>2.1218914247028842E-9</v>
      </c>
      <c r="EY142" s="22">
        <f t="shared" si="129"/>
        <v>17.979042176460286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-5.6843418860808015E-14</v>
      </c>
      <c r="FF142" s="17">
        <f>FE142*VLOOKUP('Données projet'!$B$16,Paramètres!$A$1:$I$89,3,0)*VLOOKUP('Données projet'!$B$16,Paramètres!$A$1:$I$89,5,0)</f>
        <v>-4.1677594708744434E-14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525.22234644068908</v>
      </c>
      <c r="FK142" s="59">
        <f t="shared" si="156"/>
        <v>311.5550296132094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88.230203611985942</v>
      </c>
      <c r="FR142" s="21">
        <f>EXP(-LN(2)/25)*FR141+(1-EXP(-LN(2)/25))/(LN(2)/25)*Calculateur!FM142*Calculateur!FO142*VLOOKUP('Données projet'!$B$16,Paramètres!$A$1:$I$89,3,0)*0.475*44/12</f>
        <v>19.903879663468011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108.13408327545395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-1.7053025658242404E-13</v>
      </c>
      <c r="GA142" s="17">
        <f>FZ142*VLOOKUP('Données projet'!$B$17,Paramètres!$A$1:$I$89,3,0)*VLOOKUP('Données projet'!$B$17,Paramètres!$A$1:$I$89,5,0)</f>
        <v>-1.1173142411280423E-13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298.45881427802874</v>
      </c>
      <c r="GF142" s="59">
        <f t="shared" si="158"/>
        <v>287.00279305562356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21.471169554776189</v>
      </c>
      <c r="GM142" s="21">
        <f>EXP(-LN(2)/25)*GM141+(1-EXP(-LN(2)/25))/(LN(2)/25)*Calculateur!GH142*Calculateur!GJ142*VLOOKUP('Données projet'!$B$17,Paramètres!$A$1:$I$89,3,0)*0.475*44/12</f>
        <v>0.36903309147176849</v>
      </c>
      <c r="GN142" s="21">
        <f>EXP(-LN(2)/2)*GN141+(1-EXP(-LN(2)/2))/(LN(2)/2)*GH142*GK142*VLOOKUP('Données projet'!$B$17,Paramètres!$A$1:$I$89,3,0)*0.475*44/12</f>
        <v>4.5136146472987401E-8</v>
      </c>
      <c r="GO142" s="21">
        <f t="shared" si="135"/>
        <v>21.840202691384103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135.66666666666666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7.1111111111111107</v>
      </c>
      <c r="N143" s="13">
        <f>IF('Données projet'!$A$36&gt;35,N142+M143-V142,IF(A143&lt;'Données projet'!$A$36,$K$205^A143,IF(A143='Données projet'!$A$36,'Données projet'!$B$36,N142+M143-V142)))</f>
        <v>433.88888888888835</v>
      </c>
      <c r="O143" s="13">
        <f>N143*VLOOKUP('Données projet'!$B$9,Paramètres!$A$1:$I$89,3,0)*VLOOKUP('Données projet'!$B$9,Paramètres!$A$1:$I$89,5,0)</f>
        <v>392.58266666666617</v>
      </c>
      <c r="P143" s="13">
        <f t="shared" si="141"/>
        <v>90.271280527588644</v>
      </c>
      <c r="Q143" s="20">
        <f t="shared" si="108"/>
        <v>840.97062469666037</v>
      </c>
      <c r="R143" s="59">
        <f t="shared" si="109"/>
        <v>1122.2803849777481</v>
      </c>
      <c r="S143" s="59">
        <f ca="1">AVERAGE(OFFSET($R$3,0,0,'Données projet'!$E$9+1,1))-AVERAGE(OFFSET($H$3,0,0,'Données projet'!$E$9+1,1))</f>
        <v>600.52384738314299</v>
      </c>
      <c r="T143" s="59">
        <f t="shared" si="142"/>
        <v>314.84650287986256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39.633253122500996</v>
      </c>
      <c r="AA143" s="21">
        <f>EXP(-LN(2)/25)*AA142+(1-EXP(-LN(2)/25))/(LN(2)/25)*Calculateur!V143*Calculateur!X143*VLOOKUP('Données projet'!$B$9,Paramètres!$A$1:$I$89,3,0)*0.475*44/12</f>
        <v>13.883603573064899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53.516856695565892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-1.4897523215040567E-13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436.77894860279537</v>
      </c>
      <c r="AO143" s="59">
        <f t="shared" si="144"/>
        <v>398.63561969573072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54.105646005274835</v>
      </c>
      <c r="AV143" s="21">
        <f>EXP(-LN(2)/25)*AV142+(1-EXP(-LN(2)/25))/(LN(2)/25)*Calculateur!AQ143*Calculateur!AS143*VLOOKUP('Données projet'!$B$10,Paramètres!$A$1:$I$89,3,0)*0.475*44/12</f>
        <v>6.31277941898409</v>
      </c>
      <c r="AW143" s="21">
        <f>EXP(-LN(2)/2)*AW142+(1-EXP(-LN(2)/2))/(LN(2)/2)*AQ143*AT143*VLOOKUP('Données projet'!$B$10,Paramètres!$A$1:$I$89,3,0)*0.475*44/12</f>
        <v>4.3831829836984611E-17</v>
      </c>
      <c r="AX143" s="21">
        <f t="shared" si="114"/>
        <v>60.418425424258928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-1.3567387213697657E-13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344.97546176735341</v>
      </c>
      <c r="BJ143" s="59">
        <f t="shared" si="146"/>
        <v>331.15461126257492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31.505265527160304</v>
      </c>
      <c r="BQ143" s="21">
        <f>EXP(-LN(2)/25)*BQ142+(1-EXP(-LN(2)/25))/(LN(2)/25)*Calculateur!BL143*Calculateur!BN143*VLOOKUP('Données projet'!$B$11,Paramètres!$A$1:$I$89,3,0)*0.475*44/12</f>
        <v>0.5372202953873062</v>
      </c>
      <c r="BR143" s="21">
        <f>EXP(-LN(2)/2)*BR142+(1-EXP(-LN(2)/2))/(LN(2)/2)*BL143*BO143*VLOOKUP('Données projet'!$B$11,Paramètres!$A$1:$I$89,3,0)*0.475*44/12</f>
        <v>3.8755234229324106E-8</v>
      </c>
      <c r="BS143" s="22">
        <f t="shared" si="117"/>
        <v>32.042485861302843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-1.7053025658242404E-13</v>
      </c>
      <c r="BZ143" s="13">
        <f>BY143*VLOOKUP('Données projet'!$B$12,Paramètres!$A$1:$I$89,3,0)*VLOOKUP('Données projet'!$B$12,Paramètres!$A$1:$I$89,5,0)</f>
        <v>-1.3567387213697657E-13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344.97546176735341</v>
      </c>
      <c r="CE143" s="59">
        <f t="shared" si="148"/>
        <v>331.15461126257492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31.505265527160304</v>
      </c>
      <c r="CL143" s="21">
        <f>EXP(-LN(2)/25)*CL142+(1-EXP(-LN(2)/25))/(LN(2)/25)*Calculateur!CG143*Calculateur!CI143*VLOOKUP('Données projet'!$B$12,Paramètres!$A$1:$I$89,3,0)*0.475*44/12</f>
        <v>0.5372202953873062</v>
      </c>
      <c r="CM143" s="21">
        <f>EXP(-LN(2)/2)*CM142+(1-EXP(-LN(2)/2))/(LN(2)/2)*CG143*CJ143*VLOOKUP('Données projet'!$B$12,Paramètres!$A$1:$I$89,3,0)*0.475*44/12</f>
        <v>3.8755234229324106E-8</v>
      </c>
      <c r="CN143" s="22">
        <f t="shared" si="120"/>
        <v>32.042485861302843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227.19465047672969</v>
      </c>
      <c r="CZ143" s="59">
        <f t="shared" si="150"/>
        <v>529.77979244134417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11.152039264657404</v>
      </c>
      <c r="DG143" s="21">
        <f>EXP(-LN(2)/25)*DG142+(1-EXP(-LN(2)/25))/(LN(2)/25)*Calculateur!DB143*Calculateur!DD143*VLOOKUP('Données projet'!$B$13,Paramètres!$A$1:$I$89,3,0)*0.475*44/12</f>
        <v>1.5007923140788277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12.652831578736231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240.09151195692266</v>
      </c>
      <c r="DU143" s="59">
        <f t="shared" si="152"/>
        <v>559.47775134103165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11.880930719863761</v>
      </c>
      <c r="EB143" s="21">
        <f>EXP(-LN(2)/25)*EB142+(1-EXP(-LN(2)/25))/(LN(2)/25)*Calculateur!DW143*Calculateur!DY143*VLOOKUP('Données projet'!$B$14,Paramètres!$A$1:$I$89,3,0)*0.475*44/12</f>
        <v>1.5988833149990127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13.479814034862773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5.6843418860808015E-14</v>
      </c>
      <c r="EK143" s="17">
        <f>EJ143*VLOOKUP('Données projet'!$B$15,Paramètres!$A$1:$I$89,3,0)*VLOOKUP('Données projet'!$B$15,Paramètres!$A$1:$I$89,5,0)</f>
        <v>4.4337866711430253E-14</v>
      </c>
      <c r="EL143" s="13">
        <f t="shared" si="153"/>
        <v>7.3222115536967035E-13</v>
      </c>
      <c r="EM143" s="20">
        <f t="shared" si="127"/>
        <v>1.3525069634579169E-12</v>
      </c>
      <c r="EN143" s="59">
        <f t="shared" si="128"/>
        <v>281.3097602810891</v>
      </c>
      <c r="EO143" s="59">
        <f ca="1">AVERAGE(OFFSET($EN$3,0,0,'Données projet'!$E$15+1,1))-AVERAGE(OFFSET($H$3,0,0,'Données projet'!$E$15+1,1))</f>
        <v>328.79469965518484</v>
      </c>
      <c r="EP143" s="59">
        <f t="shared" si="154"/>
        <v>322.06400652269735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16.287343659197578</v>
      </c>
      <c r="EW143" s="21">
        <f>EXP(-LN(2)/25)*EW142+(1-EXP(-LN(2)/25))/(LN(2)/25)*Calculateur!ER143*Calculateur!ET143*VLOOKUP('Données projet'!$B$15,Paramètres!$A$1:$I$89,3,0)*0.475*44/12</f>
        <v>1.3285741260803472</v>
      </c>
      <c r="EX143" s="21">
        <f>EXP(-LN(2)/2)*EX142+(1-EXP(-LN(2)/2))/(LN(2)/2)*ER143*EU143*VLOOKUP('Données projet'!$B$15,Paramètres!$A$1:$I$89,3,0)*0.475*44/12</f>
        <v>1.500403815348994E-9</v>
      </c>
      <c r="EY143" s="22">
        <f t="shared" si="129"/>
        <v>17.615917786778329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-5.6843418860808015E-14</v>
      </c>
      <c r="FF143" s="17">
        <f>FE143*VLOOKUP('Données projet'!$B$16,Paramètres!$A$1:$I$89,3,0)*VLOOKUP('Données projet'!$B$16,Paramètres!$A$1:$I$89,5,0)</f>
        <v>-4.1677594708744434E-14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525.22234644068908</v>
      </c>
      <c r="FK143" s="59">
        <f t="shared" si="156"/>
        <v>311.5550296132094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86.500063134265304</v>
      </c>
      <c r="FR143" s="21">
        <f>EXP(-LN(2)/25)*FR142+(1-EXP(-LN(2)/25))/(LN(2)/25)*Calculateur!FM143*Calculateur!FO143*VLOOKUP('Données projet'!$B$16,Paramètres!$A$1:$I$89,3,0)*0.475*44/12</f>
        <v>19.359607027370938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105.85967016163625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-1.7053025658242404E-13</v>
      </c>
      <c r="GA143" s="17">
        <f>FZ143*VLOOKUP('Données projet'!$B$17,Paramètres!$A$1:$I$89,3,0)*VLOOKUP('Données projet'!$B$17,Paramètres!$A$1:$I$89,5,0)</f>
        <v>-1.1173142411280423E-13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298.45881427802874</v>
      </c>
      <c r="GF143" s="59">
        <f t="shared" si="158"/>
        <v>287.00279305562356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21.050133015927322</v>
      </c>
      <c r="GM143" s="21">
        <f>EXP(-LN(2)/25)*GM142+(1-EXP(-LN(2)/25))/(LN(2)/25)*Calculateur!GH143*Calculateur!GJ143*VLOOKUP('Données projet'!$B$17,Paramètres!$A$1:$I$89,3,0)*0.475*44/12</f>
        <v>0.35894186217886614</v>
      </c>
      <c r="GN143" s="21">
        <f>EXP(-LN(2)/2)*GN142+(1-EXP(-LN(2)/2))/(LN(2)/2)*GH143*GK143*VLOOKUP('Données projet'!$B$17,Paramètres!$A$1:$I$89,3,0)*0.475*44/12</f>
        <v>3.1916075247678661E-8</v>
      </c>
      <c r="GO143" s="21">
        <f t="shared" si="135"/>
        <v>21.409074910022266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135.66666666666666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>
        <f>VLOOKUP(A144,'Données projet'!$A$35:$I$55,2,0)</f>
        <v>441</v>
      </c>
      <c r="L144" s="12">
        <f>VLOOKUP(A144,'Données projet'!$A$35:$I$55,9,0)</f>
        <v>7.1111111111111107</v>
      </c>
      <c r="M144" s="12">
        <f t="array" ref="M144">INDEX(L:L,MIN(IF(ISNUMBER(L144:L340),ROW(L144:L340),"")))</f>
        <v>7.1111111111111107</v>
      </c>
      <c r="N144" s="13">
        <f>IF('Données projet'!$A$36&gt;35,N143+M144-V143,IF(A144&lt;'Données projet'!$A$36,$K$205^A144,IF(A144='Données projet'!$A$36,'Données projet'!$B$36,N143+M144-V143)))</f>
        <v>440.99999999999943</v>
      </c>
      <c r="O144" s="13">
        <f>N144*VLOOKUP('Données projet'!$B$9,Paramètres!$A$1:$I$89,3,0)*VLOOKUP('Données projet'!$B$9,Paramètres!$A$1:$I$89,5,0)</f>
        <v>399.01679999999948</v>
      </c>
      <c r="P144" s="13">
        <f t="shared" si="141"/>
        <v>91.577307968744961</v>
      </c>
      <c r="Q144" s="20">
        <f t="shared" si="108"/>
        <v>854.45140471222987</v>
      </c>
      <c r="R144" s="59">
        <f t="shared" si="109"/>
        <v>1135.9697471050918</v>
      </c>
      <c r="S144" s="59">
        <f ca="1">AVERAGE(OFFSET($R$3,0,0,'Données projet'!$E$9+1,1))-AVERAGE(OFFSET($H$3,0,0,'Données projet'!$E$9+1,1))</f>
        <v>600.52384738314299</v>
      </c>
      <c r="T144" s="59">
        <f t="shared" si="142"/>
        <v>314.84650287986256</v>
      </c>
      <c r="U144" s="15">
        <f>IF(ISNA(VLOOKUP(A144,'Données projet'!$A$35:$I$55,3,0)),0,VLOOKUP(A144,'Données projet'!$A$35:$I$55,3,0))</f>
        <v>13</v>
      </c>
      <c r="V144" s="15">
        <f>IF(ISNA(VLOOKUP(A144,'Données projet'!$A$35:$I$55,4,0)),0,VLOOKUP(A144,'Données projet'!$A$35:$I$55,4,0))</f>
        <v>45</v>
      </c>
      <c r="W144" s="16">
        <f>IF(ISNA(VLOOKUP(A144,'Données projet'!$A$35:$I$55,5,0)),0%,VLOOKUP(A144,'Données projet'!$A$35:$I$55,5,0)*VLOOKUP('Données projet'!$B$9,Paramètres!$A$1:$I$89,7,0))</f>
        <v>0.30099999999999999</v>
      </c>
      <c r="X144" s="16">
        <f>IF(ISNA(VLOOKUP(A144,'Données projet'!$A$35:$I$55,6,0)),0%,VLOOKUP(A144,'Données projet'!$A$35:$I$55,6,0)*VLOOKUP('Données projet'!$B$9,Paramètres!$A$1:$I$89,7,0))</f>
        <v>4.3000000000000003E-2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52.404179126558326</v>
      </c>
      <c r="AA144" s="21">
        <f>EXP(-LN(2)/25)*AA143+(1-EXP(-LN(2)/25))/(LN(2)/25)*Calculateur!V144*Calculateur!X144*VLOOKUP('Données projet'!$B$9,Paramètres!$A$1:$I$89,3,0)*0.475*44/12</f>
        <v>15.431779396522057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67.835958523080379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-1.4897523215040567E-13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436.77894860279537</v>
      </c>
      <c r="AO144" s="59">
        <f t="shared" si="144"/>
        <v>398.63561969573072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53.044667288296864</v>
      </c>
      <c r="AV144" s="21">
        <f>EXP(-LN(2)/25)*AV143+(1-EXP(-LN(2)/25))/(LN(2)/25)*Calculateur!AQ144*Calculateur!AS144*VLOOKUP('Données projet'!$B$10,Paramètres!$A$1:$I$89,3,0)*0.475*44/12</f>
        <v>6.1401561337973281</v>
      </c>
      <c r="AW144" s="21">
        <f>EXP(-LN(2)/2)*AW143+(1-EXP(-LN(2)/2))/(LN(2)/2)*AQ144*AT144*VLOOKUP('Données projet'!$B$10,Paramètres!$A$1:$I$89,3,0)*0.475*44/12</f>
        <v>3.0993784109546662E-17</v>
      </c>
      <c r="AX144" s="21">
        <f t="shared" si="114"/>
        <v>59.18482342209419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-1.3567387213697657E-13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344.97546176735341</v>
      </c>
      <c r="BJ144" s="59">
        <f t="shared" si="146"/>
        <v>331.15461126257492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30.887466486487209</v>
      </c>
      <c r="BQ144" s="21">
        <f>EXP(-LN(2)/25)*BQ143+(1-EXP(-LN(2)/25))/(LN(2)/25)*Calculateur!BL144*Calculateur!BN144*VLOOKUP('Données projet'!$B$11,Paramètres!$A$1:$I$89,3,0)*0.475*44/12</f>
        <v>0.52252997815875279</v>
      </c>
      <c r="BR144" s="21">
        <f>EXP(-LN(2)/2)*BR143+(1-EXP(-LN(2)/2))/(LN(2)/2)*BL144*BO144*VLOOKUP('Données projet'!$B$11,Paramètres!$A$1:$I$89,3,0)*0.475*44/12</f>
        <v>2.7404088930028078E-8</v>
      </c>
      <c r="BS144" s="22">
        <f t="shared" si="117"/>
        <v>31.409996492050052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-1.7053025658242404E-13</v>
      </c>
      <c r="BZ144" s="13">
        <f>BY144*VLOOKUP('Données projet'!$B$12,Paramètres!$A$1:$I$89,3,0)*VLOOKUP('Données projet'!$B$12,Paramètres!$A$1:$I$89,5,0)</f>
        <v>-1.3567387213697657E-13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344.97546176735341</v>
      </c>
      <c r="CE144" s="59">
        <f t="shared" si="148"/>
        <v>331.15461126257492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30.887466486487209</v>
      </c>
      <c r="CL144" s="21">
        <f>EXP(-LN(2)/25)*CL143+(1-EXP(-LN(2)/25))/(LN(2)/25)*Calculateur!CG144*Calculateur!CI144*VLOOKUP('Données projet'!$B$12,Paramètres!$A$1:$I$89,3,0)*0.475*44/12</f>
        <v>0.52252997815875279</v>
      </c>
      <c r="CM144" s="21">
        <f>EXP(-LN(2)/2)*CM143+(1-EXP(-LN(2)/2))/(LN(2)/2)*CG144*CJ144*VLOOKUP('Données projet'!$B$12,Paramètres!$A$1:$I$89,3,0)*0.475*44/12</f>
        <v>2.7404088930028078E-8</v>
      </c>
      <c r="CN144" s="22">
        <f t="shared" si="120"/>
        <v>31.409996492050052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227.19465047672969</v>
      </c>
      <c r="CZ144" s="59">
        <f t="shared" si="150"/>
        <v>529.77979244134417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10.933354576749775</v>
      </c>
      <c r="DG144" s="21">
        <f>EXP(-LN(2)/25)*DG143+(1-EXP(-LN(2)/25))/(LN(2)/25)*Calculateur!DB144*Calculateur!DD144*VLOOKUP('Données projet'!$B$13,Paramètres!$A$1:$I$89,3,0)*0.475*44/12</f>
        <v>1.4597530693271046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12.39310764607688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240.09151195692266</v>
      </c>
      <c r="DU144" s="59">
        <f t="shared" si="152"/>
        <v>559.47775134103165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11.647952915099424</v>
      </c>
      <c r="EB144" s="21">
        <f>EXP(-LN(2)/25)*EB143+(1-EXP(-LN(2)/25))/(LN(2)/25)*Calculateur!DW144*Calculateur!DY144*VLOOKUP('Données projet'!$B$14,Paramètres!$A$1:$I$89,3,0)*0.475*44/12</f>
        <v>1.5551617666687454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13.20311468176817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5.6843418860808015E-14</v>
      </c>
      <c r="EK144" s="17">
        <f>EJ144*VLOOKUP('Données projet'!$B$15,Paramètres!$A$1:$I$89,3,0)*VLOOKUP('Données projet'!$B$15,Paramètres!$A$1:$I$89,5,0)</f>
        <v>4.4337866711430253E-14</v>
      </c>
      <c r="EL144" s="13">
        <f t="shared" si="153"/>
        <v>7.3222115536967035E-13</v>
      </c>
      <c r="EM144" s="20">
        <f t="shared" si="127"/>
        <v>1.3525069634579169E-12</v>
      </c>
      <c r="EN144" s="59">
        <f t="shared" si="128"/>
        <v>281.51834239286319</v>
      </c>
      <c r="EO144" s="59">
        <f ca="1">AVERAGE(OFFSET($EN$3,0,0,'Données projet'!$E$15+1,1))-AVERAGE(OFFSET($H$3,0,0,'Données projet'!$E$15+1,1))</f>
        <v>328.79469965518484</v>
      </c>
      <c r="EP144" s="59">
        <f t="shared" si="154"/>
        <v>322.06400652269735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15.967958784339416</v>
      </c>
      <c r="EW144" s="21">
        <f>EXP(-LN(2)/25)*EW143+(1-EXP(-LN(2)/25))/(LN(2)/25)*Calculateur!ER144*Calculateur!ET144*VLOOKUP('Données projet'!$B$15,Paramètres!$A$1:$I$89,3,0)*0.475*44/12</f>
        <v>1.2922441967360032</v>
      </c>
      <c r="EX144" s="21">
        <f>EXP(-LN(2)/2)*EX143+(1-EXP(-LN(2)/2))/(LN(2)/2)*ER144*EU144*VLOOKUP('Données projet'!$B$15,Paramètres!$A$1:$I$89,3,0)*0.475*44/12</f>
        <v>1.0609457123514421E-9</v>
      </c>
      <c r="EY144" s="22">
        <f t="shared" si="129"/>
        <v>17.260202982136367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-5.6843418860808015E-14</v>
      </c>
      <c r="FF144" s="17">
        <f>FE144*VLOOKUP('Données projet'!$B$16,Paramètres!$A$1:$I$89,3,0)*VLOOKUP('Données projet'!$B$16,Paramètres!$A$1:$I$89,5,0)</f>
        <v>-4.1677594708744434E-14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525.22234644068908</v>
      </c>
      <c r="FK144" s="59">
        <f t="shared" si="156"/>
        <v>311.5550296132094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84.803849656031275</v>
      </c>
      <c r="FR144" s="21">
        <f>EXP(-LN(2)/25)*FR143+(1-EXP(-LN(2)/25))/(LN(2)/25)*Calculateur!FM144*Calculateur!FO144*VLOOKUP('Données projet'!$B$16,Paramètres!$A$1:$I$89,3,0)*0.475*44/12</f>
        <v>18.830217555129995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103.63406721116127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-1.7053025658242404E-13</v>
      </c>
      <c r="GA144" s="17">
        <f>FZ144*VLOOKUP('Données projet'!$B$17,Paramètres!$A$1:$I$89,3,0)*VLOOKUP('Données projet'!$B$17,Paramètres!$A$1:$I$89,5,0)</f>
        <v>-1.1173142411280423E-13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298.45881427802874</v>
      </c>
      <c r="GF144" s="59">
        <f t="shared" si="158"/>
        <v>287.00279305562356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20.637352746798349</v>
      </c>
      <c r="GM144" s="21">
        <f>EXP(-LN(2)/25)*GM143+(1-EXP(-LN(2)/25))/(LN(2)/25)*Calculateur!GH144*Calculateur!GJ144*VLOOKUP('Données projet'!$B$17,Paramètres!$A$1:$I$89,3,0)*0.475*44/12</f>
        <v>0.34912657808165287</v>
      </c>
      <c r="GN144" s="21">
        <f>EXP(-LN(2)/2)*GN143+(1-EXP(-LN(2)/2))/(LN(2)/2)*GH144*GK144*VLOOKUP('Données projet'!$B$17,Paramètres!$A$1:$I$89,3,0)*0.475*44/12</f>
        <v>2.2568073236493701E-8</v>
      </c>
      <c r="GO144" s="21">
        <f t="shared" si="135"/>
        <v>20.986479347448075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135.66666666666666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7.083333333333333</v>
      </c>
      <c r="N145" s="13">
        <f>IF('Données projet'!$A$36&gt;35,N144+M145-V144,IF(A145&lt;'Données projet'!$A$36,$K$205^A145,IF(A145='Données projet'!$A$36,'Données projet'!$B$36,N144+M145-V144)))</f>
        <v>403.08333333333275</v>
      </c>
      <c r="O145" s="13">
        <f>N145*VLOOKUP('Données projet'!$B$9,Paramètres!$A$1:$I$89,3,0)*VLOOKUP('Données projet'!$B$9,Paramètres!$A$1:$I$89,5,0)</f>
        <v>364.70979999999946</v>
      </c>
      <c r="P145" s="13">
        <f t="shared" si="141"/>
        <v>84.584116408796319</v>
      </c>
      <c r="Q145" s="20">
        <f t="shared" si="108"/>
        <v>782.52023774531926</v>
      </c>
      <c r="R145" s="59">
        <f t="shared" si="109"/>
        <v>1064.2435438166358</v>
      </c>
      <c r="S145" s="59">
        <f ca="1">AVERAGE(OFFSET($R$3,0,0,'Données projet'!$E$9+1,1))-AVERAGE(OFFSET($H$3,0,0,'Données projet'!$E$9+1,1))</f>
        <v>600.52384738314299</v>
      </c>
      <c r="T145" s="59">
        <f t="shared" si="142"/>
        <v>314.84650287986256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51.376565137279663</v>
      </c>
      <c r="AA145" s="21">
        <f>EXP(-LN(2)/25)*AA144+(1-EXP(-LN(2)/25))/(LN(2)/25)*Calculateur!V145*Calculateur!X145*VLOOKUP('Données projet'!$B$9,Paramètres!$A$1:$I$89,3,0)*0.475*44/12</f>
        <v>15.009796577402152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66.386361714681811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-1.4897523215040567E-13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436.77894860279537</v>
      </c>
      <c r="AO145" s="59">
        <f t="shared" si="144"/>
        <v>398.63561969573072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52.004493716825714</v>
      </c>
      <c r="AV145" s="21">
        <f>EXP(-LN(2)/25)*AV144+(1-EXP(-LN(2)/25))/(LN(2)/25)*Calculateur!AQ145*Calculateur!AS145*VLOOKUP('Données projet'!$B$10,Paramètres!$A$1:$I$89,3,0)*0.475*44/12</f>
        <v>5.9722532414218623</v>
      </c>
      <c r="AW145" s="21">
        <f>EXP(-LN(2)/2)*AW144+(1-EXP(-LN(2)/2))/(LN(2)/2)*AQ145*AT145*VLOOKUP('Données projet'!$B$10,Paramètres!$A$1:$I$89,3,0)*0.475*44/12</f>
        <v>2.1915914918492305E-17</v>
      </c>
      <c r="AX145" s="21">
        <f t="shared" si="114"/>
        <v>57.976746958247574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-1.3567387213697657E-13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344.97546176735341</v>
      </c>
      <c r="BJ145" s="59">
        <f t="shared" si="146"/>
        <v>331.15461126257492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30.281782108181506</v>
      </c>
      <c r="BQ145" s="21">
        <f>EXP(-LN(2)/25)*BQ144+(1-EXP(-LN(2)/25))/(LN(2)/25)*Calculateur!BL145*Calculateur!BN145*VLOOKUP('Données projet'!$B$11,Paramètres!$A$1:$I$89,3,0)*0.475*44/12</f>
        <v>0.50824136842734435</v>
      </c>
      <c r="BR145" s="21">
        <f>EXP(-LN(2)/2)*BR144+(1-EXP(-LN(2)/2))/(LN(2)/2)*BL145*BO145*VLOOKUP('Données projet'!$B$11,Paramètres!$A$1:$I$89,3,0)*0.475*44/12</f>
        <v>1.9377617114662053E-8</v>
      </c>
      <c r="BS145" s="22">
        <f t="shared" si="117"/>
        <v>30.790023495986468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-1.7053025658242404E-13</v>
      </c>
      <c r="BZ145" s="13">
        <f>BY145*VLOOKUP('Données projet'!$B$12,Paramètres!$A$1:$I$89,3,0)*VLOOKUP('Données projet'!$B$12,Paramètres!$A$1:$I$89,5,0)</f>
        <v>-1.3567387213697657E-13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344.97546176735341</v>
      </c>
      <c r="CE145" s="59">
        <f t="shared" si="148"/>
        <v>331.15461126257492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30.281782108181506</v>
      </c>
      <c r="CL145" s="21">
        <f>EXP(-LN(2)/25)*CL144+(1-EXP(-LN(2)/25))/(LN(2)/25)*Calculateur!CG145*Calculateur!CI145*VLOOKUP('Données projet'!$B$12,Paramètres!$A$1:$I$89,3,0)*0.475*44/12</f>
        <v>0.50824136842734435</v>
      </c>
      <c r="CM145" s="21">
        <f>EXP(-LN(2)/2)*CM144+(1-EXP(-LN(2)/2))/(LN(2)/2)*CG145*CJ145*VLOOKUP('Données projet'!$B$12,Paramètres!$A$1:$I$89,3,0)*0.475*44/12</f>
        <v>1.9377617114662053E-8</v>
      </c>
      <c r="CN145" s="22">
        <f t="shared" si="120"/>
        <v>30.790023495986468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227.19465047672969</v>
      </c>
      <c r="CZ145" s="59">
        <f t="shared" si="150"/>
        <v>529.77979244134417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10.718958162187525</v>
      </c>
      <c r="DG145" s="21">
        <f>EXP(-LN(2)/25)*DG144+(1-EXP(-LN(2)/25))/(LN(2)/25)*Calculateur!DB145*Calculateur!DD145*VLOOKUP('Données projet'!$B$13,Paramètres!$A$1:$I$89,3,0)*0.475*44/12</f>
        <v>1.4198360448812772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12.138794207068802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240.09151195692266</v>
      </c>
      <c r="DU145" s="59">
        <f t="shared" si="152"/>
        <v>559.47775134103165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11.419543662984086</v>
      </c>
      <c r="EB145" s="21">
        <f>EXP(-LN(2)/25)*EB144+(1-EXP(-LN(2)/25))/(LN(2)/25)*Calculateur!DW145*Calculateur!DY145*VLOOKUP('Données projet'!$B$14,Paramètres!$A$1:$I$89,3,0)*0.475*44/12</f>
        <v>1.5126357863767856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12.932179449360872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5.6843418860808015E-14</v>
      </c>
      <c r="EK145" s="17">
        <f>EJ145*VLOOKUP('Données projet'!$B$15,Paramètres!$A$1:$I$89,3,0)*VLOOKUP('Données projet'!$B$15,Paramètres!$A$1:$I$89,5,0)</f>
        <v>4.4337866711430253E-14</v>
      </c>
      <c r="EL145" s="13">
        <f t="shared" si="153"/>
        <v>7.3222115536967035E-13</v>
      </c>
      <c r="EM145" s="20">
        <f t="shared" si="127"/>
        <v>1.3525069634579169E-12</v>
      </c>
      <c r="EN145" s="59">
        <f t="shared" si="128"/>
        <v>281.72330607131784</v>
      </c>
      <c r="EO145" s="59">
        <f ca="1">AVERAGE(OFFSET($EN$3,0,0,'Données projet'!$E$15+1,1))-AVERAGE(OFFSET($H$3,0,0,'Données projet'!$E$15+1,1))</f>
        <v>328.79469965518484</v>
      </c>
      <c r="EP145" s="59">
        <f t="shared" si="154"/>
        <v>322.06400652269735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15.654836852071684</v>
      </c>
      <c r="EW145" s="21">
        <f>EXP(-LN(2)/25)*EW144+(1-EXP(-LN(2)/25))/(LN(2)/25)*Calculateur!ER145*Calculateur!ET145*VLOOKUP('Données projet'!$B$15,Paramètres!$A$1:$I$89,3,0)*0.475*44/12</f>
        <v>1.2569077112200884</v>
      </c>
      <c r="EX145" s="21">
        <f>EXP(-LN(2)/2)*EX144+(1-EXP(-LN(2)/2))/(LN(2)/2)*ER145*EU145*VLOOKUP('Données projet'!$B$15,Paramètres!$A$1:$I$89,3,0)*0.475*44/12</f>
        <v>7.5020190767449698E-10</v>
      </c>
      <c r="EY145" s="22">
        <f t="shared" si="129"/>
        <v>16.911744564041975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-5.6843418860808015E-14</v>
      </c>
      <c r="FF145" s="17">
        <f>FE145*VLOOKUP('Données projet'!$B$16,Paramètres!$A$1:$I$89,3,0)*VLOOKUP('Données projet'!$B$16,Paramètres!$A$1:$I$89,5,0)</f>
        <v>-4.1677594708744434E-14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525.22234644068908</v>
      </c>
      <c r="FK145" s="59">
        <f t="shared" si="156"/>
        <v>311.5550296132094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83.140897889517348</v>
      </c>
      <c r="FR145" s="21">
        <f>EXP(-LN(2)/25)*FR144+(1-EXP(-LN(2)/25))/(LN(2)/25)*Calculateur!FM145*Calculateur!FO145*VLOOKUP('Données projet'!$B$16,Paramètres!$A$1:$I$89,3,0)*0.475*44/12</f>
        <v>18.315304265846862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101.45620215536421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-1.7053025658242404E-13</v>
      </c>
      <c r="GA145" s="17">
        <f>FZ145*VLOOKUP('Données projet'!$B$17,Paramètres!$A$1:$I$89,3,0)*VLOOKUP('Données projet'!$B$17,Paramètres!$A$1:$I$89,5,0)</f>
        <v>-1.1173142411280423E-13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298.45881427802874</v>
      </c>
      <c r="GF145" s="59">
        <f t="shared" si="158"/>
        <v>287.00279305562356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20.232666846975892</v>
      </c>
      <c r="GM145" s="21">
        <f>EXP(-LN(2)/25)*GM144+(1-EXP(-LN(2)/25))/(LN(2)/25)*Calculateur!GH145*Calculateur!GJ145*VLOOKUP('Données projet'!$B$17,Paramètres!$A$1:$I$89,3,0)*0.475*44/12</f>
        <v>0.33957969344424127</v>
      </c>
      <c r="GN145" s="21">
        <f>EXP(-LN(2)/2)*GN144+(1-EXP(-LN(2)/2))/(LN(2)/2)*GH145*GK145*VLOOKUP('Données projet'!$B$17,Paramètres!$A$1:$I$89,3,0)*0.475*44/12</f>
        <v>1.595803762383933E-8</v>
      </c>
      <c r="GO145" s="21">
        <f t="shared" si="135"/>
        <v>20.572246556378172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135.66666666666666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7.083333333333333</v>
      </c>
      <c r="N146" s="13">
        <f>IF('Données projet'!$A$36&gt;35,N145+M146-V145,IF(A146&lt;'Données projet'!$A$36,$K$205^A146,IF(A146='Données projet'!$A$36,'Données projet'!$B$36,N145+M146-V145)))</f>
        <v>410.16666666666606</v>
      </c>
      <c r="O146" s="13">
        <f>N146*VLOOKUP('Données projet'!$B$9,Paramètres!$A$1:$I$89,3,0)*VLOOKUP('Données projet'!$B$9,Paramètres!$A$1:$I$89,5,0)</f>
        <v>371.11879999999945</v>
      </c>
      <c r="P146" s="13">
        <f t="shared" si="141"/>
        <v>85.896152691454517</v>
      </c>
      <c r="Q146" s="20">
        <f t="shared" si="108"/>
        <v>795.96770927094894</v>
      </c>
      <c r="R146" s="59">
        <f t="shared" si="109"/>
        <v>1077.892423359129</v>
      </c>
      <c r="S146" s="59">
        <f ca="1">AVERAGE(OFFSET($R$3,0,0,'Données projet'!$E$9+1,1))-AVERAGE(OFFSET($H$3,0,0,'Données projet'!$E$9+1,1))</f>
        <v>600.52384738314299</v>
      </c>
      <c r="T146" s="59">
        <f t="shared" si="142"/>
        <v>314.84650287986256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50.36910203154811</v>
      </c>
      <c r="AA146" s="21">
        <f>EXP(-LN(2)/25)*AA145+(1-EXP(-LN(2)/25))/(LN(2)/25)*Calculateur!V146*Calculateur!X146*VLOOKUP('Données projet'!$B$9,Paramètres!$A$1:$I$89,3,0)*0.475*44/12</f>
        <v>14.599352900662193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64.968454932210307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-1.4897523215040567E-13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436.77894860279537</v>
      </c>
      <c r="AO146" s="59">
        <f t="shared" si="144"/>
        <v>398.63561969573072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50.984717314647874</v>
      </c>
      <c r="AV146" s="21">
        <f>EXP(-LN(2)/25)*AV145+(1-EXP(-LN(2)/25))/(LN(2)/25)*Calculateur!AQ146*Calculateur!AS146*VLOOKUP('Données projet'!$B$10,Paramètres!$A$1:$I$89,3,0)*0.475*44/12</f>
        <v>5.8089416624680332</v>
      </c>
      <c r="AW146" s="21">
        <f>EXP(-LN(2)/2)*AW145+(1-EXP(-LN(2)/2))/(LN(2)/2)*AQ146*AT146*VLOOKUP('Données projet'!$B$10,Paramètres!$A$1:$I$89,3,0)*0.475*44/12</f>
        <v>1.5496892054773331E-17</v>
      </c>
      <c r="AX146" s="21">
        <f t="shared" si="114"/>
        <v>56.793658977115911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-1.3567387213697657E-13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344.97546176735341</v>
      </c>
      <c r="BJ146" s="59">
        <f t="shared" si="146"/>
        <v>331.15461126257492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29.687974831103386</v>
      </c>
      <c r="BQ146" s="21">
        <f>EXP(-LN(2)/25)*BQ145+(1-EXP(-LN(2)/25))/(LN(2)/25)*Calculateur!BL146*Calculateur!BN146*VLOOKUP('Données projet'!$B$11,Paramètres!$A$1:$I$89,3,0)*0.475*44/12</f>
        <v>0.49434348148044666</v>
      </c>
      <c r="BR146" s="21">
        <f>EXP(-LN(2)/2)*BR145+(1-EXP(-LN(2)/2))/(LN(2)/2)*BL146*BO146*VLOOKUP('Données projet'!$B$11,Paramètres!$A$1:$I$89,3,0)*0.475*44/12</f>
        <v>1.3702044465014039E-8</v>
      </c>
      <c r="BS146" s="22">
        <f t="shared" si="117"/>
        <v>30.182318326285877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-1.7053025658242404E-13</v>
      </c>
      <c r="BZ146" s="13">
        <f>BY146*VLOOKUP('Données projet'!$B$12,Paramètres!$A$1:$I$89,3,0)*VLOOKUP('Données projet'!$B$12,Paramètres!$A$1:$I$89,5,0)</f>
        <v>-1.3567387213697657E-13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344.97546176735341</v>
      </c>
      <c r="CE146" s="59">
        <f t="shared" si="148"/>
        <v>331.15461126257492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29.687974831103386</v>
      </c>
      <c r="CL146" s="21">
        <f>EXP(-LN(2)/25)*CL145+(1-EXP(-LN(2)/25))/(LN(2)/25)*Calculateur!CG146*Calculateur!CI146*VLOOKUP('Données projet'!$B$12,Paramètres!$A$1:$I$89,3,0)*0.475*44/12</f>
        <v>0.49434348148044666</v>
      </c>
      <c r="CM146" s="21">
        <f>EXP(-LN(2)/2)*CM145+(1-EXP(-LN(2)/2))/(LN(2)/2)*CG146*CJ146*VLOOKUP('Données projet'!$B$12,Paramètres!$A$1:$I$89,3,0)*0.475*44/12</f>
        <v>1.3702044465014039E-8</v>
      </c>
      <c r="CN146" s="22">
        <f t="shared" si="120"/>
        <v>30.182318326285877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227.19465047672969</v>
      </c>
      <c r="CZ146" s="59">
        <f t="shared" si="150"/>
        <v>529.77979244134417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10.508765930545939</v>
      </c>
      <c r="DG146" s="21">
        <f>EXP(-LN(2)/25)*DG145+(1-EXP(-LN(2)/25))/(LN(2)/25)*Calculateur!DB146*Calculateur!DD146*VLOOKUP('Données projet'!$B$13,Paramètres!$A$1:$I$89,3,0)*0.475*44/12</f>
        <v>1.3810105535680661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11.889776484114005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240.09151195692266</v>
      </c>
      <c r="DU146" s="59">
        <f t="shared" si="152"/>
        <v>559.47775134103165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11.195613376986843</v>
      </c>
      <c r="EB146" s="21">
        <f>EXP(-LN(2)/25)*EB145+(1-EXP(-LN(2)/25))/(LN(2)/25)*Calculateur!DW146*Calculateur!DY146*VLOOKUP('Données projet'!$B$14,Paramètres!$A$1:$I$89,3,0)*0.475*44/12</f>
        <v>1.4712726812522536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12.666886058239097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5.6843418860808015E-14</v>
      </c>
      <c r="EK146" s="17">
        <f>EJ146*VLOOKUP('Données projet'!$B$15,Paramètres!$A$1:$I$89,3,0)*VLOOKUP('Données projet'!$B$15,Paramètres!$A$1:$I$89,5,0)</f>
        <v>4.4337866711430253E-14</v>
      </c>
      <c r="EL146" s="13">
        <f t="shared" si="153"/>
        <v>7.3222115536967035E-13</v>
      </c>
      <c r="EM146" s="20">
        <f t="shared" si="127"/>
        <v>1.3525069634579169E-12</v>
      </c>
      <c r="EN146" s="59">
        <f t="shared" si="128"/>
        <v>281.92471408818136</v>
      </c>
      <c r="EO146" s="59">
        <f ca="1">AVERAGE(OFFSET($EN$3,0,0,'Données projet'!$E$15+1,1))-AVERAGE(OFFSET($H$3,0,0,'Données projet'!$E$15+1,1))</f>
        <v>328.79469965518484</v>
      </c>
      <c r="EP146" s="59">
        <f t="shared" si="154"/>
        <v>322.06400652269735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15.347855049910201</v>
      </c>
      <c r="EW146" s="21">
        <f>EXP(-LN(2)/25)*EW145+(1-EXP(-LN(2)/25))/(LN(2)/25)*Calculateur!ER146*Calculateur!ET146*VLOOKUP('Données projet'!$B$15,Paramètres!$A$1:$I$89,3,0)*0.475*44/12</f>
        <v>1.2225375037588713</v>
      </c>
      <c r="EX146" s="21">
        <f>EXP(-LN(2)/2)*EX145+(1-EXP(-LN(2)/2))/(LN(2)/2)*ER146*EU146*VLOOKUP('Données projet'!$B$15,Paramètres!$A$1:$I$89,3,0)*0.475*44/12</f>
        <v>5.3047285617572105E-10</v>
      </c>
      <c r="EY146" s="22">
        <f t="shared" si="129"/>
        <v>16.570392554199547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-5.6843418860808015E-14</v>
      </c>
      <c r="FF146" s="17">
        <f>FE146*VLOOKUP('Données projet'!$B$16,Paramètres!$A$1:$I$89,3,0)*VLOOKUP('Données projet'!$B$16,Paramètres!$A$1:$I$89,5,0)</f>
        <v>-4.1677594708744434E-14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525.22234644068908</v>
      </c>
      <c r="FK146" s="59">
        <f t="shared" si="156"/>
        <v>311.5550296132094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81.510555592844341</v>
      </c>
      <c r="FR146" s="21">
        <f>EXP(-LN(2)/25)*FR145+(1-EXP(-LN(2)/25))/(LN(2)/25)*Calculateur!FM146*Calculateur!FO146*VLOOKUP('Données projet'!$B$16,Paramètres!$A$1:$I$89,3,0)*0.475*44/12</f>
        <v>17.814471307537289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99.32502690038163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-1.7053025658242404E-13</v>
      </c>
      <c r="GA146" s="17">
        <f>FZ146*VLOOKUP('Données projet'!$B$17,Paramètres!$A$1:$I$89,3,0)*VLOOKUP('Données projet'!$B$17,Paramètres!$A$1:$I$89,5,0)</f>
        <v>-1.1173142411280423E-13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298.45881427802874</v>
      </c>
      <c r="GF146" s="59">
        <f t="shared" si="158"/>
        <v>287.00279305562356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19.835916590814929</v>
      </c>
      <c r="GM146" s="21">
        <f>EXP(-LN(2)/25)*GM145+(1-EXP(-LN(2)/25))/(LN(2)/25)*Calculateur!GH146*Calculateur!GJ146*VLOOKUP('Données projet'!$B$17,Paramètres!$A$1:$I$89,3,0)*0.475*44/12</f>
        <v>0.33029386886928852</v>
      </c>
      <c r="GN146" s="21">
        <f>EXP(-LN(2)/2)*GN145+(1-EXP(-LN(2)/2))/(LN(2)/2)*GH146*GK146*VLOOKUP('Données projet'!$B$17,Paramètres!$A$1:$I$89,3,0)*0.475*44/12</f>
        <v>1.128403661824685E-8</v>
      </c>
      <c r="GO146" s="21">
        <f t="shared" si="135"/>
        <v>20.166210470968252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135.66666666666666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7.083333333333333</v>
      </c>
      <c r="N147" s="13">
        <f>IF('Données projet'!$A$36&gt;35,N146+M147-V146,IF(A147&lt;'Données projet'!$A$36,$K$205^A147,IF(A147='Données projet'!$A$36,'Données projet'!$B$36,N146+M147-V146)))</f>
        <v>417.24999999999937</v>
      </c>
      <c r="O147" s="13">
        <f>N147*VLOOKUP('Données projet'!$B$9,Paramètres!$A$1:$I$89,3,0)*VLOOKUP('Données projet'!$B$9,Paramètres!$A$1:$I$89,5,0)</f>
        <v>377.52779999999944</v>
      </c>
      <c r="P147" s="13">
        <f t="shared" si="141"/>
        <v>87.205554083823728</v>
      </c>
      <c r="Q147" s="20">
        <f t="shared" si="108"/>
        <v>809.41059169599203</v>
      </c>
      <c r="R147" s="59">
        <f t="shared" si="109"/>
        <v>1091.5332198222238</v>
      </c>
      <c r="S147" s="59">
        <f ca="1">AVERAGE(OFFSET($R$3,0,0,'Données projet'!$E$9+1,1))-AVERAGE(OFFSET($H$3,0,0,'Données projet'!$E$9+1,1))</f>
        <v>600.52384738314299</v>
      </c>
      <c r="T147" s="59">
        <f t="shared" si="142"/>
        <v>314.84650287986256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49.381394662828136</v>
      </c>
      <c r="AA147" s="21">
        <f>EXP(-LN(2)/25)*AA146+(1-EXP(-LN(2)/25))/(LN(2)/25)*Calculateur!V147*Calculateur!X147*VLOOKUP('Données projet'!$B$9,Paramètres!$A$1:$I$89,3,0)*0.475*44/12</f>
        <v>14.200132827846984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63.581527490675121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-1.4897523215040567E-13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436.77894860279537</v>
      </c>
      <c r="AO147" s="59">
        <f t="shared" si="144"/>
        <v>398.63561969573072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49.984938105714555</v>
      </c>
      <c r="AV147" s="21">
        <f>EXP(-LN(2)/25)*AV146+(1-EXP(-LN(2)/25))/(LN(2)/25)*Calculateur!AQ147*Calculateur!AS147*VLOOKUP('Données projet'!$B$10,Paramètres!$A$1:$I$89,3,0)*0.475*44/12</f>
        <v>5.6500958472288794</v>
      </c>
      <c r="AW147" s="21">
        <f>EXP(-LN(2)/2)*AW146+(1-EXP(-LN(2)/2))/(LN(2)/2)*AQ147*AT147*VLOOKUP('Données projet'!$B$10,Paramètres!$A$1:$I$89,3,0)*0.475*44/12</f>
        <v>1.0957957459246153E-17</v>
      </c>
      <c r="AX147" s="21">
        <f t="shared" si="114"/>
        <v>55.635033952943431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-1.3567387213697657E-13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344.97546176735341</v>
      </c>
      <c r="BJ147" s="59">
        <f t="shared" si="146"/>
        <v>331.15461126257492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29.105811752542092</v>
      </c>
      <c r="BQ147" s="21">
        <f>EXP(-LN(2)/25)*BQ146+(1-EXP(-LN(2)/25))/(LN(2)/25)*Calculateur!BL147*Calculateur!BN147*VLOOKUP('Données projet'!$B$11,Paramètres!$A$1:$I$89,3,0)*0.475*44/12</f>
        <v>0.48082563298296999</v>
      </c>
      <c r="BR147" s="21">
        <f>EXP(-LN(2)/2)*BR146+(1-EXP(-LN(2)/2))/(LN(2)/2)*BL147*BO147*VLOOKUP('Données projet'!$B$11,Paramètres!$A$1:$I$89,3,0)*0.475*44/12</f>
        <v>9.6888085573310264E-9</v>
      </c>
      <c r="BS147" s="22">
        <f t="shared" si="117"/>
        <v>29.58663739521387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-1.7053025658242404E-13</v>
      </c>
      <c r="BZ147" s="13">
        <f>BY147*VLOOKUP('Données projet'!$B$12,Paramètres!$A$1:$I$89,3,0)*VLOOKUP('Données projet'!$B$12,Paramètres!$A$1:$I$89,5,0)</f>
        <v>-1.3567387213697657E-13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344.97546176735341</v>
      </c>
      <c r="CE147" s="59">
        <f t="shared" si="148"/>
        <v>331.15461126257492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29.105811752542092</v>
      </c>
      <c r="CL147" s="21">
        <f>EXP(-LN(2)/25)*CL146+(1-EXP(-LN(2)/25))/(LN(2)/25)*Calculateur!CG147*Calculateur!CI147*VLOOKUP('Données projet'!$B$12,Paramètres!$A$1:$I$89,3,0)*0.475*44/12</f>
        <v>0.48082563298296999</v>
      </c>
      <c r="CM147" s="21">
        <f>EXP(-LN(2)/2)*CM146+(1-EXP(-LN(2)/2))/(LN(2)/2)*CG147*CJ147*VLOOKUP('Données projet'!$B$12,Paramètres!$A$1:$I$89,3,0)*0.475*44/12</f>
        <v>9.6888085573310264E-9</v>
      </c>
      <c r="CN147" s="22">
        <f t="shared" si="120"/>
        <v>29.58663739521387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227.19465047672969</v>
      </c>
      <c r="CZ147" s="59">
        <f t="shared" si="150"/>
        <v>529.77979244134417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10.302695440362244</v>
      </c>
      <c r="DG147" s="21">
        <f>EXP(-LN(2)/25)*DG146+(1-EXP(-LN(2)/25))/(LN(2)/25)*Calculateur!DB147*Calculateur!DD147*VLOOKUP('Données projet'!$B$13,Paramètres!$A$1:$I$89,3,0)*0.475*44/12</f>
        <v>1.3432467473565586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11.645942187718802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240.09151195692266</v>
      </c>
      <c r="DU147" s="59">
        <f t="shared" si="152"/>
        <v>559.47775134103165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10.976074227314019</v>
      </c>
      <c r="EB147" s="21">
        <f>EXP(-LN(2)/25)*EB146+(1-EXP(-LN(2)/25))/(LN(2)/25)*Calculateur!DW147*Calculateur!DY147*VLOOKUP('Données projet'!$B$14,Paramètres!$A$1:$I$89,3,0)*0.475*44/12</f>
        <v>1.4310406524125432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12.407114879726562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5.6843418860808015E-14</v>
      </c>
      <c r="EK147" s="17">
        <f>EJ147*VLOOKUP('Données projet'!$B$15,Paramètres!$A$1:$I$89,3,0)*VLOOKUP('Données projet'!$B$15,Paramètres!$A$1:$I$89,5,0)</f>
        <v>4.4337866711430253E-14</v>
      </c>
      <c r="EL147" s="13">
        <f t="shared" si="153"/>
        <v>7.3222115536967035E-13</v>
      </c>
      <c r="EM147" s="20">
        <f t="shared" si="127"/>
        <v>1.3525069634579169E-12</v>
      </c>
      <c r="EN147" s="59">
        <f t="shared" si="128"/>
        <v>282.12262812623311</v>
      </c>
      <c r="EO147" s="59">
        <f ca="1">AVERAGE(OFFSET($EN$3,0,0,'Données projet'!$E$15+1,1))-AVERAGE(OFFSET($H$3,0,0,'Données projet'!$E$15+1,1))</f>
        <v>328.79469965518484</v>
      </c>
      <c r="EP147" s="59">
        <f t="shared" si="154"/>
        <v>322.06400652269735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15.046892973648694</v>
      </c>
      <c r="EW147" s="21">
        <f>EXP(-LN(2)/25)*EW146+(1-EXP(-LN(2)/25))/(LN(2)/25)*Calculateur!ER147*Calculateur!ET147*VLOOKUP('Données projet'!$B$15,Paramètres!$A$1:$I$89,3,0)*0.475*44/12</f>
        <v>1.1891071514281317</v>
      </c>
      <c r="EX147" s="21">
        <f>EXP(-LN(2)/2)*EX146+(1-EXP(-LN(2)/2))/(LN(2)/2)*ER147*EU147*VLOOKUP('Données projet'!$B$15,Paramètres!$A$1:$I$89,3,0)*0.475*44/12</f>
        <v>3.7510095383724849E-10</v>
      </c>
      <c r="EY147" s="22">
        <f t="shared" si="129"/>
        <v>16.236000125451927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-5.6843418860808015E-14</v>
      </c>
      <c r="FF147" s="17">
        <f>FE147*VLOOKUP('Données projet'!$B$16,Paramètres!$A$1:$I$89,3,0)*VLOOKUP('Données projet'!$B$16,Paramètres!$A$1:$I$89,5,0)</f>
        <v>-4.1677594708744434E-14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525.22234644068908</v>
      </c>
      <c r="FK147" s="59">
        <f t="shared" si="156"/>
        <v>311.5550296132094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79.912183314198472</v>
      </c>
      <c r="FR147" s="21">
        <f>EXP(-LN(2)/25)*FR146+(1-EXP(-LN(2)/25))/(LN(2)/25)*Calculateur!FM147*Calculateur!FO147*VLOOKUP('Données projet'!$B$16,Paramètres!$A$1:$I$89,3,0)*0.475*44/12</f>
        <v>17.327333652810353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97.239516967008825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-1.7053025658242404E-13</v>
      </c>
      <c r="GA147" s="17">
        <f>FZ147*VLOOKUP('Données projet'!$B$17,Paramètres!$A$1:$I$89,3,0)*VLOOKUP('Données projet'!$B$17,Paramètres!$A$1:$I$89,5,0)</f>
        <v>-1.1173142411280423E-13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298.45881427802874</v>
      </c>
      <c r="GF147" s="59">
        <f t="shared" si="158"/>
        <v>287.00279305562356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19.446946365183518</v>
      </c>
      <c r="GM147" s="21">
        <f>EXP(-LN(2)/25)*GM146+(1-EXP(-LN(2)/25))/(LN(2)/25)*Calculateur!GH147*Calculateur!GJ147*VLOOKUP('Données projet'!$B$17,Paramètres!$A$1:$I$89,3,0)*0.475*44/12</f>
        <v>0.32126196565565818</v>
      </c>
      <c r="GN147" s="21">
        <f>EXP(-LN(2)/2)*GN146+(1-EXP(-LN(2)/2))/(LN(2)/2)*GH147*GK147*VLOOKUP('Données projet'!$B$17,Paramètres!$A$1:$I$89,3,0)*0.475*44/12</f>
        <v>7.9790188119196652E-9</v>
      </c>
      <c r="GO147" s="21">
        <f t="shared" si="135"/>
        <v>19.768208338818194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135.66666666666666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7.083333333333333</v>
      </c>
      <c r="N148" s="13">
        <f>IF('Données projet'!$A$36&gt;35,N147+M148-V147,IF(A148&lt;'Données projet'!$A$36,$K$205^A148,IF(A148='Données projet'!$A$36,'Données projet'!$B$36,N147+M148-V147)))</f>
        <v>424.33333333333269</v>
      </c>
      <c r="O148" s="13">
        <f>N148*VLOOKUP('Données projet'!$B$9,Paramètres!$A$1:$I$89,3,0)*VLOOKUP('Données projet'!$B$9,Paramètres!$A$1:$I$89,5,0)</f>
        <v>383.93679999999944</v>
      </c>
      <c r="P148" s="13">
        <f t="shared" si="141"/>
        <v>88.512370478571057</v>
      </c>
      <c r="Q148" s="20">
        <f t="shared" si="108"/>
        <v>822.84897191684365</v>
      </c>
      <c r="R148" s="59">
        <f t="shared" si="109"/>
        <v>1105.1660807150365</v>
      </c>
      <c r="S148" s="59">
        <f ca="1">AVERAGE(OFFSET($R$3,0,0,'Données projet'!$E$9+1,1))-AVERAGE(OFFSET($H$3,0,0,'Données projet'!$E$9+1,1))</f>
        <v>600.52384738314299</v>
      </c>
      <c r="T148" s="59">
        <f t="shared" si="142"/>
        <v>314.84650287986256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48.413055633166749</v>
      </c>
      <c r="AA148" s="21">
        <f>EXP(-LN(2)/25)*AA147+(1-EXP(-LN(2)/25))/(LN(2)/25)*Calculateur!V148*Calculateur!X148*VLOOKUP('Données projet'!$B$9,Paramètres!$A$1:$I$89,3,0)*0.475*44/12</f>
        <v>13.811829448916978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62.22488508208373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-1.4897523215040567E-13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436.77894860279537</v>
      </c>
      <c r="AO148" s="59">
        <f t="shared" si="144"/>
        <v>398.63561969573072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49.004763957263314</v>
      </c>
      <c r="AV148" s="21">
        <f>EXP(-LN(2)/25)*AV147+(1-EXP(-LN(2)/25))/(LN(2)/25)*Calculateur!AQ148*Calculateur!AS148*VLOOKUP('Données projet'!$B$10,Paramètres!$A$1:$I$89,3,0)*0.475*44/12</f>
        <v>5.4955936791607787</v>
      </c>
      <c r="AW148" s="21">
        <f>EXP(-LN(2)/2)*AW147+(1-EXP(-LN(2)/2))/(LN(2)/2)*AQ148*AT148*VLOOKUP('Données projet'!$B$10,Paramètres!$A$1:$I$89,3,0)*0.475*44/12</f>
        <v>7.7484460273866655E-18</v>
      </c>
      <c r="AX148" s="21">
        <f t="shared" si="114"/>
        <v>54.500357636424091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-1.3567387213697657E-13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344.97546176735341</v>
      </c>
      <c r="BJ148" s="59">
        <f t="shared" si="146"/>
        <v>331.15461126257492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28.535064536866969</v>
      </c>
      <c r="BQ148" s="21">
        <f>EXP(-LN(2)/25)*BQ147+(1-EXP(-LN(2)/25))/(LN(2)/25)*Calculateur!BL148*Calculateur!BN148*VLOOKUP('Données projet'!$B$11,Paramètres!$A$1:$I$89,3,0)*0.475*44/12</f>
        <v>0.46767743076352958</v>
      </c>
      <c r="BR148" s="21">
        <f>EXP(-LN(2)/2)*BR147+(1-EXP(-LN(2)/2))/(LN(2)/2)*BL148*BO148*VLOOKUP('Données projet'!$B$11,Paramètres!$A$1:$I$89,3,0)*0.475*44/12</f>
        <v>6.8510222325070194E-9</v>
      </c>
      <c r="BS148" s="22">
        <f t="shared" si="117"/>
        <v>29.00274197448152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-1.7053025658242404E-13</v>
      </c>
      <c r="BZ148" s="13">
        <f>BY148*VLOOKUP('Données projet'!$B$12,Paramètres!$A$1:$I$89,3,0)*VLOOKUP('Données projet'!$B$12,Paramètres!$A$1:$I$89,5,0)</f>
        <v>-1.3567387213697657E-13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344.97546176735341</v>
      </c>
      <c r="CE148" s="59">
        <f t="shared" si="148"/>
        <v>331.15461126257492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28.535064536866969</v>
      </c>
      <c r="CL148" s="21">
        <f>EXP(-LN(2)/25)*CL147+(1-EXP(-LN(2)/25))/(LN(2)/25)*Calculateur!CG148*Calculateur!CI148*VLOOKUP('Données projet'!$B$12,Paramètres!$A$1:$I$89,3,0)*0.475*44/12</f>
        <v>0.46767743076352958</v>
      </c>
      <c r="CM148" s="21">
        <f>EXP(-LN(2)/2)*CM147+(1-EXP(-LN(2)/2))/(LN(2)/2)*CG148*CJ148*VLOOKUP('Données projet'!$B$12,Paramètres!$A$1:$I$89,3,0)*0.475*44/12</f>
        <v>6.8510222325070194E-9</v>
      </c>
      <c r="CN148" s="22">
        <f t="shared" si="120"/>
        <v>29.00274197448152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227.19465047672969</v>
      </c>
      <c r="CZ148" s="59">
        <f t="shared" si="150"/>
        <v>529.77979244134417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10.100665866800464</v>
      </c>
      <c r="DG148" s="21">
        <f>EXP(-LN(2)/25)*DG147+(1-EXP(-LN(2)/25))/(LN(2)/25)*Calculateur!DB148*Calculateur!DD148*VLOOKUP('Données projet'!$B$13,Paramètres!$A$1:$I$89,3,0)*0.475*44/12</f>
        <v>1.306515594411817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11.40718146121228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240.09151195692266</v>
      </c>
      <c r="DU148" s="59">
        <f t="shared" si="152"/>
        <v>559.47775134103165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10.760840106460618</v>
      </c>
      <c r="EB148" s="21">
        <f>EXP(-LN(2)/25)*EB147+(1-EXP(-LN(2)/25))/(LN(2)/25)*Calculateur!DW148*Calculateur!DY148*VLOOKUP('Données projet'!$B$14,Paramètres!$A$1:$I$89,3,0)*0.475*44/12</f>
        <v>1.3919087705171649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12.152748876977784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5.6843418860808015E-14</v>
      </c>
      <c r="EK148" s="17">
        <f>EJ148*VLOOKUP('Données projet'!$B$15,Paramètres!$A$1:$I$89,3,0)*VLOOKUP('Données projet'!$B$15,Paramètres!$A$1:$I$89,5,0)</f>
        <v>4.4337866711430253E-14</v>
      </c>
      <c r="EL148" s="13">
        <f t="shared" si="153"/>
        <v>7.3222115536967035E-13</v>
      </c>
      <c r="EM148" s="20">
        <f t="shared" si="127"/>
        <v>1.3525069634579169E-12</v>
      </c>
      <c r="EN148" s="59">
        <f t="shared" si="128"/>
        <v>282.31710879819434</v>
      </c>
      <c r="EO148" s="59">
        <f ca="1">AVERAGE(OFFSET($EN$3,0,0,'Données projet'!$E$15+1,1))-AVERAGE(OFFSET($H$3,0,0,'Données projet'!$E$15+1,1))</f>
        <v>328.79469965518484</v>
      </c>
      <c r="EP148" s="59">
        <f t="shared" si="154"/>
        <v>322.06400652269735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14.751832580133934</v>
      </c>
      <c r="EW148" s="21">
        <f>EXP(-LN(2)/25)*EW147+(1-EXP(-LN(2)/25))/(LN(2)/25)*Calculateur!ER148*Calculateur!ET148*VLOOKUP('Données projet'!$B$15,Paramètres!$A$1:$I$89,3,0)*0.475*44/12</f>
        <v>1.1565909538399022</v>
      </c>
      <c r="EX148" s="21">
        <f>EXP(-LN(2)/2)*EX147+(1-EXP(-LN(2)/2))/(LN(2)/2)*ER148*EU148*VLOOKUP('Données projet'!$B$15,Paramètres!$A$1:$I$89,3,0)*0.475*44/12</f>
        <v>2.6523642808786053E-10</v>
      </c>
      <c r="EY148" s="22">
        <f t="shared" si="129"/>
        <v>15.908423534239073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-5.6843418860808015E-14</v>
      </c>
      <c r="FF148" s="17">
        <f>FE148*VLOOKUP('Données projet'!$B$16,Paramètres!$A$1:$I$89,3,0)*VLOOKUP('Données projet'!$B$16,Paramètres!$A$1:$I$89,5,0)</f>
        <v>-4.1677594708744434E-14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525.22234644068908</v>
      </c>
      <c r="FK148" s="59">
        <f t="shared" si="156"/>
        <v>311.5550296132094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78.345154141026029</v>
      </c>
      <c r="FR148" s="21">
        <f>EXP(-LN(2)/25)*FR147+(1-EXP(-LN(2)/25))/(LN(2)/25)*Calculateur!FM148*Calculateur!FO148*VLOOKUP('Données projet'!$B$16,Paramètres!$A$1:$I$89,3,0)*0.475*44/12</f>
        <v>16.853516802869379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95.198670943895408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-1.7053025658242404E-13</v>
      </c>
      <c r="GA148" s="17">
        <f>FZ148*VLOOKUP('Données projet'!$B$17,Paramètres!$A$1:$I$89,3,0)*VLOOKUP('Données projet'!$B$17,Paramètres!$A$1:$I$89,5,0)</f>
        <v>-1.1173142411280423E-13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298.45881427802874</v>
      </c>
      <c r="GF148" s="59">
        <f t="shared" si="158"/>
        <v>287.00279305562356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19.065603608428329</v>
      </c>
      <c r="GM148" s="21">
        <f>EXP(-LN(2)/25)*GM147+(1-EXP(-LN(2)/25))/(LN(2)/25)*Calculateur!GH148*Calculateur!GJ148*VLOOKUP('Données projet'!$B$17,Paramètres!$A$1:$I$89,3,0)*0.475*44/12</f>
        <v>0.31247704031037171</v>
      </c>
      <c r="GN148" s="21">
        <f>EXP(-LN(2)/2)*GN147+(1-EXP(-LN(2)/2))/(LN(2)/2)*GH148*GK148*VLOOKUP('Données projet'!$B$17,Paramètres!$A$1:$I$89,3,0)*0.475*44/12</f>
        <v>5.6420183091234252E-9</v>
      </c>
      <c r="GO148" s="21">
        <f t="shared" si="135"/>
        <v>19.378080654380721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135.66666666666666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7.083333333333333</v>
      </c>
      <c r="N149" s="13">
        <f>IF('Données projet'!$A$36&gt;35,N148+M149-V148,IF(A149&lt;'Données projet'!$A$36,$K$205^A149,IF(A149='Données projet'!$A$36,'Données projet'!$B$36,N148+M149-V148)))</f>
        <v>431.416666666666</v>
      </c>
      <c r="O149" s="13">
        <f>N149*VLOOKUP('Données projet'!$B$9,Paramètres!$A$1:$I$89,3,0)*VLOOKUP('Données projet'!$B$9,Paramètres!$A$1:$I$89,5,0)</f>
        <v>390.34579999999937</v>
      </c>
      <c r="P149" s="13">
        <f t="shared" si="141"/>
        <v>89.816650007185274</v>
      </c>
      <c r="Q149" s="20">
        <f t="shared" si="108"/>
        <v>836.28293376251315</v>
      </c>
      <c r="R149" s="59">
        <f t="shared" si="109"/>
        <v>1118.7911494278023</v>
      </c>
      <c r="S149" s="59">
        <f ca="1">AVERAGE(OFFSET($R$3,0,0,'Données projet'!$E$9+1,1))-AVERAGE(OFFSET($H$3,0,0,'Données projet'!$E$9+1,1))</f>
        <v>600.52384738314299</v>
      </c>
      <c r="T149" s="59">
        <f t="shared" si="142"/>
        <v>314.84650287986256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47.463705141248532</v>
      </c>
      <c r="AA149" s="21">
        <f>EXP(-LN(2)/25)*AA148+(1-EXP(-LN(2)/25))/(LN(2)/25)*Calculateur!V149*Calculateur!X149*VLOOKUP('Données projet'!$B$9,Paramètres!$A$1:$I$89,3,0)*0.475*44/12</f>
        <v>13.4341442463038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60.897849387552334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-1.4897523215040567E-13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436.77894860279537</v>
      </c>
      <c r="AO149" s="59">
        <f t="shared" si="144"/>
        <v>398.63561969573072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48.043810426016009</v>
      </c>
      <c r="AV149" s="21">
        <f>EXP(-LN(2)/25)*AV148+(1-EXP(-LN(2)/25))/(LN(2)/25)*Calculateur!AQ149*Calculateur!AS149*VLOOKUP('Données projet'!$B$10,Paramètres!$A$1:$I$89,3,0)*0.475*44/12</f>
        <v>5.3453163810034159</v>
      </c>
      <c r="AW149" s="21">
        <f>EXP(-LN(2)/2)*AW148+(1-EXP(-LN(2)/2))/(LN(2)/2)*AQ149*AT149*VLOOKUP('Données projet'!$B$10,Paramètres!$A$1:$I$89,3,0)*0.475*44/12</f>
        <v>5.4789787296230763E-18</v>
      </c>
      <c r="AX149" s="21">
        <f t="shared" si="114"/>
        <v>53.389126807019423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-1.3567387213697657E-13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344.97546176735341</v>
      </c>
      <c r="BJ149" s="59">
        <f t="shared" si="146"/>
        <v>331.15461126257492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27.975509325969806</v>
      </c>
      <c r="BQ149" s="21">
        <f>EXP(-LN(2)/25)*BQ148+(1-EXP(-LN(2)/25))/(LN(2)/25)*Calculateur!BL149*Calculateur!BN149*VLOOKUP('Données projet'!$B$11,Paramètres!$A$1:$I$89,3,0)*0.475*44/12</f>
        <v>0.45488876682521368</v>
      </c>
      <c r="BR149" s="21">
        <f>EXP(-LN(2)/2)*BR148+(1-EXP(-LN(2)/2))/(LN(2)/2)*BL149*BO149*VLOOKUP('Données projet'!$B$11,Paramètres!$A$1:$I$89,3,0)*0.475*44/12</f>
        <v>4.8444042786655132E-9</v>
      </c>
      <c r="BS149" s="22">
        <f t="shared" si="117"/>
        <v>28.430398097639426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-1.7053025658242404E-13</v>
      </c>
      <c r="BZ149" s="13">
        <f>BY149*VLOOKUP('Données projet'!$B$12,Paramètres!$A$1:$I$89,3,0)*VLOOKUP('Données projet'!$B$12,Paramètres!$A$1:$I$89,5,0)</f>
        <v>-1.3567387213697657E-13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344.97546176735341</v>
      </c>
      <c r="CE149" s="59">
        <f t="shared" si="148"/>
        <v>331.15461126257492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27.975509325969806</v>
      </c>
      <c r="CL149" s="21">
        <f>EXP(-LN(2)/25)*CL148+(1-EXP(-LN(2)/25))/(LN(2)/25)*Calculateur!CG149*Calculateur!CI149*VLOOKUP('Données projet'!$B$12,Paramètres!$A$1:$I$89,3,0)*0.475*44/12</f>
        <v>0.45488876682521368</v>
      </c>
      <c r="CM149" s="21">
        <f>EXP(-LN(2)/2)*CM148+(1-EXP(-LN(2)/2))/(LN(2)/2)*CG149*CJ149*VLOOKUP('Données projet'!$B$12,Paramètres!$A$1:$I$89,3,0)*0.475*44/12</f>
        <v>4.8444042786655132E-9</v>
      </c>
      <c r="CN149" s="22">
        <f t="shared" si="120"/>
        <v>28.430398097639426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227.19465047672969</v>
      </c>
      <c r="CZ149" s="59">
        <f t="shared" si="150"/>
        <v>529.77979244134417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9.9025979699503566</v>
      </c>
      <c r="DG149" s="21">
        <f>EXP(-LN(2)/25)*DG148+(1-EXP(-LN(2)/25))/(LN(2)/25)*Calculateur!DB149*Calculateur!DD149*VLOOKUP('Données projet'!$B$13,Paramètres!$A$1:$I$89,3,0)*0.475*44/12</f>
        <v>1.2707888567759569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11.173386826726313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240.09151195692266</v>
      </c>
      <c r="DU149" s="59">
        <f t="shared" si="152"/>
        <v>559.47775134103165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10.549826595437303</v>
      </c>
      <c r="EB149" s="21">
        <f>EXP(-LN(2)/25)*EB148+(1-EXP(-LN(2)/25))/(LN(2)/25)*Calculateur!DW149*Calculateur!DY149*VLOOKUP('Données projet'!$B$14,Paramètres!$A$1:$I$89,3,0)*0.475*44/12</f>
        <v>1.353846951990072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11.903673547427374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5.6843418860808015E-14</v>
      </c>
      <c r="EK149" s="17">
        <f>EJ149*VLOOKUP('Données projet'!$B$15,Paramètres!$A$1:$I$89,3,0)*VLOOKUP('Données projet'!$B$15,Paramètres!$A$1:$I$89,5,0)</f>
        <v>4.4337866711430253E-14</v>
      </c>
      <c r="EL149" s="13">
        <f t="shared" si="153"/>
        <v>7.3222115536967035E-13</v>
      </c>
      <c r="EM149" s="20">
        <f t="shared" si="127"/>
        <v>1.3525069634579169E-12</v>
      </c>
      <c r="EN149" s="59">
        <f t="shared" si="128"/>
        <v>282.50821566529061</v>
      </c>
      <c r="EO149" s="59">
        <f ca="1">AVERAGE(OFFSET($EN$3,0,0,'Données projet'!$E$15+1,1))-AVERAGE(OFFSET($H$3,0,0,'Données projet'!$E$15+1,1))</f>
        <v>328.79469965518484</v>
      </c>
      <c r="EP149" s="59">
        <f t="shared" si="154"/>
        <v>322.06400652269735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14.46255814096693</v>
      </c>
      <c r="EW149" s="21">
        <f>EXP(-LN(2)/25)*EW148+(1-EXP(-LN(2)/25))/(LN(2)/25)*Calculateur!ER149*Calculateur!ET149*VLOOKUP('Données projet'!$B$15,Paramètres!$A$1:$I$89,3,0)*0.475*44/12</f>
        <v>1.1249639133846752</v>
      </c>
      <c r="EX149" s="21">
        <f>EXP(-LN(2)/2)*EX148+(1-EXP(-LN(2)/2))/(LN(2)/2)*ER149*EU149*VLOOKUP('Données projet'!$B$15,Paramètres!$A$1:$I$89,3,0)*0.475*44/12</f>
        <v>1.8755047691862424E-10</v>
      </c>
      <c r="EY149" s="22">
        <f t="shared" si="129"/>
        <v>15.587522054539157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-5.6843418860808015E-14</v>
      </c>
      <c r="FF149" s="17">
        <f>FE149*VLOOKUP('Données projet'!$B$16,Paramètres!$A$1:$I$89,3,0)*VLOOKUP('Données projet'!$B$16,Paramètres!$A$1:$I$89,5,0)</f>
        <v>-4.1677594708744434E-14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525.22234644068908</v>
      </c>
      <c r="FK149" s="59">
        <f t="shared" si="156"/>
        <v>311.5550296132094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76.808853454146075</v>
      </c>
      <c r="FR149" s="21">
        <f>EXP(-LN(2)/25)*FR148+(1-EXP(-LN(2)/25))/(LN(2)/25)*Calculateur!FM149*Calculateur!FO149*VLOOKUP('Données projet'!$B$16,Paramètres!$A$1:$I$89,3,0)*0.475*44/12</f>
        <v>16.392656499606986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93.20150995375306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-1.7053025658242404E-13</v>
      </c>
      <c r="GA149" s="17">
        <f>FZ149*VLOOKUP('Données projet'!$B$17,Paramètres!$A$1:$I$89,3,0)*VLOOKUP('Données projet'!$B$17,Paramètres!$A$1:$I$89,5,0)</f>
        <v>-1.1173142411280423E-13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298.45881427802874</v>
      </c>
      <c r="GF149" s="59">
        <f t="shared" si="158"/>
        <v>287.00279305562356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18.691738750536995</v>
      </c>
      <c r="GM149" s="21">
        <f>EXP(-LN(2)/25)*GM148+(1-EXP(-LN(2)/25))/(LN(2)/25)*Calculateur!GH149*Calculateur!GJ149*VLOOKUP('Données projet'!$B$17,Paramètres!$A$1:$I$89,3,0)*0.475*44/12</f>
        <v>0.30393233921063123</v>
      </c>
      <c r="GN149" s="21">
        <f>EXP(-LN(2)/2)*GN148+(1-EXP(-LN(2)/2))/(LN(2)/2)*GH149*GK149*VLOOKUP('Données projet'!$B$17,Paramètres!$A$1:$I$89,3,0)*0.475*44/12</f>
        <v>3.9895094059598326E-9</v>
      </c>
      <c r="GO149" s="21">
        <f t="shared" si="135"/>
        <v>18.995671093737137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135.66666666666666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7.083333333333333</v>
      </c>
      <c r="N150" s="13">
        <f>IF('Données projet'!$A$36&gt;35,N149+M150-V149,IF(A150&lt;'Données projet'!$A$36,$K$205^A150,IF(A150='Données projet'!$A$36,'Données projet'!$B$36,N149+M150-V149)))</f>
        <v>438.49999999999932</v>
      </c>
      <c r="O150" s="13">
        <f>N150*VLOOKUP('Données projet'!$B$9,Paramètres!$A$1:$I$89,3,0)*VLOOKUP('Données projet'!$B$9,Paramètres!$A$1:$I$89,5,0)</f>
        <v>396.75479999999936</v>
      </c>
      <c r="P150" s="13">
        <f t="shared" si="141"/>
        <v>91.118439130021159</v>
      </c>
      <c r="Q150" s="20">
        <f t="shared" si="108"/>
        <v>849.71255815145241</v>
      </c>
      <c r="R150" s="59">
        <f t="shared" si="109"/>
        <v>1132.4085654069447</v>
      </c>
      <c r="S150" s="59">
        <f ca="1">AVERAGE(OFFSET($R$3,0,0,'Données projet'!$E$9+1,1))-AVERAGE(OFFSET($H$3,0,0,'Données projet'!$E$9+1,1))</f>
        <v>600.52384738314299</v>
      </c>
      <c r="T150" s="59">
        <f t="shared" si="142"/>
        <v>314.84650287986256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46.532970833430213</v>
      </c>
      <c r="AA150" s="21">
        <f>EXP(-LN(2)/25)*AA149+(1-EXP(-LN(2)/25))/(LN(2)/25)*Calculateur!V150*Calculateur!X150*VLOOKUP('Données projet'!$B$9,Paramètres!$A$1:$I$89,3,0)*0.475*44/12</f>
        <v>13.066786865417681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59.599757698847895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-1.4897523215040567E-13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436.77894860279537</v>
      </c>
      <c r="AO150" s="59">
        <f t="shared" si="144"/>
        <v>398.63561969573072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47.101700607392679</v>
      </c>
      <c r="AV150" s="21">
        <f>EXP(-LN(2)/25)*AV149+(1-EXP(-LN(2)/25))/(LN(2)/25)*Calculateur!AQ150*Calculateur!AS150*VLOOKUP('Données projet'!$B$10,Paramètres!$A$1:$I$89,3,0)*0.475*44/12</f>
        <v>5.1991484234669061</v>
      </c>
      <c r="AW150" s="21">
        <f>EXP(-LN(2)/2)*AW149+(1-EXP(-LN(2)/2))/(LN(2)/2)*AQ150*AT150*VLOOKUP('Données projet'!$B$10,Paramètres!$A$1:$I$89,3,0)*0.475*44/12</f>
        <v>3.8742230136933327E-18</v>
      </c>
      <c r="AX150" s="21">
        <f t="shared" si="114"/>
        <v>52.300849030859588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-1.3567387213697657E-13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344.97546176735341</v>
      </c>
      <c r="BJ150" s="59">
        <f t="shared" si="146"/>
        <v>331.15461126257492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27.426926651463358</v>
      </c>
      <c r="BQ150" s="21">
        <f>EXP(-LN(2)/25)*BQ149+(1-EXP(-LN(2)/25))/(LN(2)/25)*Calculateur!BL150*Calculateur!BN150*VLOOKUP('Données projet'!$B$11,Paramètres!$A$1:$I$89,3,0)*0.475*44/12</f>
        <v>0.44244980957481761</v>
      </c>
      <c r="BR150" s="21">
        <f>EXP(-LN(2)/2)*BR149+(1-EXP(-LN(2)/2))/(LN(2)/2)*BL150*BO150*VLOOKUP('Données projet'!$B$11,Paramètres!$A$1:$I$89,3,0)*0.475*44/12</f>
        <v>3.4255111162535097E-9</v>
      </c>
      <c r="BS150" s="22">
        <f t="shared" si="117"/>
        <v>27.869376464463688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-1.7053025658242404E-13</v>
      </c>
      <c r="BZ150" s="13">
        <f>BY150*VLOOKUP('Données projet'!$B$12,Paramètres!$A$1:$I$89,3,0)*VLOOKUP('Données projet'!$B$12,Paramètres!$A$1:$I$89,5,0)</f>
        <v>-1.3567387213697657E-13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344.97546176735341</v>
      </c>
      <c r="CE150" s="59">
        <f t="shared" si="148"/>
        <v>331.15461126257492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27.426926651463358</v>
      </c>
      <c r="CL150" s="21">
        <f>EXP(-LN(2)/25)*CL149+(1-EXP(-LN(2)/25))/(LN(2)/25)*Calculateur!CG150*Calculateur!CI150*VLOOKUP('Données projet'!$B$12,Paramètres!$A$1:$I$89,3,0)*0.475*44/12</f>
        <v>0.44244980957481761</v>
      </c>
      <c r="CM150" s="21">
        <f>EXP(-LN(2)/2)*CM149+(1-EXP(-LN(2)/2))/(LN(2)/2)*CG150*CJ150*VLOOKUP('Données projet'!$B$12,Paramètres!$A$1:$I$89,3,0)*0.475*44/12</f>
        <v>3.4255111162535097E-9</v>
      </c>
      <c r="CN150" s="22">
        <f t="shared" si="120"/>
        <v>27.869376464463688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227.19465047672969</v>
      </c>
      <c r="CZ150" s="59">
        <f t="shared" si="150"/>
        <v>529.77979244134417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9.708414063747993</v>
      </c>
      <c r="DG150" s="21">
        <f>EXP(-LN(2)/25)*DG149+(1-EXP(-LN(2)/25))/(LN(2)/25)*Calculateur!DB150*Calculateur!DD150*VLOOKUP('Données projet'!$B$13,Paramètres!$A$1:$I$89,3,0)*0.475*44/12</f>
        <v>1.2360390686595368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10.94445313240753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240.09151195692266</v>
      </c>
      <c r="DU150" s="59">
        <f t="shared" si="152"/>
        <v>559.47775134103165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10.342950930659621</v>
      </c>
      <c r="EB150" s="21">
        <f>EXP(-LN(2)/25)*EB149+(1-EXP(-LN(2)/25))/(LN(2)/25)*Calculateur!DW150*Calculateur!DY150*VLOOKUP('Données projet'!$B$14,Paramètres!$A$1:$I$89,3,0)*0.475*44/12</f>
        <v>1.3168259358921865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11.659776866551807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5.6843418860808015E-14</v>
      </c>
      <c r="EK150" s="17">
        <f>EJ150*VLOOKUP('Données projet'!$B$15,Paramètres!$A$1:$I$89,3,0)*VLOOKUP('Données projet'!$B$15,Paramètres!$A$1:$I$89,5,0)</f>
        <v>4.4337866711430253E-14</v>
      </c>
      <c r="EL150" s="13">
        <f t="shared" si="153"/>
        <v>7.3222115536967035E-13</v>
      </c>
      <c r="EM150" s="20">
        <f t="shared" si="127"/>
        <v>1.3525069634579169E-12</v>
      </c>
      <c r="EN150" s="59">
        <f t="shared" si="128"/>
        <v>282.69600725549367</v>
      </c>
      <c r="EO150" s="59">
        <f ca="1">AVERAGE(OFFSET($EN$3,0,0,'Données projet'!$E$15+1,1))-AVERAGE(OFFSET($H$3,0,0,'Données projet'!$E$15+1,1))</f>
        <v>328.79469965518484</v>
      </c>
      <c r="EP150" s="59">
        <f t="shared" si="154"/>
        <v>322.06400652269735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14.178956197112004</v>
      </c>
      <c r="EW150" s="21">
        <f>EXP(-LN(2)/25)*EW149+(1-EXP(-LN(2)/25))/(LN(2)/25)*Calculateur!ER150*Calculateur!ET150*VLOOKUP('Données projet'!$B$15,Paramètres!$A$1:$I$89,3,0)*0.475*44/12</f>
        <v>1.0942017160138902</v>
      </c>
      <c r="EX150" s="21">
        <f>EXP(-LN(2)/2)*EX149+(1-EXP(-LN(2)/2))/(LN(2)/2)*ER150*EU150*VLOOKUP('Données projet'!$B$15,Paramètres!$A$1:$I$89,3,0)*0.475*44/12</f>
        <v>1.3261821404393026E-10</v>
      </c>
      <c r="EY150" s="22">
        <f t="shared" si="129"/>
        <v>15.273157913258512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-5.6843418860808015E-14</v>
      </c>
      <c r="FF150" s="17">
        <f>FE150*VLOOKUP('Données projet'!$B$16,Paramètres!$A$1:$I$89,3,0)*VLOOKUP('Données projet'!$B$16,Paramètres!$A$1:$I$89,5,0)</f>
        <v>-4.1677594708744434E-14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525.22234644068908</v>
      </c>
      <c r="FK150" s="59">
        <f t="shared" si="156"/>
        <v>311.5550296132094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75.302678686684942</v>
      </c>
      <c r="FR150" s="21">
        <f>EXP(-LN(2)/25)*FR149+(1-EXP(-LN(2)/25))/(LN(2)/25)*Calculateur!FM150*Calculateur!FO150*VLOOKUP('Données projet'!$B$16,Paramètres!$A$1:$I$89,3,0)*0.475*44/12</f>
        <v>15.944398445572894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91.247077132257829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-1.7053025658242404E-13</v>
      </c>
      <c r="GA150" s="17">
        <f>FZ150*VLOOKUP('Données projet'!$B$17,Paramètres!$A$1:$I$89,3,0)*VLOOKUP('Données projet'!$B$17,Paramètres!$A$1:$I$89,5,0)</f>
        <v>-1.1173142411280423E-13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298.45881427802874</v>
      </c>
      <c r="GF150" s="59">
        <f t="shared" si="158"/>
        <v>287.00279305562356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18.325205154473863</v>
      </c>
      <c r="GM150" s="21">
        <f>EXP(-LN(2)/25)*GM149+(1-EXP(-LN(2)/25))/(LN(2)/25)*Calculateur!GH150*Calculateur!GJ150*VLOOKUP('Données projet'!$B$17,Paramètres!$A$1:$I$89,3,0)*0.475*44/12</f>
        <v>0.29562129341180943</v>
      </c>
      <c r="GN150" s="21">
        <f>EXP(-LN(2)/2)*GN149+(1-EXP(-LN(2)/2))/(LN(2)/2)*GH150*GK150*VLOOKUP('Données projet'!$B$17,Paramètres!$A$1:$I$89,3,0)*0.475*44/12</f>
        <v>2.8210091545617126E-9</v>
      </c>
      <c r="GO150" s="21">
        <f t="shared" si="135"/>
        <v>18.62082645070668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135.66666666666666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7.083333333333333</v>
      </c>
      <c r="N151" s="13">
        <f>IF('Données projet'!$A$36&gt;35,N150+M151-V150,IF(A151&lt;'Données projet'!$A$36,$K$205^A151,IF(A151='Données projet'!$A$36,'Données projet'!$B$36,N150+M151-V150)))</f>
        <v>445.58333333333263</v>
      </c>
      <c r="O151" s="13">
        <f>N151*VLOOKUP('Données projet'!$B$9,Paramètres!$A$1:$I$89,3,0)*VLOOKUP('Données projet'!$B$9,Paramètres!$A$1:$I$89,5,0)</f>
        <v>403.16379999999941</v>
      </c>
      <c r="P151" s="13">
        <f t="shared" si="141"/>
        <v>92.417782720361771</v>
      </c>
      <c r="Q151" s="20">
        <f t="shared" si="108"/>
        <v>863.13792323796235</v>
      </c>
      <c r="R151" s="59">
        <f t="shared" si="109"/>
        <v>1146.0184643194068</v>
      </c>
      <c r="S151" s="59">
        <f ca="1">AVERAGE(OFFSET($R$3,0,0,'Données projet'!$E$9+1,1))-AVERAGE(OFFSET($H$3,0,0,'Données projet'!$E$9+1,1))</f>
        <v>600.52384738314299</v>
      </c>
      <c r="T151" s="59">
        <f t="shared" si="142"/>
        <v>314.84650287986256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45.620487657696337</v>
      </c>
      <c r="AA151" s="21">
        <f>EXP(-LN(2)/25)*AA150+(1-EXP(-LN(2)/25))/(LN(2)/25)*Calculateur!V151*Calculateur!X151*VLOOKUP('Données projet'!$B$9,Paramètres!$A$1:$I$89,3,0)*0.475*44/12</f>
        <v>12.709474891430379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58.329962549126719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-1.4897523215040567E-13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436.77894860279537</v>
      </c>
      <c r="AO151" s="59">
        <f t="shared" si="144"/>
        <v>398.63561969573072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46.178064987682305</v>
      </c>
      <c r="AV151" s="21">
        <f>EXP(-LN(2)/25)*AV150+(1-EXP(-LN(2)/25))/(LN(2)/25)*Calculateur!AQ151*Calculateur!AS151*VLOOKUP('Données projet'!$B$10,Paramètres!$A$1:$I$89,3,0)*0.475*44/12</f>
        <v>5.0569774364158704</v>
      </c>
      <c r="AW151" s="21">
        <f>EXP(-LN(2)/2)*AW150+(1-EXP(-LN(2)/2))/(LN(2)/2)*AQ151*AT151*VLOOKUP('Données projet'!$B$10,Paramètres!$A$1:$I$89,3,0)*0.475*44/12</f>
        <v>2.7394893648115382E-18</v>
      </c>
      <c r="AX151" s="21">
        <f t="shared" si="114"/>
        <v>51.235042424098175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-1.3567387213697657E-13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344.97546176735341</v>
      </c>
      <c r="BJ151" s="59">
        <f t="shared" si="146"/>
        <v>331.15461126257492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26.889101348601589</v>
      </c>
      <c r="BQ151" s="21">
        <f>EXP(-LN(2)/25)*BQ150+(1-EXP(-LN(2)/25))/(LN(2)/25)*Calculateur!BL151*Calculateur!BN151*VLOOKUP('Données projet'!$B$11,Paramètres!$A$1:$I$89,3,0)*0.475*44/12</f>
        <v>0.43035099626456996</v>
      </c>
      <c r="BR151" s="21">
        <f>EXP(-LN(2)/2)*BR150+(1-EXP(-LN(2)/2))/(LN(2)/2)*BL151*BO151*VLOOKUP('Données projet'!$B$11,Paramètres!$A$1:$I$89,3,0)*0.475*44/12</f>
        <v>2.4222021393327566E-9</v>
      </c>
      <c r="BS151" s="22">
        <f t="shared" si="117"/>
        <v>27.319452347288358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-1.7053025658242404E-13</v>
      </c>
      <c r="BZ151" s="13">
        <f>BY151*VLOOKUP('Données projet'!$B$12,Paramètres!$A$1:$I$89,3,0)*VLOOKUP('Données projet'!$B$12,Paramètres!$A$1:$I$89,5,0)</f>
        <v>-1.3567387213697657E-13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344.97546176735341</v>
      </c>
      <c r="CE151" s="59">
        <f t="shared" si="148"/>
        <v>331.15461126257492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26.889101348601589</v>
      </c>
      <c r="CL151" s="21">
        <f>EXP(-LN(2)/25)*CL150+(1-EXP(-LN(2)/25))/(LN(2)/25)*Calculateur!CG151*Calculateur!CI151*VLOOKUP('Données projet'!$B$12,Paramètres!$A$1:$I$89,3,0)*0.475*44/12</f>
        <v>0.43035099626456996</v>
      </c>
      <c r="CM151" s="21">
        <f>EXP(-LN(2)/2)*CM150+(1-EXP(-LN(2)/2))/(LN(2)/2)*CG151*CJ151*VLOOKUP('Données projet'!$B$12,Paramètres!$A$1:$I$89,3,0)*0.475*44/12</f>
        <v>2.4222021393327566E-9</v>
      </c>
      <c r="CN151" s="22">
        <f t="shared" si="120"/>
        <v>27.319452347288358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227.19465047672969</v>
      </c>
      <c r="CZ151" s="59">
        <f t="shared" si="150"/>
        <v>529.77979244134417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9.5180379855057691</v>
      </c>
      <c r="DG151" s="21">
        <f>EXP(-LN(2)/25)*DG150+(1-EXP(-LN(2)/25))/(LN(2)/25)*Calculateur!DB151*Calculateur!DD151*VLOOKUP('Données projet'!$B$13,Paramètres!$A$1:$I$89,3,0)*0.475*44/12</f>
        <v>1.2022395153265721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10.720277500832342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240.09151195692266</v>
      </c>
      <c r="DU151" s="59">
        <f t="shared" si="152"/>
        <v>559.47775134103165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10.140131971486532</v>
      </c>
      <c r="EB151" s="21">
        <f>EXP(-LN(2)/25)*EB150+(1-EXP(-LN(2)/25))/(LN(2)/25)*Calculateur!DW151*Calculateur!DY151*VLOOKUP('Données projet'!$B$14,Paramètres!$A$1:$I$89,3,0)*0.475*44/12</f>
        <v>1.2808172614263484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11.42094923291288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5.6843418860808015E-14</v>
      </c>
      <c r="EK151" s="17">
        <f>EJ151*VLOOKUP('Données projet'!$B$15,Paramètres!$A$1:$I$89,3,0)*VLOOKUP('Données projet'!$B$15,Paramètres!$A$1:$I$89,5,0)</f>
        <v>4.4337866711430253E-14</v>
      </c>
      <c r="EL151" s="13">
        <f t="shared" si="153"/>
        <v>7.3222115536967035E-13</v>
      </c>
      <c r="EM151" s="20">
        <f t="shared" si="127"/>
        <v>1.3525069634579169E-12</v>
      </c>
      <c r="EN151" s="59">
        <f t="shared" si="128"/>
        <v>282.88054108144581</v>
      </c>
      <c r="EO151" s="59">
        <f ca="1">AVERAGE(OFFSET($EN$3,0,0,'Données projet'!$E$15+1,1))-AVERAGE(OFFSET($H$3,0,0,'Données projet'!$E$15+1,1))</f>
        <v>328.79469965518484</v>
      </c>
      <c r="EP151" s="59">
        <f t="shared" si="154"/>
        <v>322.06400652269735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13.900915514395969</v>
      </c>
      <c r="EW151" s="21">
        <f>EXP(-LN(2)/25)*EW150+(1-EXP(-LN(2)/25))/(LN(2)/25)*Calculateur!ER151*Calculateur!ET151*VLOOKUP('Données projet'!$B$15,Paramètres!$A$1:$I$89,3,0)*0.475*44/12</f>
        <v>1.064280712547923</v>
      </c>
      <c r="EX151" s="21">
        <f>EXP(-LN(2)/2)*EX150+(1-EXP(-LN(2)/2))/(LN(2)/2)*ER151*EU151*VLOOKUP('Données projet'!$B$15,Paramètres!$A$1:$I$89,3,0)*0.475*44/12</f>
        <v>9.3775238459312122E-11</v>
      </c>
      <c r="EY151" s="22">
        <f t="shared" si="129"/>
        <v>14.965196227037667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-5.6843418860808015E-14</v>
      </c>
      <c r="FF151" s="17">
        <f>FE151*VLOOKUP('Données projet'!$B$16,Paramètres!$A$1:$I$89,3,0)*VLOOKUP('Données projet'!$B$16,Paramètres!$A$1:$I$89,5,0)</f>
        <v>-4.1677594708744434E-14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525.22234644068908</v>
      </c>
      <c r="FK151" s="59">
        <f t="shared" si="156"/>
        <v>311.5550296132094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73.826039087737826</v>
      </c>
      <c r="FR151" s="21">
        <f>EXP(-LN(2)/25)*FR150+(1-EXP(-LN(2)/25))/(LN(2)/25)*Calculateur!FM151*Calculateur!FO151*VLOOKUP('Données projet'!$B$16,Paramètres!$A$1:$I$89,3,0)*0.475*44/12</f>
        <v>15.50839803159923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89.334437119337053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-1.7053025658242404E-13</v>
      </c>
      <c r="GA151" s="17">
        <f>FZ151*VLOOKUP('Données projet'!$B$17,Paramètres!$A$1:$I$89,3,0)*VLOOKUP('Données projet'!$B$17,Paramètres!$A$1:$I$89,5,0)</f>
        <v>-1.1173142411280423E-13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298.45881427802874</v>
      </c>
      <c r="GF151" s="59">
        <f t="shared" si="158"/>
        <v>287.00279305562356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17.965859058666112</v>
      </c>
      <c r="GM151" s="21">
        <f>EXP(-LN(2)/25)*GM150+(1-EXP(-LN(2)/25))/(LN(2)/25)*Calculateur!GH151*Calculateur!GJ151*VLOOKUP('Données projet'!$B$17,Paramètres!$A$1:$I$89,3,0)*0.475*44/12</f>
        <v>0.28753751359741531</v>
      </c>
      <c r="GN151" s="21">
        <f>EXP(-LN(2)/2)*GN150+(1-EXP(-LN(2)/2))/(LN(2)/2)*GH151*GK151*VLOOKUP('Données projet'!$B$17,Paramètres!$A$1:$I$89,3,0)*0.475*44/12</f>
        <v>1.9947547029799163E-9</v>
      </c>
      <c r="GO151" s="21">
        <f t="shared" si="135"/>
        <v>18.253396574258282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135.66666666666666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7.083333333333333</v>
      </c>
      <c r="N152" s="13">
        <f>IF('Données projet'!$A$36&gt;35,N151+M152-V151,IF(A152&lt;'Données projet'!$A$36,$K$205^A152,IF(A152='Données projet'!$A$36,'Données projet'!$B$36,N151+M152-V151)))</f>
        <v>452.66666666666595</v>
      </c>
      <c r="O152" s="13">
        <f>N152*VLOOKUP('Données projet'!$B$9,Paramètres!$A$1:$I$89,3,0)*VLOOKUP('Données projet'!$B$9,Paramètres!$A$1:$I$89,5,0)</f>
        <v>409.57279999999935</v>
      </c>
      <c r="P152" s="13">
        <f t="shared" si="141"/>
        <v>93.714724142983599</v>
      </c>
      <c r="Q152" s="20">
        <f t="shared" si="108"/>
        <v>876.55910454902858</v>
      </c>
      <c r="R152" s="59">
        <f t="shared" si="109"/>
        <v>1159.6209782071007</v>
      </c>
      <c r="S152" s="59">
        <f ca="1">AVERAGE(OFFSET($R$3,0,0,'Données projet'!$E$9+1,1))-AVERAGE(OFFSET($H$3,0,0,'Données projet'!$E$9+1,1))</f>
        <v>600.52384738314299</v>
      </c>
      <c r="T152" s="59">
        <f t="shared" si="142"/>
        <v>314.84650287986256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44.72589772047882</v>
      </c>
      <c r="AA152" s="21">
        <f>EXP(-LN(2)/25)*AA151+(1-EXP(-LN(2)/25))/(LN(2)/25)*Calculateur!V152*Calculateur!X152*VLOOKUP('Données projet'!$B$9,Paramètres!$A$1:$I$89,3,0)*0.475*44/12</f>
        <v>12.361933632161978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57.087831352640798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-1.4897523215040567E-13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436.77894860279537</v>
      </c>
      <c r="AO152" s="59">
        <f t="shared" si="144"/>
        <v>398.63561969573072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45.272541299112355</v>
      </c>
      <c r="AV152" s="21">
        <f>EXP(-LN(2)/25)*AV151+(1-EXP(-LN(2)/25))/(LN(2)/25)*Calculateur!AQ152*Calculateur!AS152*VLOOKUP('Données projet'!$B$10,Paramètres!$A$1:$I$89,3,0)*0.475*44/12</f>
        <v>4.9186941224821927</v>
      </c>
      <c r="AW152" s="21">
        <f>EXP(-LN(2)/2)*AW151+(1-EXP(-LN(2)/2))/(LN(2)/2)*AQ152*AT152*VLOOKUP('Données projet'!$B$10,Paramètres!$A$1:$I$89,3,0)*0.475*44/12</f>
        <v>1.9371115068466664E-18</v>
      </c>
      <c r="AX152" s="21">
        <f t="shared" si="114"/>
        <v>50.191235421594548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-1.3567387213697657E-13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344.97546176735341</v>
      </c>
      <c r="BJ152" s="59">
        <f t="shared" si="146"/>
        <v>331.15461126257492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26.361822471887898</v>
      </c>
      <c r="BQ152" s="21">
        <f>EXP(-LN(2)/25)*BQ151+(1-EXP(-LN(2)/25))/(LN(2)/25)*Calculateur!BL152*Calculateur!BN152*VLOOKUP('Données projet'!$B$11,Paramètres!$A$1:$I$89,3,0)*0.475*44/12</f>
        <v>0.41858302564054001</v>
      </c>
      <c r="BR152" s="21">
        <f>EXP(-LN(2)/2)*BR151+(1-EXP(-LN(2)/2))/(LN(2)/2)*BL152*BO152*VLOOKUP('Données projet'!$B$11,Paramètres!$A$1:$I$89,3,0)*0.475*44/12</f>
        <v>1.7127555581267549E-9</v>
      </c>
      <c r="BS152" s="22">
        <f t="shared" si="117"/>
        <v>26.780405499241194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-1.7053025658242404E-13</v>
      </c>
      <c r="BZ152" s="13">
        <f>BY152*VLOOKUP('Données projet'!$B$12,Paramètres!$A$1:$I$89,3,0)*VLOOKUP('Données projet'!$B$12,Paramètres!$A$1:$I$89,5,0)</f>
        <v>-1.3567387213697657E-13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344.97546176735341</v>
      </c>
      <c r="CE152" s="59">
        <f t="shared" si="148"/>
        <v>331.15461126257492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26.361822471887898</v>
      </c>
      <c r="CL152" s="21">
        <f>EXP(-LN(2)/25)*CL151+(1-EXP(-LN(2)/25))/(LN(2)/25)*Calculateur!CG152*Calculateur!CI152*VLOOKUP('Données projet'!$B$12,Paramètres!$A$1:$I$89,3,0)*0.475*44/12</f>
        <v>0.41858302564054001</v>
      </c>
      <c r="CM152" s="21">
        <f>EXP(-LN(2)/2)*CM151+(1-EXP(-LN(2)/2))/(LN(2)/2)*CG152*CJ152*VLOOKUP('Données projet'!$B$12,Paramètres!$A$1:$I$89,3,0)*0.475*44/12</f>
        <v>1.7127555581267549E-9</v>
      </c>
      <c r="CN152" s="22">
        <f t="shared" si="120"/>
        <v>26.780405499241194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227.19465047672969</v>
      </c>
      <c r="CZ152" s="59">
        <f t="shared" si="150"/>
        <v>529.77979244134417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9.3313950660399332</v>
      </c>
      <c r="DG152" s="21">
        <f>EXP(-LN(2)/25)*DG151+(1-EXP(-LN(2)/25))/(LN(2)/25)*Calculateur!DB152*Calculateur!DD152*VLOOKUP('Données projet'!$B$13,Paramètres!$A$1:$I$89,3,0)*0.475*44/12</f>
        <v>1.1693642125569386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10.500759278596872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240.09151195692266</v>
      </c>
      <c r="DU152" s="59">
        <f t="shared" si="152"/>
        <v>559.47775134103165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9.9412901683954793</v>
      </c>
      <c r="EB152" s="21">
        <f>EXP(-LN(2)/25)*EB151+(1-EXP(-LN(2)/25))/(LN(2)/25)*Calculateur!DW152*Calculateur!DY152*VLOOKUP('Données projet'!$B$14,Paramètres!$A$1:$I$89,3,0)*0.475*44/12</f>
        <v>1.2457932460573926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11.187083414452871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5.6843418860808015E-14</v>
      </c>
      <c r="EK152" s="17">
        <f>EJ152*VLOOKUP('Données projet'!$B$15,Paramètres!$A$1:$I$89,3,0)*VLOOKUP('Données projet'!$B$15,Paramètres!$A$1:$I$89,5,0)</f>
        <v>4.4337866711430253E-14</v>
      </c>
      <c r="EL152" s="13">
        <f t="shared" si="153"/>
        <v>7.3222115536967035E-13</v>
      </c>
      <c r="EM152" s="20">
        <f t="shared" si="127"/>
        <v>1.3525069634579169E-12</v>
      </c>
      <c r="EN152" s="59">
        <f t="shared" si="128"/>
        <v>283.06187365807352</v>
      </c>
      <c r="EO152" s="59">
        <f ca="1">AVERAGE(OFFSET($EN$3,0,0,'Données projet'!$E$15+1,1))-AVERAGE(OFFSET($H$3,0,0,'Données projet'!$E$15+1,1))</f>
        <v>328.79469965518484</v>
      </c>
      <c r="EP152" s="59">
        <f t="shared" si="154"/>
        <v>322.06400652269735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13.628327039879924</v>
      </c>
      <c r="EW152" s="21">
        <f>EXP(-LN(2)/25)*EW151+(1-EXP(-LN(2)/25))/(LN(2)/25)*Calculateur!ER152*Calculateur!ET152*VLOOKUP('Données projet'!$B$15,Paramètres!$A$1:$I$89,3,0)*0.475*44/12</f>
        <v>1.0351779004952097</v>
      </c>
      <c r="EX152" s="21">
        <f>EXP(-LN(2)/2)*EX151+(1-EXP(-LN(2)/2))/(LN(2)/2)*ER152*EU152*VLOOKUP('Données projet'!$B$15,Paramètres!$A$1:$I$89,3,0)*0.475*44/12</f>
        <v>6.6309107021965132E-11</v>
      </c>
      <c r="EY152" s="22">
        <f t="shared" si="129"/>
        <v>14.663504940441443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-5.6843418860808015E-14</v>
      </c>
      <c r="FF152" s="17">
        <f>FE152*VLOOKUP('Données projet'!$B$16,Paramètres!$A$1:$I$89,3,0)*VLOOKUP('Données projet'!$B$16,Paramètres!$A$1:$I$89,5,0)</f>
        <v>-4.1677594708744434E-14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525.22234644068908</v>
      </c>
      <c r="FK152" s="59">
        <f t="shared" si="156"/>
        <v>311.5550296132094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72.378355490664845</v>
      </c>
      <c r="FR152" s="21">
        <f>EXP(-LN(2)/25)*FR151+(1-EXP(-LN(2)/25))/(LN(2)/25)*Calculateur!FM152*Calculateur!FO152*VLOOKUP('Données projet'!$B$16,Paramètres!$A$1:$I$89,3,0)*0.475*44/12</f>
        <v>15.084320071873941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87.462675562538791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-1.7053025658242404E-13</v>
      </c>
      <c r="GA152" s="17">
        <f>FZ152*VLOOKUP('Données projet'!$B$17,Paramètres!$A$1:$I$89,3,0)*VLOOKUP('Données projet'!$B$17,Paramètres!$A$1:$I$89,5,0)</f>
        <v>-1.1173142411280423E-13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298.45881427802874</v>
      </c>
      <c r="GF152" s="59">
        <f t="shared" si="158"/>
        <v>287.00279305562356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17.613559520617674</v>
      </c>
      <c r="GM152" s="21">
        <f>EXP(-LN(2)/25)*GM151+(1-EXP(-LN(2)/25))/(LN(2)/25)*Calculateur!GH152*Calculateur!GJ152*VLOOKUP('Données projet'!$B$17,Paramètres!$A$1:$I$89,3,0)*0.475*44/12</f>
        <v>0.27967478516715333</v>
      </c>
      <c r="GN152" s="21">
        <f>EXP(-LN(2)/2)*GN151+(1-EXP(-LN(2)/2))/(LN(2)/2)*GH152*GK152*VLOOKUP('Données projet'!$B$17,Paramètres!$A$1:$I$89,3,0)*0.475*44/12</f>
        <v>1.4105045772808563E-9</v>
      </c>
      <c r="GO152" s="21">
        <f t="shared" si="135"/>
        <v>17.893234307195332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135.66666666666666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7.083333333333333</v>
      </c>
      <c r="N153" s="13">
        <f>IF('Données projet'!$A$36&gt;35,N152+M153-V152,IF(A153&lt;'Données projet'!$A$36,$K$205^A153,IF(A153='Données projet'!$A$36,'Données projet'!$B$36,N152+M153-V152)))</f>
        <v>459.74999999999926</v>
      </c>
      <c r="O153" s="13">
        <f>N153*VLOOKUP('Données projet'!$B$9,Paramètres!$A$1:$I$89,3,0)*VLOOKUP('Données projet'!$B$9,Paramètres!$A$1:$I$89,5,0)</f>
        <v>415.98179999999934</v>
      </c>
      <c r="P153" s="13">
        <f t="shared" si="141"/>
        <v>95.009305327664421</v>
      </c>
      <c r="Q153" s="20">
        <f t="shared" si="108"/>
        <v>889.97617511234773</v>
      </c>
      <c r="R153" s="59">
        <f t="shared" si="109"/>
        <v>1173.2162356322419</v>
      </c>
      <c r="S153" s="59">
        <f ca="1">AVERAGE(OFFSET($R$3,0,0,'Données projet'!$E$9+1,1))-AVERAGE(OFFSET($H$3,0,0,'Données projet'!$E$9+1,1))</f>
        <v>600.52384738314299</v>
      </c>
      <c r="T153" s="59">
        <f t="shared" si="142"/>
        <v>314.84650287986256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43.84885014628415</v>
      </c>
      <c r="AA153" s="21">
        <f>EXP(-LN(2)/25)*AA152+(1-EXP(-LN(2)/25))/(LN(2)/25)*Calculateur!V153*Calculateur!X153*VLOOKUP('Données projet'!$B$9,Paramètres!$A$1:$I$89,3,0)*0.475*44/12</f>
        <v>12.023895906904674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55.87274605318882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-1.4897523215040567E-13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436.77894860279537</v>
      </c>
      <c r="AO153" s="59">
        <f t="shared" si="144"/>
        <v>398.63561969573072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44.384774377760344</v>
      </c>
      <c r="AV153" s="21">
        <f>EXP(-LN(2)/25)*AV152+(1-EXP(-LN(2)/25))/(LN(2)/25)*Calculateur!AQ153*Calculateur!AS153*VLOOKUP('Données projet'!$B$10,Paramètres!$A$1:$I$89,3,0)*0.475*44/12</f>
        <v>4.7841921730400347</v>
      </c>
      <c r="AW153" s="21">
        <f>EXP(-LN(2)/2)*AW152+(1-EXP(-LN(2)/2))/(LN(2)/2)*AQ153*AT153*VLOOKUP('Données projet'!$B$10,Paramètres!$A$1:$I$89,3,0)*0.475*44/12</f>
        <v>1.3697446824057691E-18</v>
      </c>
      <c r="AX153" s="21">
        <f t="shared" si="114"/>
        <v>49.168966550800377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-1.3567387213697657E-13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344.97546176735341</v>
      </c>
      <c r="BJ153" s="59">
        <f t="shared" si="146"/>
        <v>331.15461126257492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25.844883212338203</v>
      </c>
      <c r="BQ153" s="21">
        <f>EXP(-LN(2)/25)*BQ152+(1-EXP(-LN(2)/25))/(LN(2)/25)*Calculateur!BL153*Calculateur!BN153*VLOOKUP('Données projet'!$B$11,Paramètres!$A$1:$I$89,3,0)*0.475*44/12</f>
        <v>0.40713685079207479</v>
      </c>
      <c r="BR153" s="21">
        <f>EXP(-LN(2)/2)*BR152+(1-EXP(-LN(2)/2))/(LN(2)/2)*BL153*BO153*VLOOKUP('Données projet'!$B$11,Paramètres!$A$1:$I$89,3,0)*0.475*44/12</f>
        <v>1.2111010696663783E-9</v>
      </c>
      <c r="BS153" s="22">
        <f t="shared" si="117"/>
        <v>26.25202006434138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-1.7053025658242404E-13</v>
      </c>
      <c r="BZ153" s="13">
        <f>BY153*VLOOKUP('Données projet'!$B$12,Paramètres!$A$1:$I$89,3,0)*VLOOKUP('Données projet'!$B$12,Paramètres!$A$1:$I$89,5,0)</f>
        <v>-1.3567387213697657E-13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344.97546176735341</v>
      </c>
      <c r="CE153" s="59">
        <f t="shared" si="148"/>
        <v>331.15461126257492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25.844883212338203</v>
      </c>
      <c r="CL153" s="21">
        <f>EXP(-LN(2)/25)*CL152+(1-EXP(-LN(2)/25))/(LN(2)/25)*Calculateur!CG153*Calculateur!CI153*VLOOKUP('Données projet'!$B$12,Paramètres!$A$1:$I$89,3,0)*0.475*44/12</f>
        <v>0.40713685079207479</v>
      </c>
      <c r="CM153" s="21">
        <f>EXP(-LN(2)/2)*CM152+(1-EXP(-LN(2)/2))/(LN(2)/2)*CG153*CJ153*VLOOKUP('Données projet'!$B$12,Paramètres!$A$1:$I$89,3,0)*0.475*44/12</f>
        <v>1.2111010696663783E-9</v>
      </c>
      <c r="CN153" s="22">
        <f t="shared" si="120"/>
        <v>26.25202006434138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227.19465047672969</v>
      </c>
      <c r="CZ153" s="59">
        <f t="shared" si="150"/>
        <v>529.77979244134417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9.148412100383883</v>
      </c>
      <c r="DG153" s="21">
        <f>EXP(-LN(2)/25)*DG152+(1-EXP(-LN(2)/25))/(LN(2)/25)*Calculateur!DB153*Calculateur!DD153*VLOOKUP('Données projet'!$B$13,Paramètres!$A$1:$I$89,3,0)*0.475*44/12</f>
        <v>1.1373878866703777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10.285799987054261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240.09151195692266</v>
      </c>
      <c r="DU153" s="59">
        <f t="shared" si="152"/>
        <v>559.47775134103165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9.7463475317815167</v>
      </c>
      <c r="EB153" s="21">
        <f>EXP(-LN(2)/25)*EB152+(1-EXP(-LN(2)/25))/(LN(2)/25)*Calculateur!DW153*Calculateur!DY153*VLOOKUP('Données projet'!$B$14,Paramètres!$A$1:$I$89,3,0)*0.475*44/12</f>
        <v>1.2117269642305337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10.958074496012051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5.6843418860808015E-14</v>
      </c>
      <c r="EK153" s="17">
        <f>EJ153*VLOOKUP('Données projet'!$B$15,Paramètres!$A$1:$I$89,3,0)*VLOOKUP('Données projet'!$B$15,Paramètres!$A$1:$I$89,5,0)</f>
        <v>4.4337866711430253E-14</v>
      </c>
      <c r="EL153" s="13">
        <f t="shared" si="153"/>
        <v>7.3222115536967035E-13</v>
      </c>
      <c r="EM153" s="20">
        <f t="shared" si="127"/>
        <v>1.3525069634579169E-12</v>
      </c>
      <c r="EN153" s="59">
        <f t="shared" si="128"/>
        <v>283.24006051989568</v>
      </c>
      <c r="EO153" s="59">
        <f ca="1">AVERAGE(OFFSET($EN$3,0,0,'Données projet'!$E$15+1,1))-AVERAGE(OFFSET($H$3,0,0,'Données projet'!$E$15+1,1))</f>
        <v>328.79469965518484</v>
      </c>
      <c r="EP153" s="59">
        <f t="shared" si="154"/>
        <v>322.06400652269735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13.361083859086586</v>
      </c>
      <c r="EW153" s="21">
        <f>EXP(-LN(2)/25)*EW152+(1-EXP(-LN(2)/25))/(LN(2)/25)*Calculateur!ER153*Calculateur!ET153*VLOOKUP('Données projet'!$B$15,Paramètres!$A$1:$I$89,3,0)*0.475*44/12</f>
        <v>1.0068709063685284</v>
      </c>
      <c r="EX153" s="21">
        <f>EXP(-LN(2)/2)*EX152+(1-EXP(-LN(2)/2))/(LN(2)/2)*ER153*EU153*VLOOKUP('Données projet'!$B$15,Paramètres!$A$1:$I$89,3,0)*0.475*44/12</f>
        <v>4.6887619229656061E-11</v>
      </c>
      <c r="EY153" s="22">
        <f t="shared" si="129"/>
        <v>14.367954765502001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-5.6843418860808015E-14</v>
      </c>
      <c r="FF153" s="17">
        <f>FE153*VLOOKUP('Données projet'!$B$16,Paramètres!$A$1:$I$89,3,0)*VLOOKUP('Données projet'!$B$16,Paramètres!$A$1:$I$89,5,0)</f>
        <v>-4.1677594708744434E-14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525.22234644068908</v>
      </c>
      <c r="FK153" s="59">
        <f t="shared" si="156"/>
        <v>311.5550296132094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70.959060085930659</v>
      </c>
      <c r="FR153" s="21">
        <f>EXP(-LN(2)/25)*FR152+(1-EXP(-LN(2)/25))/(LN(2)/25)*Calculateur!FM153*Calculateur!FO153*VLOOKUP('Données projet'!$B$16,Paramètres!$A$1:$I$89,3,0)*0.475*44/12</f>
        <v>14.671838546258632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85.630898632189286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-1.7053025658242404E-13</v>
      </c>
      <c r="GA153" s="17">
        <f>FZ153*VLOOKUP('Données projet'!$B$17,Paramètres!$A$1:$I$89,3,0)*VLOOKUP('Données projet'!$B$17,Paramètres!$A$1:$I$89,5,0)</f>
        <v>-1.1173142411280423E-13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298.45881427802874</v>
      </c>
      <c r="GF153" s="59">
        <f t="shared" si="158"/>
        <v>287.00279305562356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17.268168361628867</v>
      </c>
      <c r="GM153" s="21">
        <f>EXP(-LN(2)/25)*GM152+(1-EXP(-LN(2)/25))/(LN(2)/25)*Calculateur!GH153*Calculateur!GJ153*VLOOKUP('Données projet'!$B$17,Paramètres!$A$1:$I$89,3,0)*0.475*44/12</f>
        <v>0.27202706345929978</v>
      </c>
      <c r="GN153" s="21">
        <f>EXP(-LN(2)/2)*GN152+(1-EXP(-LN(2)/2))/(LN(2)/2)*GH153*GK153*VLOOKUP('Données projet'!$B$17,Paramètres!$A$1:$I$89,3,0)*0.475*44/12</f>
        <v>9.9737735148995815E-10</v>
      </c>
      <c r="GO153" s="21">
        <f t="shared" si="135"/>
        <v>17.540195426085546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135.66666666666666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7.083333333333333</v>
      </c>
      <c r="N154" s="13">
        <f>IF('Données projet'!$A$36&gt;35,N153+M154-V153,IF(A154&lt;'Données projet'!$A$36,$K$205^A154,IF(A154='Données projet'!$A$36,'Données projet'!$B$36,N153+M154-V153)))</f>
        <v>466.83333333333258</v>
      </c>
      <c r="O154" s="13">
        <f>N154*VLOOKUP('Données projet'!$B$9,Paramètres!$A$1:$I$89,3,0)*VLOOKUP('Données projet'!$B$9,Paramètres!$A$1:$I$89,5,0)</f>
        <v>422.39079999999927</v>
      </c>
      <c r="P154" s="13">
        <f t="shared" si="141"/>
        <v>96.301566838032542</v>
      </c>
      <c r="Q154" s="20">
        <f t="shared" ref="Q154:Q203" si="162">(O154+P154)*0.475*44/12</f>
        <v>903.38920557623862</v>
      </c>
      <c r="R154" s="59">
        <f t="shared" si="109"/>
        <v>1186.8043618142685</v>
      </c>
      <c r="S154" s="59">
        <f ca="1">AVERAGE(OFFSET($R$3,0,0,'Données projet'!$E$9+1,1))-AVERAGE(OFFSET($H$3,0,0,'Données projet'!$E$9+1,1))</f>
        <v>600.52384738314299</v>
      </c>
      <c r="T154" s="59">
        <f t="shared" si="142"/>
        <v>314.84650287986256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42.98900094007324</v>
      </c>
      <c r="AA154" s="21">
        <f>EXP(-LN(2)/25)*AA153+(1-EXP(-LN(2)/25))/(LN(2)/25)*Calculateur!V154*Calculateur!X154*VLOOKUP('Données projet'!$B$9,Paramètres!$A$1:$I$89,3,0)*0.475*44/12</f>
        <v>11.695101841021161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54.684102781094403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-1.4897523215040567E-13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436.77894860279537</v>
      </c>
      <c r="AO154" s="59">
        <f t="shared" si="144"/>
        <v>398.63561969573072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43.514416024251695</v>
      </c>
      <c r="AV154" s="21">
        <f>EXP(-LN(2)/25)*AV153+(1-EXP(-LN(2)/25))/(LN(2)/25)*Calculateur!AQ154*Calculateur!AS154*VLOOKUP('Données projet'!$B$10,Paramètres!$A$1:$I$89,3,0)*0.475*44/12</f>
        <v>4.6533681864785228</v>
      </c>
      <c r="AW154" s="21">
        <f>EXP(-LN(2)/2)*AW153+(1-EXP(-LN(2)/2))/(LN(2)/2)*AQ154*AT154*VLOOKUP('Données projet'!$B$10,Paramètres!$A$1:$I$89,3,0)*0.475*44/12</f>
        <v>9.6855575342333318E-19</v>
      </c>
      <c r="AX154" s="21">
        <f t="shared" ref="AX154:AX203" si="166">SUM(AU154:AW154)</f>
        <v>48.167784210730218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-1.3567387213697657E-13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344.97546176735341</v>
      </c>
      <c r="BJ154" s="59">
        <f t="shared" si="146"/>
        <v>331.15461126257492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25.338080816366464</v>
      </c>
      <c r="BQ154" s="21">
        <f>EXP(-LN(2)/25)*BQ153+(1-EXP(-LN(2)/25))/(LN(2)/25)*Calculateur!BL154*Calculateur!BN154*VLOOKUP('Données projet'!$B$11,Paramètres!$A$1:$I$89,3,0)*0.475*44/12</f>
        <v>0.39600367219676902</v>
      </c>
      <c r="BR154" s="21">
        <f>EXP(-LN(2)/2)*BR153+(1-EXP(-LN(2)/2))/(LN(2)/2)*BL154*BO154*VLOOKUP('Données projet'!$B$11,Paramètres!$A$1:$I$89,3,0)*0.475*44/12</f>
        <v>8.5637777906337743E-10</v>
      </c>
      <c r="BS154" s="22">
        <f t="shared" ref="BS154:BS203" si="169">SUM(BP154:BR154)</f>
        <v>25.734084489419612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-1.7053025658242404E-13</v>
      </c>
      <c r="BZ154" s="13">
        <f>BY154*VLOOKUP('Données projet'!$B$12,Paramètres!$A$1:$I$89,3,0)*VLOOKUP('Données projet'!$B$12,Paramètres!$A$1:$I$89,5,0)</f>
        <v>-1.3567387213697657E-13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344.97546176735341</v>
      </c>
      <c r="CE154" s="59">
        <f t="shared" si="148"/>
        <v>331.15461126257492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25.338080816366464</v>
      </c>
      <c r="CL154" s="21">
        <f>EXP(-LN(2)/25)*CL153+(1-EXP(-LN(2)/25))/(LN(2)/25)*Calculateur!CG154*Calculateur!CI154*VLOOKUP('Données projet'!$B$12,Paramètres!$A$1:$I$89,3,0)*0.475*44/12</f>
        <v>0.39600367219676902</v>
      </c>
      <c r="CM154" s="21">
        <f>EXP(-LN(2)/2)*CM153+(1-EXP(-LN(2)/2))/(LN(2)/2)*CG154*CJ154*VLOOKUP('Données projet'!$B$12,Paramètres!$A$1:$I$89,3,0)*0.475*44/12</f>
        <v>8.5637777906337743E-10</v>
      </c>
      <c r="CN154" s="22">
        <f t="shared" ref="CN154:CN203" si="172">SUM(CK154:CM154)</f>
        <v>25.734084489419612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227.19465047672969</v>
      </c>
      <c r="CZ154" s="59">
        <f t="shared" si="150"/>
        <v>529.77979244134417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8.9690173190757587</v>
      </c>
      <c r="DG154" s="21">
        <f>EXP(-LN(2)/25)*DG153+(1-EXP(-LN(2)/25))/(LN(2)/25)*Calculateur!DB154*Calculateur!DD154*VLOOKUP('Données projet'!$B$13,Paramètres!$A$1:$I$89,3,0)*0.475*44/12</f>
        <v>1.1062859550967468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10.075303274172505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240.09151195692266</v>
      </c>
      <c r="DU154" s="59">
        <f t="shared" si="152"/>
        <v>559.47775134103165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9.5552276013682871</v>
      </c>
      <c r="EB154" s="21">
        <f>EXP(-LN(2)/25)*EB153+(1-EXP(-LN(2)/25))/(LN(2)/25)*Calculateur!DW154*Calculateur!DY154*VLOOKUP('Données projet'!$B$14,Paramètres!$A$1:$I$89,3,0)*0.475*44/12</f>
        <v>1.1785922266716982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10.733819828039985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5.6843418860808015E-14</v>
      </c>
      <c r="EK154" s="17">
        <f>EJ154*VLOOKUP('Données projet'!$B$15,Paramètres!$A$1:$I$89,3,0)*VLOOKUP('Données projet'!$B$15,Paramètres!$A$1:$I$89,5,0)</f>
        <v>4.4337866711430253E-14</v>
      </c>
      <c r="EL154" s="13">
        <f t="shared" ref="EL154:EL203" si="179">EXP(-1.0587+0.8836*LN(EK154)+0.284)</f>
        <v>7.3222115536967035E-13</v>
      </c>
      <c r="EM154" s="20">
        <f t="shared" ref="EM154:EM203" si="180">(EK154+EL154)*0.475*44/12</f>
        <v>1.3525069634579169E-12</v>
      </c>
      <c r="EN154" s="59">
        <f t="shared" si="128"/>
        <v>283.41515623803133</v>
      </c>
      <c r="EO154" s="59">
        <f ca="1">AVERAGE(OFFSET($EN$3,0,0,'Données projet'!$E$15+1,1))-AVERAGE(OFFSET($H$3,0,0,'Données projet'!$E$15+1,1))</f>
        <v>328.79469965518484</v>
      </c>
      <c r="EP154" s="59">
        <f t="shared" si="154"/>
        <v>322.06400652269735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13.09908115406636</v>
      </c>
      <c r="EW154" s="21">
        <f>EXP(-LN(2)/25)*EW153+(1-EXP(-LN(2)/25))/(LN(2)/25)*Calculateur!ER154*Calculateur!ET154*VLOOKUP('Données projet'!$B$15,Paramètres!$A$1:$I$89,3,0)*0.475*44/12</f>
        <v>0.97933796848484123</v>
      </c>
      <c r="EX154" s="21">
        <f>EXP(-LN(2)/2)*EX153+(1-EXP(-LN(2)/2))/(LN(2)/2)*ER154*EU154*VLOOKUP('Données projet'!$B$15,Paramètres!$A$1:$I$89,3,0)*0.475*44/12</f>
        <v>3.3154553510982566E-11</v>
      </c>
      <c r="EY154" s="22">
        <f t="shared" ref="EY154:EY203" si="181">SUM(EV154:EX154)</f>
        <v>14.078419122584355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-5.6843418860808015E-14</v>
      </c>
      <c r="FF154" s="17">
        <f>FE154*VLOOKUP('Données projet'!$B$16,Paramètres!$A$1:$I$89,3,0)*VLOOKUP('Données projet'!$B$16,Paramètres!$A$1:$I$89,5,0)</f>
        <v>-4.1677594708744434E-14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525.22234644068908</v>
      </c>
      <c r="FK154" s="59">
        <f t="shared" si="156"/>
        <v>311.5550296132094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69.56759619839859</v>
      </c>
      <c r="FR154" s="21">
        <f>EXP(-LN(2)/25)*FR153+(1-EXP(-LN(2)/25))/(LN(2)/25)*Calculateur!FM154*Calculateur!FO154*VLOOKUP('Données projet'!$B$16,Paramètres!$A$1:$I$89,3,0)*0.475*44/12</f>
        <v>14.270636349652733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83.838232548051323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-1.7053025658242404E-13</v>
      </c>
      <c r="GA154" s="17">
        <f>FZ154*VLOOKUP('Données projet'!$B$17,Paramètres!$A$1:$I$89,3,0)*VLOOKUP('Données projet'!$B$17,Paramètres!$A$1:$I$89,5,0)</f>
        <v>-1.1173142411280423E-13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298.45881427802874</v>
      </c>
      <c r="GF154" s="59">
        <f t="shared" si="158"/>
        <v>287.00279305562356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16.929550112600023</v>
      </c>
      <c r="GM154" s="21">
        <f>EXP(-LN(2)/25)*GM153+(1-EXP(-LN(2)/25))/(LN(2)/25)*Calculateur!GH154*Calculateur!GJ154*VLOOKUP('Données projet'!$B$17,Paramètres!$A$1:$I$89,3,0)*0.475*44/12</f>
        <v>0.26458846910372369</v>
      </c>
      <c r="GN154" s="21">
        <f>EXP(-LN(2)/2)*GN153+(1-EXP(-LN(2)/2))/(LN(2)/2)*GH154*GK154*VLOOKUP('Données projet'!$B$17,Paramètres!$A$1:$I$89,3,0)*0.475*44/12</f>
        <v>7.0525228864042815E-10</v>
      </c>
      <c r="GO154" s="21">
        <f t="shared" ref="GO154:GO203" si="187">SUM(GL154:GN154)</f>
        <v>17.194138582409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135.66666666666666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7.083333333333333</v>
      </c>
      <c r="N155" s="13">
        <f>IF('Données projet'!$A$36&gt;35,N154+M155-V154,IF(A155&lt;'Données projet'!$A$36,$K$205^A155,IF(A155='Données projet'!$A$36,'Données projet'!$B$36,N154+M155-V154)))</f>
        <v>473.91666666666589</v>
      </c>
      <c r="O155" s="13">
        <f>N155*VLOOKUP('Données projet'!$B$9,Paramètres!$A$1:$I$89,3,0)*VLOOKUP('Données projet'!$B$9,Paramètres!$A$1:$I$89,5,0)</f>
        <v>428.79979999999932</v>
      </c>
      <c r="P155" s="13">
        <f t="shared" si="141"/>
        <v>97.591547936119014</v>
      </c>
      <c r="Q155" s="20">
        <f t="shared" si="162"/>
        <v>916.79826432207267</v>
      </c>
      <c r="R155" s="59">
        <f t="shared" si="109"/>
        <v>1200.3854787589839</v>
      </c>
      <c r="S155" s="59">
        <f ca="1">AVERAGE(OFFSET($R$3,0,0,'Données projet'!$E$9+1,1))-AVERAGE(OFFSET($H$3,0,0,'Données projet'!$E$9+1,1))</f>
        <v>600.52384738314299</v>
      </c>
      <c r="T155" s="59">
        <f t="shared" si="142"/>
        <v>314.84650287986256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42.146012852339901</v>
      </c>
      <c r="AA155" s="21">
        <f>EXP(-LN(2)/25)*AA154+(1-EXP(-LN(2)/25))/(LN(2)/25)*Calculateur!V155*Calculateur!X155*VLOOKUP('Données projet'!$B$9,Paramètres!$A$1:$I$89,3,0)*0.475*44/12</f>
        <v>11.375298666159761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53.521311518499658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-1.4897523215040567E-13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436.77894860279537</v>
      </c>
      <c r="AO155" s="59">
        <f t="shared" si="144"/>
        <v>398.63561969573072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42.661124867189173</v>
      </c>
      <c r="AV155" s="21">
        <f>EXP(-LN(2)/25)*AV154+(1-EXP(-LN(2)/25))/(LN(2)/25)*Calculateur!AQ155*Calculateur!AS155*VLOOKUP('Données projet'!$B$10,Paramètres!$A$1:$I$89,3,0)*0.475*44/12</f>
        <v>4.5261215887092705</v>
      </c>
      <c r="AW155" s="21">
        <f>EXP(-LN(2)/2)*AW154+(1-EXP(-LN(2)/2))/(LN(2)/2)*AQ155*AT155*VLOOKUP('Données projet'!$B$10,Paramètres!$A$1:$I$89,3,0)*0.475*44/12</f>
        <v>6.8487234120288454E-19</v>
      </c>
      <c r="AX155" s="21">
        <f t="shared" si="166"/>
        <v>47.187246455898446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-1.3567387213697657E-13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344.97546176735341</v>
      </c>
      <c r="BJ155" s="59">
        <f t="shared" si="146"/>
        <v>331.15461126257492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24.841216506260789</v>
      </c>
      <c r="BQ155" s="21">
        <f>EXP(-LN(2)/25)*BQ154+(1-EXP(-LN(2)/25))/(LN(2)/25)*Calculateur!BL155*Calculateur!BN155*VLOOKUP('Données projet'!$B$11,Paramètres!$A$1:$I$89,3,0)*0.475*44/12</f>
        <v>0.38517493095562033</v>
      </c>
      <c r="BR155" s="21">
        <f>EXP(-LN(2)/2)*BR154+(1-EXP(-LN(2)/2))/(LN(2)/2)*BL155*BO155*VLOOKUP('Données projet'!$B$11,Paramètres!$A$1:$I$89,3,0)*0.475*44/12</f>
        <v>6.0555053483318915E-10</v>
      </c>
      <c r="BS155" s="22">
        <f t="shared" si="169"/>
        <v>25.22639143782196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-1.7053025658242404E-13</v>
      </c>
      <c r="BZ155" s="13">
        <f>BY155*VLOOKUP('Données projet'!$B$12,Paramètres!$A$1:$I$89,3,0)*VLOOKUP('Données projet'!$B$12,Paramètres!$A$1:$I$89,5,0)</f>
        <v>-1.3567387213697657E-13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344.97546176735341</v>
      </c>
      <c r="CE155" s="59">
        <f t="shared" si="148"/>
        <v>331.15461126257492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24.841216506260789</v>
      </c>
      <c r="CL155" s="21">
        <f>EXP(-LN(2)/25)*CL154+(1-EXP(-LN(2)/25))/(LN(2)/25)*Calculateur!CG155*Calculateur!CI155*VLOOKUP('Données projet'!$B$12,Paramètres!$A$1:$I$89,3,0)*0.475*44/12</f>
        <v>0.38517493095562033</v>
      </c>
      <c r="CM155" s="21">
        <f>EXP(-LN(2)/2)*CM154+(1-EXP(-LN(2)/2))/(LN(2)/2)*CG155*CJ155*VLOOKUP('Données projet'!$B$12,Paramètres!$A$1:$I$89,3,0)*0.475*44/12</f>
        <v>6.0555053483318915E-10</v>
      </c>
      <c r="CN155" s="22">
        <f t="shared" si="172"/>
        <v>25.22639143782196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227.19465047672969</v>
      </c>
      <c r="CZ155" s="59">
        <f t="shared" si="150"/>
        <v>529.77979244134417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8.7931403600090743</v>
      </c>
      <c r="DG155" s="21">
        <f>EXP(-LN(2)/25)*DG154+(1-EXP(-LN(2)/25))/(LN(2)/25)*Calculateur!DB155*Calculateur!DD155*VLOOKUP('Données projet'!$B$13,Paramètres!$A$1:$I$89,3,0)*0.475*44/12</f>
        <v>1.0760345074775763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9.8691748674866506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240.09151195692266</v>
      </c>
      <c r="DU155" s="59">
        <f t="shared" si="152"/>
        <v>559.47775134103165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9.3678554162188128</v>
      </c>
      <c r="EB155" s="21">
        <f>EXP(-LN(2)/25)*EB154+(1-EXP(-LN(2)/25))/(LN(2)/25)*Calculateur!DW155*Calculateur!DY155*VLOOKUP('Données projet'!$B$14,Paramètres!$A$1:$I$89,3,0)*0.475*44/12</f>
        <v>1.1463635602538891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10.514218976472701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5.6843418860808015E-14</v>
      </c>
      <c r="EK155" s="17">
        <f>EJ155*VLOOKUP('Données projet'!$B$15,Paramètres!$A$1:$I$89,3,0)*VLOOKUP('Données projet'!$B$15,Paramètres!$A$1:$I$89,5,0)</f>
        <v>4.4337866711430253E-14</v>
      </c>
      <c r="EL155" s="13">
        <f t="shared" si="179"/>
        <v>7.3222115536967035E-13</v>
      </c>
      <c r="EM155" s="20">
        <f t="shared" si="180"/>
        <v>1.3525069634579169E-12</v>
      </c>
      <c r="EN155" s="59">
        <f t="shared" si="128"/>
        <v>283.58721443691275</v>
      </c>
      <c r="EO155" s="59">
        <f ca="1">AVERAGE(OFFSET($EN$3,0,0,'Données projet'!$E$15+1,1))-AVERAGE(OFFSET($H$3,0,0,'Données projet'!$E$15+1,1))</f>
        <v>328.79469965518484</v>
      </c>
      <c r="EP155" s="59">
        <f t="shared" si="154"/>
        <v>322.06400652269735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12.842216162285711</v>
      </c>
      <c r="EW155" s="21">
        <f>EXP(-LN(2)/25)*EW154+(1-EXP(-LN(2)/25))/(LN(2)/25)*Calculateur!ER155*Calculateur!ET155*VLOOKUP('Données projet'!$B$15,Paramètres!$A$1:$I$89,3,0)*0.475*44/12</f>
        <v>0.95255792023547781</v>
      </c>
      <c r="EX155" s="21">
        <f>EXP(-LN(2)/2)*EX154+(1-EXP(-LN(2)/2))/(LN(2)/2)*ER155*EU155*VLOOKUP('Données projet'!$B$15,Paramètres!$A$1:$I$89,3,0)*0.475*44/12</f>
        <v>2.3443809614828031E-11</v>
      </c>
      <c r="EY155" s="22">
        <f t="shared" si="181"/>
        <v>13.794774082544633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-5.6843418860808015E-14</v>
      </c>
      <c r="FF155" s="17">
        <f>FE155*VLOOKUP('Données projet'!$B$16,Paramètres!$A$1:$I$89,3,0)*VLOOKUP('Données projet'!$B$16,Paramètres!$A$1:$I$89,5,0)</f>
        <v>-4.1677594708744434E-14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525.22234644068908</v>
      </c>
      <c r="FK155" s="59">
        <f t="shared" si="156"/>
        <v>311.5550296132094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68.203418068991851</v>
      </c>
      <c r="FR155" s="21">
        <f>EXP(-LN(2)/25)*FR154+(1-EXP(-LN(2)/25))/(LN(2)/25)*Calculateur!FM155*Calculateur!FO155*VLOOKUP('Données projet'!$B$16,Paramètres!$A$1:$I$89,3,0)*0.475*44/12</f>
        <v>13.88040504821133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82.083823117203181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-1.7053025658242404E-13</v>
      </c>
      <c r="GA155" s="17">
        <f>FZ155*VLOOKUP('Données projet'!$B$17,Paramètres!$A$1:$I$89,3,0)*VLOOKUP('Données projet'!$B$17,Paramètres!$A$1:$I$89,5,0)</f>
        <v>-1.1173142411280423E-13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298.45881427802874</v>
      </c>
      <c r="GF155" s="59">
        <f t="shared" si="158"/>
        <v>287.00279305562356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16.597571960897895</v>
      </c>
      <c r="GM155" s="21">
        <f>EXP(-LN(2)/25)*GM154+(1-EXP(-LN(2)/25))/(LN(2)/25)*Calculateur!GH155*Calculateur!GJ155*VLOOKUP('Données projet'!$B$17,Paramètres!$A$1:$I$89,3,0)*0.475*44/12</f>
        <v>0.2573532835019795</v>
      </c>
      <c r="GN155" s="21">
        <f>EXP(-LN(2)/2)*GN154+(1-EXP(-LN(2)/2))/(LN(2)/2)*GH155*GK155*VLOOKUP('Données projet'!$B$17,Paramètres!$A$1:$I$89,3,0)*0.475*44/12</f>
        <v>4.9868867574497908E-10</v>
      </c>
      <c r="GO155" s="21">
        <f t="shared" si="187"/>
        <v>16.854925244898563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135.66666666666666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481</v>
      </c>
      <c r="L156" s="12">
        <f>VLOOKUP(A156,'Données projet'!$A$35:$I$55,9,0)</f>
        <v>7.083333333333333</v>
      </c>
      <c r="M156" s="12">
        <f t="array" ref="M156">INDEX(L:L,MIN(IF(ISNUMBER(L156:L352),ROW(L156:L352),"")))</f>
        <v>7.083333333333333</v>
      </c>
      <c r="N156" s="13">
        <f>IF('Données projet'!$A$36&gt;35,N155+M156-V155,IF(A156&lt;'Données projet'!$A$36,$K$205^A156,IF(A156='Données projet'!$A$36,'Données projet'!$B$36,N155+M156-V155)))</f>
        <v>480.9999999999992</v>
      </c>
      <c r="O156" s="13">
        <f>N156*VLOOKUP('Données projet'!$B$9,Paramètres!$A$1:$I$89,3,0)*VLOOKUP('Données projet'!$B$9,Paramètres!$A$1:$I$89,5,0)</f>
        <v>435.20879999999926</v>
      </c>
      <c r="P156" s="13">
        <f t="shared" si="141"/>
        <v>98.879286642940571</v>
      </c>
      <c r="Q156" s="20">
        <f t="shared" si="162"/>
        <v>930.20341756978689</v>
      </c>
      <c r="R156" s="59">
        <f t="shared" si="109"/>
        <v>1213.9597053804935</v>
      </c>
      <c r="S156" s="59">
        <f ca="1">AVERAGE(OFFSET($R$3,0,0,'Données projet'!$E$9+1,1))-AVERAGE(OFFSET($H$3,0,0,'Données projet'!$E$9+1,1))</f>
        <v>600.52384738314299</v>
      </c>
      <c r="T156" s="59">
        <f t="shared" si="142"/>
        <v>314.84650287986256</v>
      </c>
      <c r="U156" s="15" t="str">
        <f>IF(ISNA(VLOOKUP(A156,'Données projet'!$A$35:$I$55,3,0)),0,VLOOKUP(A156,'Données projet'!$A$35:$I$55,3,0))</f>
        <v>CR</v>
      </c>
      <c r="V156" s="15">
        <f>IF(ISNA(VLOOKUP(A156,'Données projet'!$A$35:$I$55,4,0)),0,VLOOKUP(A156,'Données projet'!$A$35:$I$55,4,0))</f>
        <v>481</v>
      </c>
      <c r="W156" s="16">
        <f>IF(ISNA(VLOOKUP(A156,'Données projet'!$A$35:$I$55,5,0)),0%,VLOOKUP(A156,'Données projet'!$A$35:$I$55,5,0)*VLOOKUP('Données projet'!$B$9,Paramètres!$A$1:$I$89,7,0))</f>
        <v>0.30099999999999999</v>
      </c>
      <c r="X156" s="16">
        <f>IF(ISNA(VLOOKUP(A156,'Données projet'!$A$35:$I$55,6,0)),0%,VLOOKUP(A156,'Données projet'!$A$35:$I$55,6,0)*VLOOKUP('Données projet'!$B$9,Paramètres!$A$1:$I$89,7,0))</f>
        <v>4.3000000000000003E-2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186.13379687777106</v>
      </c>
      <c r="AA156" s="21">
        <f>EXP(-LN(2)/25)*AA155+(1-EXP(-LN(2)/25))/(LN(2)/25)*Calculateur!V156*Calculateur!X156*VLOOKUP('Données projet'!$B$9,Paramètres!$A$1:$I$89,3,0)*0.475*44/12</f>
        <v>31.670533780658815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217.80433065842988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-1.4897523215040567E-13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436.77894860279537</v>
      </c>
      <c r="AO156" s="59">
        <f t="shared" si="144"/>
        <v>398.63561969573072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41.824566229260427</v>
      </c>
      <c r="AV156" s="21">
        <f>EXP(-LN(2)/25)*AV155+(1-EXP(-LN(2)/25))/(LN(2)/25)*Calculateur!AQ156*Calculateur!AS156*VLOOKUP('Données projet'!$B$10,Paramètres!$A$1:$I$89,3,0)*0.475*44/12</f>
        <v>4.4023545558476256</v>
      </c>
      <c r="AW156" s="21">
        <f>EXP(-LN(2)/2)*AW155+(1-EXP(-LN(2)/2))/(LN(2)/2)*AQ156*AT156*VLOOKUP('Données projet'!$B$10,Paramètres!$A$1:$I$89,3,0)*0.475*44/12</f>
        <v>4.8427787671166659E-19</v>
      </c>
      <c r="AX156" s="21">
        <f t="shared" si="166"/>
        <v>46.226920785108049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-1.3567387213697657E-13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344.97546176735341</v>
      </c>
      <c r="BJ156" s="59">
        <f t="shared" si="146"/>
        <v>331.15461126257492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24.354095402218984</v>
      </c>
      <c r="BQ156" s="21">
        <f>EXP(-LN(2)/25)*BQ155+(1-EXP(-LN(2)/25))/(LN(2)/25)*Calculateur!BL156*Calculateur!BN156*VLOOKUP('Données projet'!$B$11,Paramètres!$A$1:$I$89,3,0)*0.475*44/12</f>
        <v>0.37464230221316963</v>
      </c>
      <c r="BR156" s="21">
        <f>EXP(-LN(2)/2)*BR155+(1-EXP(-LN(2)/2))/(LN(2)/2)*BL156*BO156*VLOOKUP('Données projet'!$B$11,Paramètres!$A$1:$I$89,3,0)*0.475*44/12</f>
        <v>4.2818888953168871E-10</v>
      </c>
      <c r="BS156" s="22">
        <f t="shared" si="169"/>
        <v>24.72873770486034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-1.7053025658242404E-13</v>
      </c>
      <c r="BZ156" s="13">
        <f>BY156*VLOOKUP('Données projet'!$B$12,Paramètres!$A$1:$I$89,3,0)*VLOOKUP('Données projet'!$B$12,Paramètres!$A$1:$I$89,5,0)</f>
        <v>-1.3567387213697657E-13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344.97546176735341</v>
      </c>
      <c r="CE156" s="59">
        <f t="shared" si="148"/>
        <v>331.15461126257492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24.354095402218984</v>
      </c>
      <c r="CL156" s="21">
        <f>EXP(-LN(2)/25)*CL155+(1-EXP(-LN(2)/25))/(LN(2)/25)*Calculateur!CG156*Calculateur!CI156*VLOOKUP('Données projet'!$B$12,Paramètres!$A$1:$I$89,3,0)*0.475*44/12</f>
        <v>0.37464230221316963</v>
      </c>
      <c r="CM156" s="21">
        <f>EXP(-LN(2)/2)*CM155+(1-EXP(-LN(2)/2))/(LN(2)/2)*CG156*CJ156*VLOOKUP('Données projet'!$B$12,Paramètres!$A$1:$I$89,3,0)*0.475*44/12</f>
        <v>4.2818888953168871E-10</v>
      </c>
      <c r="CN156" s="22">
        <f t="shared" si="172"/>
        <v>24.72873770486034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227.19465047672969</v>
      </c>
      <c r="CZ156" s="59">
        <f t="shared" si="150"/>
        <v>529.77979244134417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8.6207122408353349</v>
      </c>
      <c r="DG156" s="21">
        <f>EXP(-LN(2)/25)*DG155+(1-EXP(-LN(2)/25))/(LN(2)/25)*Calculateur!DB156*Calculateur!DD156*VLOOKUP('Données projet'!$B$13,Paramètres!$A$1:$I$89,3,0)*0.475*44/12</f>
        <v>1.0466102872844065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9.6673225281197421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240.09151195692266</v>
      </c>
      <c r="DU156" s="59">
        <f t="shared" si="152"/>
        <v>559.47775134103165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9.1841574853343726</v>
      </c>
      <c r="EB156" s="21">
        <f>EXP(-LN(2)/25)*EB155+(1-EXP(-LN(2)/25))/(LN(2)/25)*Calculateur!DW156*Calculateur!DY156*VLOOKUP('Données projet'!$B$14,Paramètres!$A$1:$I$89,3,0)*0.475*44/12</f>
        <v>1.115016188414107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10.299173673748479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5.6843418860808015E-14</v>
      </c>
      <c r="EK156" s="17">
        <f>EJ156*VLOOKUP('Données projet'!$B$15,Paramètres!$A$1:$I$89,3,0)*VLOOKUP('Données projet'!$B$15,Paramètres!$A$1:$I$89,5,0)</f>
        <v>4.4337866711430253E-14</v>
      </c>
      <c r="EL156" s="13">
        <f t="shared" si="179"/>
        <v>7.3222115536967035E-13</v>
      </c>
      <c r="EM156" s="20">
        <f t="shared" si="180"/>
        <v>1.3525069634579169E-12</v>
      </c>
      <c r="EN156" s="59">
        <f t="shared" si="128"/>
        <v>283.75628781070799</v>
      </c>
      <c r="EO156" s="59">
        <f ca="1">AVERAGE(OFFSET($EN$3,0,0,'Données projet'!$E$15+1,1))-AVERAGE(OFFSET($H$3,0,0,'Données projet'!$E$15+1,1))</f>
        <v>328.79469965518484</v>
      </c>
      <c r="EP156" s="59">
        <f t="shared" si="154"/>
        <v>322.06400652269735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12.590388136321705</v>
      </c>
      <c r="EW156" s="21">
        <f>EXP(-LN(2)/25)*EW155+(1-EXP(-LN(2)/25))/(LN(2)/25)*Calculateur!ER156*Calculateur!ET156*VLOOKUP('Données projet'!$B$15,Paramètres!$A$1:$I$89,3,0)*0.475*44/12</f>
        <v>0.92651017381379475</v>
      </c>
      <c r="EX156" s="21">
        <f>EXP(-LN(2)/2)*EX155+(1-EXP(-LN(2)/2))/(LN(2)/2)*ER156*EU156*VLOOKUP('Données projet'!$B$15,Paramètres!$A$1:$I$89,3,0)*0.475*44/12</f>
        <v>1.6577276755491283E-11</v>
      </c>
      <c r="EY156" s="22">
        <f t="shared" si="181"/>
        <v>13.516898310152076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-5.6843418860808015E-14</v>
      </c>
      <c r="FF156" s="17">
        <f>FE156*VLOOKUP('Données projet'!$B$16,Paramètres!$A$1:$I$89,3,0)*VLOOKUP('Données projet'!$B$16,Paramètres!$A$1:$I$89,5,0)</f>
        <v>-4.1677594708744434E-14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525.22234644068908</v>
      </c>
      <c r="FK156" s="59">
        <f t="shared" si="156"/>
        <v>311.5550296132094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66.865990640636284</v>
      </c>
      <c r="FR156" s="21">
        <f>EXP(-LN(2)/25)*FR155+(1-EXP(-LN(2)/25))/(LN(2)/25)*Calculateur!FM156*Calculateur!FO156*VLOOKUP('Données projet'!$B$16,Paramètres!$A$1:$I$89,3,0)*0.475*44/12</f>
        <v>13.500844642229213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80.366835282865495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-1.7053025658242404E-13</v>
      </c>
      <c r="GA156" s="17">
        <f>FZ156*VLOOKUP('Données projet'!$B$17,Paramètres!$A$1:$I$89,3,0)*VLOOKUP('Données projet'!$B$17,Paramètres!$A$1:$I$89,5,0)</f>
        <v>-1.1173142411280423E-13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298.45881427802874</v>
      </c>
      <c r="GF156" s="59">
        <f t="shared" si="158"/>
        <v>287.00279305562356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16.272103698263969</v>
      </c>
      <c r="GM156" s="21">
        <f>EXP(-LN(2)/25)*GM155+(1-EXP(-LN(2)/25))/(LN(2)/25)*Calculateur!GH156*Calculateur!GJ156*VLOOKUP('Données projet'!$B$17,Paramètres!$A$1:$I$89,3,0)*0.475*44/12</f>
        <v>0.25031594443099686</v>
      </c>
      <c r="GN156" s="21">
        <f>EXP(-LN(2)/2)*GN155+(1-EXP(-LN(2)/2))/(LN(2)/2)*GH156*GK156*VLOOKUP('Données projet'!$B$17,Paramètres!$A$1:$I$89,3,0)*0.475*44/12</f>
        <v>3.5262614432021407E-10</v>
      </c>
      <c r="GO156" s="21">
        <f t="shared" si="187"/>
        <v>16.522419643047591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135.66666666666666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-7.9580786405131221E-13</v>
      </c>
      <c r="O157" s="13">
        <f>N157*VLOOKUP('Données projet'!$B$9,Paramètres!$A$1:$I$89,3,0)*VLOOKUP('Données projet'!$B$9,Paramètres!$A$1:$I$89,5,0)</f>
        <v>-7.2004695539362725E-13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600.52384738314299</v>
      </c>
      <c r="T157" s="59">
        <f t="shared" si="142"/>
        <v>314.84650287986256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182.48382665140386</v>
      </c>
      <c r="AA157" s="21">
        <f>EXP(-LN(2)/25)*AA156+(1-EXP(-LN(2)/25))/(LN(2)/25)*Calculateur!V157*Calculateur!X157*VLOOKUP('Données projet'!$B$9,Paramètres!$A$1:$I$89,3,0)*0.475*44/12</f>
        <v>30.804501368945711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213.28832802034958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-1.4897523215040567E-13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436.77894860279537</v>
      </c>
      <c r="AO157" s="59">
        <f t="shared" si="144"/>
        <v>398.63561969573072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41.004411995971083</v>
      </c>
      <c r="AV157" s="21">
        <f>EXP(-LN(2)/25)*AV156+(1-EXP(-LN(2)/25))/(LN(2)/25)*Calculateur!AQ157*Calculateur!AS157*VLOOKUP('Données projet'!$B$10,Paramètres!$A$1:$I$89,3,0)*0.475*44/12</f>
        <v>4.2819719390082076</v>
      </c>
      <c r="AW157" s="21">
        <f>EXP(-LN(2)/2)*AW156+(1-EXP(-LN(2)/2))/(LN(2)/2)*AQ157*AT157*VLOOKUP('Données projet'!$B$10,Paramètres!$A$1:$I$89,3,0)*0.475*44/12</f>
        <v>3.4243617060144227E-19</v>
      </c>
      <c r="AX157" s="21">
        <f t="shared" si="166"/>
        <v>45.286383934979291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-1.3567387213697657E-13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344.97546176735341</v>
      </c>
      <c r="BJ157" s="59">
        <f t="shared" si="146"/>
        <v>331.15461126257492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23.876526445912901</v>
      </c>
      <c r="BQ157" s="21">
        <f>EXP(-LN(2)/25)*BQ156+(1-EXP(-LN(2)/25))/(LN(2)/25)*Calculateur!BL157*Calculateur!BN157*VLOOKUP('Données projet'!$B$11,Paramètres!$A$1:$I$89,3,0)*0.475*44/12</f>
        <v>0.36439768875756812</v>
      </c>
      <c r="BR157" s="21">
        <f>EXP(-LN(2)/2)*BR156+(1-EXP(-LN(2)/2))/(LN(2)/2)*BL157*BO157*VLOOKUP('Données projet'!$B$11,Paramètres!$A$1:$I$89,3,0)*0.475*44/12</f>
        <v>3.0277526741659458E-10</v>
      </c>
      <c r="BS157" s="22">
        <f t="shared" si="169"/>
        <v>24.240924134973245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-1.7053025658242404E-13</v>
      </c>
      <c r="BZ157" s="13">
        <f>BY157*VLOOKUP('Données projet'!$B$12,Paramètres!$A$1:$I$89,3,0)*VLOOKUP('Données projet'!$B$12,Paramètres!$A$1:$I$89,5,0)</f>
        <v>-1.3567387213697657E-13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344.97546176735341</v>
      </c>
      <c r="CE157" s="59">
        <f t="shared" si="148"/>
        <v>331.15461126257492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23.876526445912901</v>
      </c>
      <c r="CL157" s="21">
        <f>EXP(-LN(2)/25)*CL156+(1-EXP(-LN(2)/25))/(LN(2)/25)*Calculateur!CG157*Calculateur!CI157*VLOOKUP('Données projet'!$B$12,Paramètres!$A$1:$I$89,3,0)*0.475*44/12</f>
        <v>0.36439768875756812</v>
      </c>
      <c r="CM157" s="21">
        <f>EXP(-LN(2)/2)*CM156+(1-EXP(-LN(2)/2))/(LN(2)/2)*CG157*CJ157*VLOOKUP('Données projet'!$B$12,Paramètres!$A$1:$I$89,3,0)*0.475*44/12</f>
        <v>3.0277526741659458E-10</v>
      </c>
      <c r="CN157" s="22">
        <f t="shared" si="172"/>
        <v>24.240924134973245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227.19465047672969</v>
      </c>
      <c r="CZ157" s="59">
        <f t="shared" si="150"/>
        <v>529.77979244134417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8.4516653319078259</v>
      </c>
      <c r="DG157" s="21">
        <f>EXP(-LN(2)/25)*DG156+(1-EXP(-LN(2)/25))/(LN(2)/25)*Calculateur!DB157*Calculateur!DD157*VLOOKUP('Données projet'!$B$13,Paramètres!$A$1:$I$89,3,0)*0.475*44/12</f>
        <v>1.0179906739397715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9.4696560058475967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240.09151195692266</v>
      </c>
      <c r="DU157" s="59">
        <f t="shared" si="152"/>
        <v>559.47775134103165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9.0040617588299021</v>
      </c>
      <c r="EB157" s="21">
        <f>EXP(-LN(2)/25)*EB156+(1-EXP(-LN(2)/25))/(LN(2)/25)*Calculateur!DW157*Calculateur!DY157*VLOOKUP('Données projet'!$B$14,Paramètres!$A$1:$I$89,3,0)*0.475*44/12</f>
        <v>1.0845260121057703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10.088587770935673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5.6843418860808015E-14</v>
      </c>
      <c r="EK157" s="17">
        <f>EJ157*VLOOKUP('Données projet'!$B$15,Paramètres!$A$1:$I$89,3,0)*VLOOKUP('Données projet'!$B$15,Paramètres!$A$1:$I$89,5,0)</f>
        <v>4.4337866711430253E-14</v>
      </c>
      <c r="EL157" s="13">
        <f t="shared" si="179"/>
        <v>7.3222115536967035E-13</v>
      </c>
      <c r="EM157" s="20">
        <f t="shared" si="180"/>
        <v>1.3525069634579169E-12</v>
      </c>
      <c r="EN157" s="59">
        <f t="shared" si="128"/>
        <v>283.92242813945944</v>
      </c>
      <c r="EO157" s="59">
        <f ca="1">AVERAGE(OFFSET($EN$3,0,0,'Données projet'!$E$15+1,1))-AVERAGE(OFFSET($H$3,0,0,'Données projet'!$E$15+1,1))</f>
        <v>328.79469965518484</v>
      </c>
      <c r="EP157" s="59">
        <f t="shared" si="154"/>
        <v>322.06400652269735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12.343498304346923</v>
      </c>
      <c r="EW157" s="21">
        <f>EXP(-LN(2)/25)*EW156+(1-EXP(-LN(2)/25))/(LN(2)/25)*Calculateur!ER157*Calculateur!ET157*VLOOKUP('Données projet'!$B$15,Paramètres!$A$1:$I$89,3,0)*0.475*44/12</f>
        <v>0.901174704387804</v>
      </c>
      <c r="EX157" s="21">
        <f>EXP(-LN(2)/2)*EX156+(1-EXP(-LN(2)/2))/(LN(2)/2)*ER157*EU157*VLOOKUP('Données projet'!$B$15,Paramètres!$A$1:$I$89,3,0)*0.475*44/12</f>
        <v>1.1721904807414015E-11</v>
      </c>
      <c r="EY157" s="22">
        <f t="shared" si="181"/>
        <v>13.244673008746449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-5.6843418860808015E-14</v>
      </c>
      <c r="FF157" s="17">
        <f>FE157*VLOOKUP('Données projet'!$B$16,Paramètres!$A$1:$I$89,3,0)*VLOOKUP('Données projet'!$B$16,Paramètres!$A$1:$I$89,5,0)</f>
        <v>-4.1677594708744434E-14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525.22234644068908</v>
      </c>
      <c r="FK157" s="59">
        <f t="shared" si="156"/>
        <v>311.5550296132094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65.55478934840059</v>
      </c>
      <c r="FR157" s="21">
        <f>EXP(-LN(2)/25)*FR156+(1-EXP(-LN(2)/25))/(LN(2)/25)*Calculateur!FM157*Calculateur!FO157*VLOOKUP('Données projet'!$B$16,Paramètres!$A$1:$I$89,3,0)*0.475*44/12</f>
        <v>13.131663335508891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78.686452683909479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-1.7053025658242404E-13</v>
      </c>
      <c r="GA157" s="17">
        <f>FZ157*VLOOKUP('Données projet'!$B$17,Paramètres!$A$1:$I$89,3,0)*VLOOKUP('Données projet'!$B$17,Paramètres!$A$1:$I$89,5,0)</f>
        <v>-1.1173142411280423E-13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298.45881427802874</v>
      </c>
      <c r="GF157" s="59">
        <f t="shared" si="158"/>
        <v>287.00279305562356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15.953017669744256</v>
      </c>
      <c r="GM157" s="21">
        <f>EXP(-LN(2)/25)*GM156+(1-EXP(-LN(2)/25))/(LN(2)/25)*Calculateur!GH157*Calculateur!GJ157*VLOOKUP('Données projet'!$B$17,Paramètres!$A$1:$I$89,3,0)*0.475*44/12</f>
        <v>0.24347104176698783</v>
      </c>
      <c r="GN157" s="21">
        <f>EXP(-LN(2)/2)*GN156+(1-EXP(-LN(2)/2))/(LN(2)/2)*GH157*GK157*VLOOKUP('Données projet'!$B$17,Paramètres!$A$1:$I$89,3,0)*0.475*44/12</f>
        <v>2.4934433787248954E-10</v>
      </c>
      <c r="GO157" s="21">
        <f t="shared" si="187"/>
        <v>16.196488711760587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135.66666666666666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-7.9580786405131221E-13</v>
      </c>
      <c r="O158" s="13">
        <f>N158*VLOOKUP('Données projet'!$B$9,Paramètres!$A$1:$I$89,3,0)*VLOOKUP('Données projet'!$B$9,Paramètres!$A$1:$I$89,5,0)</f>
        <v>-7.2004695539362725E-13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600.52384738314299</v>
      </c>
      <c r="T158" s="59">
        <f t="shared" si="142"/>
        <v>314.84650287986256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178.90543011491371</v>
      </c>
      <c r="AA158" s="21">
        <f>EXP(-LN(2)/25)*AA157+(1-EXP(-LN(2)/25))/(LN(2)/25)*Calculateur!V158*Calculateur!X158*VLOOKUP('Données projet'!$B$9,Paramètres!$A$1:$I$89,3,0)*0.475*44/12</f>
        <v>29.962150659073568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208.86758077398727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-1.4897523215040567E-13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436.77894860279537</v>
      </c>
      <c r="AO158" s="59">
        <f t="shared" si="144"/>
        <v>398.63561969573072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40.200340486951852</v>
      </c>
      <c r="AV158" s="21">
        <f>EXP(-LN(2)/25)*AV157+(1-EXP(-LN(2)/25))/(LN(2)/25)*Calculateur!AQ158*Calculateur!AS158*VLOOKUP('Données projet'!$B$10,Paramètres!$A$1:$I$89,3,0)*0.475*44/12</f>
        <v>4.1648811911569101</v>
      </c>
      <c r="AW158" s="21">
        <f>EXP(-LN(2)/2)*AW157+(1-EXP(-LN(2)/2))/(LN(2)/2)*AQ158*AT158*VLOOKUP('Données projet'!$B$10,Paramètres!$A$1:$I$89,3,0)*0.475*44/12</f>
        <v>2.421389383558333E-19</v>
      </c>
      <c r="AX158" s="21">
        <f t="shared" si="166"/>
        <v>44.36522167810876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-1.3567387213697657E-13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344.97546176735341</v>
      </c>
      <c r="BJ158" s="59">
        <f t="shared" si="146"/>
        <v>331.15461126257492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23.40832232555168</v>
      </c>
      <c r="BQ158" s="21">
        <f>EXP(-LN(2)/25)*BQ157+(1-EXP(-LN(2)/25))/(LN(2)/25)*Calculateur!BL158*Calculateur!BN158*VLOOKUP('Données projet'!$B$11,Paramètres!$A$1:$I$89,3,0)*0.475*44/12</f>
        <v>0.35443321479565082</v>
      </c>
      <c r="BR158" s="21">
        <f>EXP(-LN(2)/2)*BR157+(1-EXP(-LN(2)/2))/(LN(2)/2)*BL158*BO158*VLOOKUP('Données projet'!$B$11,Paramètres!$A$1:$I$89,3,0)*0.475*44/12</f>
        <v>2.1409444476584436E-10</v>
      </c>
      <c r="BS158" s="22">
        <f t="shared" si="169"/>
        <v>23.762755540561425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-1.7053025658242404E-13</v>
      </c>
      <c r="BZ158" s="13">
        <f>BY158*VLOOKUP('Données projet'!$B$12,Paramètres!$A$1:$I$89,3,0)*VLOOKUP('Données projet'!$B$12,Paramètres!$A$1:$I$89,5,0)</f>
        <v>-1.3567387213697657E-13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344.97546176735341</v>
      </c>
      <c r="CE158" s="59">
        <f t="shared" si="148"/>
        <v>331.15461126257492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23.40832232555168</v>
      </c>
      <c r="CL158" s="21">
        <f>EXP(-LN(2)/25)*CL157+(1-EXP(-LN(2)/25))/(LN(2)/25)*Calculateur!CG158*Calculateur!CI158*VLOOKUP('Données projet'!$B$12,Paramètres!$A$1:$I$89,3,0)*0.475*44/12</f>
        <v>0.35443321479565082</v>
      </c>
      <c r="CM158" s="21">
        <f>EXP(-LN(2)/2)*CM157+(1-EXP(-LN(2)/2))/(LN(2)/2)*CG158*CJ158*VLOOKUP('Données projet'!$B$12,Paramètres!$A$1:$I$89,3,0)*0.475*44/12</f>
        <v>2.1409444476584436E-10</v>
      </c>
      <c r="CN158" s="22">
        <f t="shared" si="172"/>
        <v>23.762755540561425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227.19465047672969</v>
      </c>
      <c r="CZ158" s="59">
        <f t="shared" si="150"/>
        <v>529.77979244134417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8.2859333297559505</v>
      </c>
      <c r="DG158" s="21">
        <f>EXP(-LN(2)/25)*DG157+(1-EXP(-LN(2)/25))/(LN(2)/25)*Calculateur!DB158*Calculateur!DD158*VLOOKUP('Données projet'!$B$13,Paramètres!$A$1:$I$89,3,0)*0.475*44/12</f>
        <v>0.99015366542708561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9.2760869951830358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240.09151195692266</v>
      </c>
      <c r="DU158" s="59">
        <f t="shared" si="152"/>
        <v>559.47775134103165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8.8274975996746363</v>
      </c>
      <c r="EB158" s="21">
        <f>EXP(-LN(2)/25)*EB157+(1-EXP(-LN(2)/25))/(LN(2)/25)*Calculateur!DW158*Calculateur!DY158*VLOOKUP('Données projet'!$B$14,Paramètres!$A$1:$I$89,3,0)*0.475*44/12</f>
        <v>1.0548695912719936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9.8823671909466295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5.6843418860808015E-14</v>
      </c>
      <c r="EK158" s="17">
        <f>EJ158*VLOOKUP('Données projet'!$B$15,Paramètres!$A$1:$I$89,3,0)*VLOOKUP('Données projet'!$B$15,Paramètres!$A$1:$I$89,5,0)</f>
        <v>4.4337866711430253E-14</v>
      </c>
      <c r="EL158" s="13">
        <f t="shared" si="179"/>
        <v>7.3222115536967035E-13</v>
      </c>
      <c r="EM158" s="20">
        <f t="shared" si="180"/>
        <v>1.3525069634579169E-12</v>
      </c>
      <c r="EN158" s="59">
        <f t="shared" si="128"/>
        <v>284.08568630494113</v>
      </c>
      <c r="EO158" s="59">
        <f ca="1">AVERAGE(OFFSET($EN$3,0,0,'Données projet'!$E$15+1,1))-AVERAGE(OFFSET($H$3,0,0,'Données projet'!$E$15+1,1))</f>
        <v>328.79469965518484</v>
      </c>
      <c r="EP158" s="59">
        <f t="shared" si="154"/>
        <v>322.06400652269735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12.101449831389239</v>
      </c>
      <c r="EW158" s="21">
        <f>EXP(-LN(2)/25)*EW157+(1-EXP(-LN(2)/25))/(LN(2)/25)*Calculateur!ER158*Calculateur!ET158*VLOOKUP('Données projet'!$B$15,Paramètres!$A$1:$I$89,3,0)*0.475*44/12</f>
        <v>0.87653203470560148</v>
      </c>
      <c r="EX158" s="21">
        <f>EXP(-LN(2)/2)*EX157+(1-EXP(-LN(2)/2))/(LN(2)/2)*ER158*EU158*VLOOKUP('Données projet'!$B$15,Paramètres!$A$1:$I$89,3,0)*0.475*44/12</f>
        <v>8.2886383777456414E-12</v>
      </c>
      <c r="EY158" s="22">
        <f t="shared" si="181"/>
        <v>12.977981866103129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-5.6843418860808015E-14</v>
      </c>
      <c r="FF158" s="17">
        <f>FE158*VLOOKUP('Données projet'!$B$16,Paramètres!$A$1:$I$89,3,0)*VLOOKUP('Données projet'!$B$16,Paramètres!$A$1:$I$89,5,0)</f>
        <v>-4.1677594708744434E-14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525.22234644068908</v>
      </c>
      <c r="FK158" s="59">
        <f t="shared" si="156"/>
        <v>311.5550296132094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64.269299913751823</v>
      </c>
      <c r="FR158" s="21">
        <f>EXP(-LN(2)/25)*FR157+(1-EXP(-LN(2)/25))/(LN(2)/25)*Calculateur!FM158*Calculateur!FO158*VLOOKUP('Données projet'!$B$16,Paramètres!$A$1:$I$89,3,0)*0.475*44/12</f>
        <v>12.772577311035239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77.041877224787058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-1.7053025658242404E-13</v>
      </c>
      <c r="GA158" s="17">
        <f>FZ158*VLOOKUP('Données projet'!$B$17,Paramètres!$A$1:$I$89,3,0)*VLOOKUP('Données projet'!$B$17,Paramètres!$A$1:$I$89,5,0)</f>
        <v>-1.1173142411280423E-13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298.45881427802874</v>
      </c>
      <c r="GF158" s="59">
        <f t="shared" si="158"/>
        <v>287.00279305562356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15.640188723620554</v>
      </c>
      <c r="GM158" s="21">
        <f>EXP(-LN(2)/25)*GM157+(1-EXP(-LN(2)/25))/(LN(2)/25)*Calculateur!GH158*Calculateur!GJ158*VLOOKUP('Données projet'!$B$17,Paramètres!$A$1:$I$89,3,0)*0.475*44/12</f>
        <v>0.23681331332628391</v>
      </c>
      <c r="GN158" s="21">
        <f>EXP(-LN(2)/2)*GN157+(1-EXP(-LN(2)/2))/(LN(2)/2)*GH158*GK158*VLOOKUP('Données projet'!$B$17,Paramètres!$A$1:$I$89,3,0)*0.475*44/12</f>
        <v>1.7631307216010704E-10</v>
      </c>
      <c r="GO158" s="21">
        <f t="shared" si="187"/>
        <v>15.87700203712315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135.66666666666666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-7.9580786405131221E-13</v>
      </c>
      <c r="O159" s="13">
        <f>N159*VLOOKUP('Données projet'!$B$9,Paramètres!$A$1:$I$89,3,0)*VLOOKUP('Données projet'!$B$9,Paramètres!$A$1:$I$89,5,0)</f>
        <v>-7.2004695539362725E-13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600.52384738314299</v>
      </c>
      <c r="T159" s="59">
        <f t="shared" si="142"/>
        <v>314.84650287986256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175.39720375189776</v>
      </c>
      <c r="AA159" s="21">
        <f>EXP(-LN(2)/25)*AA158+(1-EXP(-LN(2)/25))/(LN(2)/25)*Calculateur!V159*Calculateur!X159*VLOOKUP('Données projet'!$B$9,Paramètres!$A$1:$I$89,3,0)*0.475*44/12</f>
        <v>29.142834073660179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204.54003782555793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-1.4897523215040567E-13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436.77894860279537</v>
      </c>
      <c r="AO159" s="59">
        <f t="shared" si="144"/>
        <v>398.63561969573072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39.412036329789295</v>
      </c>
      <c r="AV159" s="21">
        <f>EXP(-LN(2)/25)*AV158+(1-EXP(-LN(2)/25))/(LN(2)/25)*Calculateur!AQ159*Calculateur!AS159*VLOOKUP('Données projet'!$B$10,Paramètres!$A$1:$I$89,3,0)*0.475*44/12</f>
        <v>4.0509922959631419</v>
      </c>
      <c r="AW159" s="21">
        <f>EXP(-LN(2)/2)*AW158+(1-EXP(-LN(2)/2))/(LN(2)/2)*AQ159*AT159*VLOOKUP('Données projet'!$B$10,Paramètres!$A$1:$I$89,3,0)*0.475*44/12</f>
        <v>1.7121808530072114E-19</v>
      </c>
      <c r="AX159" s="21">
        <f t="shared" si="166"/>
        <v>43.463028625752436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-1.3567387213697657E-13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344.97546176735341</v>
      </c>
      <c r="BJ159" s="59">
        <f t="shared" si="146"/>
        <v>331.15461126257492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22.949299402414429</v>
      </c>
      <c r="BQ159" s="21">
        <f>EXP(-LN(2)/25)*BQ158+(1-EXP(-LN(2)/25))/(LN(2)/25)*Calculateur!BL159*Calculateur!BN159*VLOOKUP('Données projet'!$B$11,Paramètres!$A$1:$I$89,3,0)*0.475*44/12</f>
        <v>0.34474121989823103</v>
      </c>
      <c r="BR159" s="21">
        <f>EXP(-LN(2)/2)*BR158+(1-EXP(-LN(2)/2))/(LN(2)/2)*BL159*BO159*VLOOKUP('Données projet'!$B$11,Paramètres!$A$1:$I$89,3,0)*0.475*44/12</f>
        <v>1.5138763370829729E-10</v>
      </c>
      <c r="BS159" s="22">
        <f t="shared" si="169"/>
        <v>23.294040622464049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-1.7053025658242404E-13</v>
      </c>
      <c r="BZ159" s="13">
        <f>BY159*VLOOKUP('Données projet'!$B$12,Paramètres!$A$1:$I$89,3,0)*VLOOKUP('Données projet'!$B$12,Paramètres!$A$1:$I$89,5,0)</f>
        <v>-1.3567387213697657E-13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344.97546176735341</v>
      </c>
      <c r="CE159" s="59">
        <f t="shared" si="148"/>
        <v>331.15461126257492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22.949299402414429</v>
      </c>
      <c r="CL159" s="21">
        <f>EXP(-LN(2)/25)*CL158+(1-EXP(-LN(2)/25))/(LN(2)/25)*Calculateur!CG159*Calculateur!CI159*VLOOKUP('Données projet'!$B$12,Paramètres!$A$1:$I$89,3,0)*0.475*44/12</f>
        <v>0.34474121989823103</v>
      </c>
      <c r="CM159" s="21">
        <f>EXP(-LN(2)/2)*CM158+(1-EXP(-LN(2)/2))/(LN(2)/2)*CG159*CJ159*VLOOKUP('Données projet'!$B$12,Paramètres!$A$1:$I$89,3,0)*0.475*44/12</f>
        <v>1.5138763370829729E-10</v>
      </c>
      <c r="CN159" s="22">
        <f t="shared" si="172"/>
        <v>23.294040622464049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227.19465047672969</v>
      </c>
      <c r="CZ159" s="59">
        <f t="shared" si="150"/>
        <v>529.77979244134417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8.1234512310797342</v>
      </c>
      <c r="DG159" s="21">
        <f>EXP(-LN(2)/25)*DG158+(1-EXP(-LN(2)/25))/(LN(2)/25)*Calculateur!DB159*Calculateur!DD159*VLOOKUP('Données projet'!$B$13,Paramètres!$A$1:$I$89,3,0)*0.475*44/12</f>
        <v>0.96307786137606366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9.0865290924557982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240.09151195692266</v>
      </c>
      <c r="DU159" s="59">
        <f t="shared" si="152"/>
        <v>559.47775134103165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8.6543957559869025</v>
      </c>
      <c r="EB159" s="21">
        <f>EXP(-LN(2)/25)*EB158+(1-EXP(-LN(2)/25))/(LN(2)/25)*Calculateur!DW159*Calculateur!DY159*VLOOKUP('Données projet'!$B$14,Paramètres!$A$1:$I$89,3,0)*0.475*44/12</f>
        <v>1.0260241268254802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9.680419882812382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5.6843418860808015E-14</v>
      </c>
      <c r="EK159" s="17">
        <f>EJ159*VLOOKUP('Données projet'!$B$15,Paramètres!$A$1:$I$89,3,0)*VLOOKUP('Données projet'!$B$15,Paramètres!$A$1:$I$89,5,0)</f>
        <v>4.4337866711430253E-14</v>
      </c>
      <c r="EL159" s="13">
        <f t="shared" si="179"/>
        <v>7.3222115536967035E-13</v>
      </c>
      <c r="EM159" s="20">
        <f t="shared" si="180"/>
        <v>1.3525069634579169E-12</v>
      </c>
      <c r="EN159" s="59">
        <f t="shared" si="128"/>
        <v>284.24611230624231</v>
      </c>
      <c r="EO159" s="59">
        <f ca="1">AVERAGE(OFFSET($EN$3,0,0,'Données projet'!$E$15+1,1))-AVERAGE(OFFSET($H$3,0,0,'Données projet'!$E$15+1,1))</f>
        <v>328.79469965518484</v>
      </c>
      <c r="EP159" s="59">
        <f t="shared" si="154"/>
        <v>322.06400652269735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11.864147781351264</v>
      </c>
      <c r="EW159" s="21">
        <f>EXP(-LN(2)/25)*EW158+(1-EXP(-LN(2)/25))/(LN(2)/25)*Calculateur!ER159*Calculateur!ET159*VLOOKUP('Données projet'!$B$15,Paramètres!$A$1:$I$89,3,0)*0.475*44/12</f>
        <v>0.85256322012176045</v>
      </c>
      <c r="EX159" s="21">
        <f>EXP(-LN(2)/2)*EX158+(1-EXP(-LN(2)/2))/(LN(2)/2)*ER159*EU159*VLOOKUP('Données projet'!$B$15,Paramètres!$A$1:$I$89,3,0)*0.475*44/12</f>
        <v>5.8609524037070076E-12</v>
      </c>
      <c r="EY159" s="22">
        <f t="shared" si="181"/>
        <v>12.716711001478885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-5.6843418860808015E-14</v>
      </c>
      <c r="FF159" s="17">
        <f>FE159*VLOOKUP('Données projet'!$B$16,Paramètres!$A$1:$I$89,3,0)*VLOOKUP('Données projet'!$B$16,Paramètres!$A$1:$I$89,5,0)</f>
        <v>-4.1677594708744434E-14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525.22234644068908</v>
      </c>
      <c r="FK159" s="59">
        <f t="shared" si="156"/>
        <v>311.5550296132094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63.009018142845377</v>
      </c>
      <c r="FR159" s="21">
        <f>EXP(-LN(2)/25)*FR158+(1-EXP(-LN(2)/25))/(LN(2)/25)*Calculateur!FM159*Calculateur!FO159*VLOOKUP('Données projet'!$B$16,Paramètres!$A$1:$I$89,3,0)*0.475*44/12</f>
        <v>12.423310512784331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75.432328655629703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-1.7053025658242404E-13</v>
      </c>
      <c r="GA159" s="17">
        <f>FZ159*VLOOKUP('Données projet'!$B$17,Paramètres!$A$1:$I$89,3,0)*VLOOKUP('Données projet'!$B$17,Paramètres!$A$1:$I$89,5,0)</f>
        <v>-1.1173142411280423E-13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298.45881427802874</v>
      </c>
      <c r="GF159" s="59">
        <f t="shared" si="158"/>
        <v>287.00279305562356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15.333494162323522</v>
      </c>
      <c r="GM159" s="21">
        <f>EXP(-LN(2)/25)*GM158+(1-EXP(-LN(2)/25))/(LN(2)/25)*Calculateur!GH159*Calculateur!GJ159*VLOOKUP('Données projet'!$B$17,Paramètres!$A$1:$I$89,3,0)*0.475*44/12</f>
        <v>0.23033764081990576</v>
      </c>
      <c r="GN159" s="21">
        <f>EXP(-LN(2)/2)*GN158+(1-EXP(-LN(2)/2))/(LN(2)/2)*GH159*GK159*VLOOKUP('Données projet'!$B$17,Paramètres!$A$1:$I$89,3,0)*0.475*44/12</f>
        <v>1.2467216893624477E-10</v>
      </c>
      <c r="GO159" s="21">
        <f t="shared" si="187"/>
        <v>15.5638318032681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135.66666666666666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-7.9580786405131221E-13</v>
      </c>
      <c r="O160" s="13">
        <f>N160*VLOOKUP('Données projet'!$B$9,Paramètres!$A$1:$I$89,3,0)*VLOOKUP('Données projet'!$B$9,Paramètres!$A$1:$I$89,5,0)</f>
        <v>-7.2004695539362725E-13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600.52384738314299</v>
      </c>
      <c r="T160" s="59">
        <f t="shared" si="142"/>
        <v>314.84650287986256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171.95777156805377</v>
      </c>
      <c r="AA160" s="21">
        <f>EXP(-LN(2)/25)*AA159+(1-EXP(-LN(2)/25))/(LN(2)/25)*Calculateur!V160*Calculateur!X160*VLOOKUP('Données projet'!$B$9,Paramètres!$A$1:$I$89,3,0)*0.475*44/12</f>
        <v>28.345921743360904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200.30369331141469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-1.4897523215040567E-13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436.77894860279537</v>
      </c>
      <c r="AO160" s="59">
        <f t="shared" si="144"/>
        <v>398.63561969573072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38.639190336330635</v>
      </c>
      <c r="AV160" s="21">
        <f>EXP(-LN(2)/25)*AV159+(1-EXP(-LN(2)/25))/(LN(2)/25)*Calculateur!AQ160*Calculateur!AS160*VLOOKUP('Données projet'!$B$10,Paramètres!$A$1:$I$89,3,0)*0.475*44/12</f>
        <v>3.9402176985976038</v>
      </c>
      <c r="AW160" s="21">
        <f>EXP(-LN(2)/2)*AW159+(1-EXP(-LN(2)/2))/(LN(2)/2)*AQ160*AT160*VLOOKUP('Données projet'!$B$10,Paramètres!$A$1:$I$89,3,0)*0.475*44/12</f>
        <v>1.2106946917791665E-19</v>
      </c>
      <c r="AX160" s="21">
        <f t="shared" si="166"/>
        <v>42.579408034928242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-1.3567387213697657E-13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344.97546176735341</v>
      </c>
      <c r="BJ160" s="59">
        <f t="shared" si="146"/>
        <v>331.15461126257492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22.49927763882356</v>
      </c>
      <c r="BQ160" s="21">
        <f>EXP(-LN(2)/25)*BQ159+(1-EXP(-LN(2)/25))/(LN(2)/25)*Calculateur!BL160*Calculateur!BN160*VLOOKUP('Données projet'!$B$11,Paramètres!$A$1:$I$89,3,0)*0.475*44/12</f>
        <v>0.33531425311096108</v>
      </c>
      <c r="BR160" s="21">
        <f>EXP(-LN(2)/2)*BR159+(1-EXP(-LN(2)/2))/(LN(2)/2)*BL160*BO160*VLOOKUP('Données projet'!$B$11,Paramètres!$A$1:$I$89,3,0)*0.475*44/12</f>
        <v>1.0704722238292218E-10</v>
      </c>
      <c r="BS160" s="22">
        <f t="shared" si="169"/>
        <v>22.834591892041569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-1.7053025658242404E-13</v>
      </c>
      <c r="BZ160" s="13">
        <f>BY160*VLOOKUP('Données projet'!$B$12,Paramètres!$A$1:$I$89,3,0)*VLOOKUP('Données projet'!$B$12,Paramètres!$A$1:$I$89,5,0)</f>
        <v>-1.3567387213697657E-13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344.97546176735341</v>
      </c>
      <c r="CE160" s="59">
        <f t="shared" si="148"/>
        <v>331.15461126257492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22.49927763882356</v>
      </c>
      <c r="CL160" s="21">
        <f>EXP(-LN(2)/25)*CL159+(1-EXP(-LN(2)/25))/(LN(2)/25)*Calculateur!CG160*Calculateur!CI160*VLOOKUP('Données projet'!$B$12,Paramètres!$A$1:$I$89,3,0)*0.475*44/12</f>
        <v>0.33531425311096108</v>
      </c>
      <c r="CM160" s="21">
        <f>EXP(-LN(2)/2)*CM159+(1-EXP(-LN(2)/2))/(LN(2)/2)*CG160*CJ160*VLOOKUP('Données projet'!$B$12,Paramètres!$A$1:$I$89,3,0)*0.475*44/12</f>
        <v>1.0704722238292218E-10</v>
      </c>
      <c r="CN160" s="22">
        <f t="shared" si="172"/>
        <v>22.834591892041569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227.19465047672969</v>
      </c>
      <c r="CZ160" s="59">
        <f t="shared" si="150"/>
        <v>529.77979244134417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7.9641553072542646</v>
      </c>
      <c r="DG160" s="21">
        <f>EXP(-LN(2)/25)*DG159+(1-EXP(-LN(2)/25))/(LN(2)/25)*Calculateur!DB160*Calculateur!DD160*VLOOKUP('Données projet'!$B$13,Paramètres!$A$1:$I$89,3,0)*0.475*44/12</f>
        <v>0.93674244661067163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8.9008977538649354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240.09151195692266</v>
      </c>
      <c r="DU160" s="59">
        <f t="shared" si="152"/>
        <v>559.47775134103165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8.4846883338721852</v>
      </c>
      <c r="EB160" s="21">
        <f>EXP(-LN(2)/25)*EB159+(1-EXP(-LN(2)/25))/(LN(2)/25)*Calculateur!DW160*Calculateur!DY160*VLOOKUP('Données projet'!$B$14,Paramètres!$A$1:$I$89,3,0)*0.475*44/12</f>
        <v>0.99796744312117358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9.4826557769933579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5.6843418860808015E-14</v>
      </c>
      <c r="EK160" s="17">
        <f>EJ160*VLOOKUP('Données projet'!$B$15,Paramètres!$A$1:$I$89,3,0)*VLOOKUP('Données projet'!$B$15,Paramètres!$A$1:$I$89,5,0)</f>
        <v>4.4337866711430253E-14</v>
      </c>
      <c r="EL160" s="13">
        <f t="shared" si="179"/>
        <v>7.3222115536967035E-13</v>
      </c>
      <c r="EM160" s="20">
        <f t="shared" si="180"/>
        <v>1.3525069634579169E-12</v>
      </c>
      <c r="EN160" s="59">
        <f t="shared" si="128"/>
        <v>284.40375527507962</v>
      </c>
      <c r="EO160" s="59">
        <f ca="1">AVERAGE(OFFSET($EN$3,0,0,'Données projet'!$E$15+1,1))-AVERAGE(OFFSET($H$3,0,0,'Données projet'!$E$15+1,1))</f>
        <v>328.79469965518484</v>
      </c>
      <c r="EP160" s="59">
        <f t="shared" si="154"/>
        <v>322.06400652269735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11.631499079774576</v>
      </c>
      <c r="EW160" s="21">
        <f>EXP(-LN(2)/25)*EW159+(1-EXP(-LN(2)/25))/(LN(2)/25)*Calculateur!ER160*Calculateur!ET160*VLOOKUP('Données projet'!$B$15,Paramètres!$A$1:$I$89,3,0)*0.475*44/12</f>
        <v>0.82924983403317976</v>
      </c>
      <c r="EX160" s="21">
        <f>EXP(-LN(2)/2)*EX159+(1-EXP(-LN(2)/2))/(LN(2)/2)*ER160*EU160*VLOOKUP('Données projet'!$B$15,Paramètres!$A$1:$I$89,3,0)*0.475*44/12</f>
        <v>4.1443191888728207E-12</v>
      </c>
      <c r="EY160" s="22">
        <f t="shared" si="181"/>
        <v>12.4607489138119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-5.6843418860808015E-14</v>
      </c>
      <c r="FF160" s="17">
        <f>FE160*VLOOKUP('Données projet'!$B$16,Paramètres!$A$1:$I$89,3,0)*VLOOKUP('Données projet'!$B$16,Paramètres!$A$1:$I$89,5,0)</f>
        <v>-4.1677594708744434E-14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525.22234644068908</v>
      </c>
      <c r="FK160" s="59">
        <f t="shared" si="156"/>
        <v>311.5550296132094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61.77344972877043</v>
      </c>
      <c r="FR160" s="21">
        <f>EXP(-LN(2)/25)*FR159+(1-EXP(-LN(2)/25))/(LN(2)/25)*Calculateur!FM160*Calculateur!FO160*VLOOKUP('Données projet'!$B$16,Paramètres!$A$1:$I$89,3,0)*0.475*44/12</f>
        <v>12.083594433498737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73.857044162269162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-1.7053025658242404E-13</v>
      </c>
      <c r="GA160" s="17">
        <f>FZ160*VLOOKUP('Données projet'!$B$17,Paramètres!$A$1:$I$89,3,0)*VLOOKUP('Données projet'!$B$17,Paramètres!$A$1:$I$89,5,0)</f>
        <v>-1.1173142411280423E-13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298.45881427802874</v>
      </c>
      <c r="GF160" s="59">
        <f t="shared" si="158"/>
        <v>287.00279305562356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15.032813694308313</v>
      </c>
      <c r="GM160" s="21">
        <f>EXP(-LN(2)/25)*GM159+(1-EXP(-LN(2)/25))/(LN(2)/25)*Calculateur!GH160*Calculateur!GJ160*VLOOKUP('Données projet'!$B$17,Paramètres!$A$1:$I$89,3,0)*0.475*44/12</f>
        <v>0.22403904591875534</v>
      </c>
      <c r="GN160" s="21">
        <f>EXP(-LN(2)/2)*GN159+(1-EXP(-LN(2)/2))/(LN(2)/2)*GH160*GK160*VLOOKUP('Données projet'!$B$17,Paramètres!$A$1:$I$89,3,0)*0.475*44/12</f>
        <v>8.8156536080053518E-11</v>
      </c>
      <c r="GO160" s="21">
        <f t="shared" si="187"/>
        <v>15.256852740315225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135.66666666666666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-7.9580786405131221E-13</v>
      </c>
      <c r="O161" s="13">
        <f>N161*VLOOKUP('Données projet'!$B$9,Paramètres!$A$1:$I$89,3,0)*VLOOKUP('Données projet'!$B$9,Paramètres!$A$1:$I$89,5,0)</f>
        <v>-7.2004695539362725E-13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600.52384738314299</v>
      </c>
      <c r="T161" s="59">
        <f t="shared" si="142"/>
        <v>314.84650287986256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168.58578455148847</v>
      </c>
      <c r="AA161" s="21">
        <f>EXP(-LN(2)/25)*AA160+(1-EXP(-LN(2)/25))/(LN(2)/25)*Calculateur!V161*Calculateur!X161*VLOOKUP('Données projet'!$B$9,Paramètres!$A$1:$I$89,3,0)*0.475*44/12</f>
        <v>27.570801022641461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196.15658557412993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-1.4897523215040567E-13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436.77894860279537</v>
      </c>
      <c r="AO161" s="59">
        <f t="shared" si="144"/>
        <v>398.63561969573072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37.881499381414194</v>
      </c>
      <c r="AV161" s="21">
        <f>EXP(-LN(2)/25)*AV160+(1-EXP(-LN(2)/25))/(LN(2)/25)*Calculateur!AQ161*Calculateur!AS161*VLOOKUP('Données projet'!$B$10,Paramètres!$A$1:$I$89,3,0)*0.475*44/12</f>
        <v>3.832472238422409</v>
      </c>
      <c r="AW161" s="21">
        <f>EXP(-LN(2)/2)*AW160+(1-EXP(-LN(2)/2))/(LN(2)/2)*AQ161*AT161*VLOOKUP('Données projet'!$B$10,Paramètres!$A$1:$I$89,3,0)*0.475*44/12</f>
        <v>8.5609042650360568E-20</v>
      </c>
      <c r="AX161" s="21">
        <f t="shared" si="166"/>
        <v>41.713971619836606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-1.3567387213697657E-13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344.97546176735341</v>
      </c>
      <c r="BJ161" s="59">
        <f t="shared" si="146"/>
        <v>331.15461126257492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22.058080527530535</v>
      </c>
      <c r="BQ161" s="21">
        <f>EXP(-LN(2)/25)*BQ160+(1-EXP(-LN(2)/25))/(LN(2)/25)*Calculateur!BL161*Calculateur!BN161*VLOOKUP('Données projet'!$B$11,Paramètres!$A$1:$I$89,3,0)*0.475*44/12</f>
        <v>0.32614506722623166</v>
      </c>
      <c r="BR161" s="21">
        <f>EXP(-LN(2)/2)*BR160+(1-EXP(-LN(2)/2))/(LN(2)/2)*BL161*BO161*VLOOKUP('Données projet'!$B$11,Paramètres!$A$1:$I$89,3,0)*0.475*44/12</f>
        <v>7.5693816854148644E-11</v>
      </c>
      <c r="BS161" s="22">
        <f t="shared" si="169"/>
        <v>22.384225594832461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-1.7053025658242404E-13</v>
      </c>
      <c r="BZ161" s="13">
        <f>BY161*VLOOKUP('Données projet'!$B$12,Paramètres!$A$1:$I$89,3,0)*VLOOKUP('Données projet'!$B$12,Paramètres!$A$1:$I$89,5,0)</f>
        <v>-1.3567387213697657E-13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344.97546176735341</v>
      </c>
      <c r="CE161" s="59">
        <f t="shared" si="148"/>
        <v>331.15461126257492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22.058080527530535</v>
      </c>
      <c r="CL161" s="21">
        <f>EXP(-LN(2)/25)*CL160+(1-EXP(-LN(2)/25))/(LN(2)/25)*Calculateur!CG161*Calculateur!CI161*VLOOKUP('Données projet'!$B$12,Paramètres!$A$1:$I$89,3,0)*0.475*44/12</f>
        <v>0.32614506722623166</v>
      </c>
      <c r="CM161" s="21">
        <f>EXP(-LN(2)/2)*CM160+(1-EXP(-LN(2)/2))/(LN(2)/2)*CG161*CJ161*VLOOKUP('Données projet'!$B$12,Paramètres!$A$1:$I$89,3,0)*0.475*44/12</f>
        <v>7.5693816854148644E-11</v>
      </c>
      <c r="CN161" s="22">
        <f t="shared" si="172"/>
        <v>22.384225594832461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227.19465047672969</v>
      </c>
      <c r="CZ161" s="59">
        <f t="shared" si="150"/>
        <v>529.77979244134417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7.8079830793340923</v>
      </c>
      <c r="DG161" s="21">
        <f>EXP(-LN(2)/25)*DG160+(1-EXP(-LN(2)/25))/(LN(2)/25)*Calculateur!DB161*Calculateur!DD161*VLOOKUP('Données projet'!$B$13,Paramètres!$A$1:$I$89,3,0)*0.475*44/12</f>
        <v>0.91112717514695851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8.7191102544810501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240.09151195692266</v>
      </c>
      <c r="DU161" s="59">
        <f t="shared" si="152"/>
        <v>559.47775134103165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8.3183087707938324</v>
      </c>
      <c r="EB161" s="21">
        <f>EXP(-LN(2)/25)*EB160+(1-EXP(-LN(2)/25))/(LN(2)/25)*Calculateur!DW161*Calculateur!DY161*VLOOKUP('Données projet'!$B$14,Paramètres!$A$1:$I$89,3,0)*0.475*44/12</f>
        <v>0.97067797090819818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9.2889867417020309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5.6843418860808015E-14</v>
      </c>
      <c r="EK161" s="17">
        <f>EJ161*VLOOKUP('Données projet'!$B$15,Paramètres!$A$1:$I$89,3,0)*VLOOKUP('Données projet'!$B$15,Paramètres!$A$1:$I$89,5,0)</f>
        <v>4.4337866711430253E-14</v>
      </c>
      <c r="EL161" s="13">
        <f t="shared" si="179"/>
        <v>7.3222115536967035E-13</v>
      </c>
      <c r="EM161" s="20">
        <f t="shared" si="180"/>
        <v>1.3525069634579169E-12</v>
      </c>
      <c r="EN161" s="59">
        <f t="shared" si="128"/>
        <v>284.55866349084459</v>
      </c>
      <c r="EO161" s="59">
        <f ca="1">AVERAGE(OFFSET($EN$3,0,0,'Données projet'!$E$15+1,1))-AVERAGE(OFFSET($H$3,0,0,'Données projet'!$E$15+1,1))</f>
        <v>328.79469965518484</v>
      </c>
      <c r="EP161" s="59">
        <f t="shared" si="154"/>
        <v>322.06400652269735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11.403412477334109</v>
      </c>
      <c r="EW161" s="21">
        <f>EXP(-LN(2)/25)*EW160+(1-EXP(-LN(2)/25))/(LN(2)/25)*Calculateur!ER161*Calculateur!ET161*VLOOKUP('Données projet'!$B$15,Paramètres!$A$1:$I$89,3,0)*0.475*44/12</f>
        <v>0.80657395371318896</v>
      </c>
      <c r="EX161" s="21">
        <f>EXP(-LN(2)/2)*EX160+(1-EXP(-LN(2)/2))/(LN(2)/2)*ER161*EU161*VLOOKUP('Données projet'!$B$15,Paramètres!$A$1:$I$89,3,0)*0.475*44/12</f>
        <v>2.9304762018535038E-12</v>
      </c>
      <c r="EY161" s="22">
        <f t="shared" si="181"/>
        <v>12.209986431050229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-5.6843418860808015E-14</v>
      </c>
      <c r="FF161" s="17">
        <f>FE161*VLOOKUP('Données projet'!$B$16,Paramètres!$A$1:$I$89,3,0)*VLOOKUP('Données projet'!$B$16,Paramètres!$A$1:$I$89,5,0)</f>
        <v>-4.1677594708744434E-14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525.22234644068908</v>
      </c>
      <c r="FK161" s="59">
        <f t="shared" si="156"/>
        <v>311.5550296132094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60.562110057673173</v>
      </c>
      <c r="FR161" s="21">
        <f>EXP(-LN(2)/25)*FR160+(1-EXP(-LN(2)/25))/(LN(2)/25)*Calculateur!FM161*Calculateur!FO161*VLOOKUP('Données projet'!$B$16,Paramètres!$A$1:$I$89,3,0)*0.475*44/12</f>
        <v>11.7531679082661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72.315277965939273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-1.7053025658242404E-13</v>
      </c>
      <c r="GA161" s="17">
        <f>FZ161*VLOOKUP('Données projet'!$B$17,Paramètres!$A$1:$I$89,3,0)*VLOOKUP('Données projet'!$B$17,Paramètres!$A$1:$I$89,5,0)</f>
        <v>-1.1173142411280423E-13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298.45881427802874</v>
      </c>
      <c r="GF161" s="59">
        <f t="shared" si="158"/>
        <v>287.00279305562356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14.738029386873906</v>
      </c>
      <c r="GM161" s="21">
        <f>EXP(-LN(2)/25)*GM160+(1-EXP(-LN(2)/25))/(LN(2)/25)*Calculateur!GH161*Calculateur!GJ161*VLOOKUP('Données projet'!$B$17,Paramètres!$A$1:$I$89,3,0)*0.475*44/12</f>
        <v>0.2179126864264056</v>
      </c>
      <c r="GN161" s="21">
        <f>EXP(-LN(2)/2)*GN160+(1-EXP(-LN(2)/2))/(LN(2)/2)*GH161*GK161*VLOOKUP('Données projet'!$B$17,Paramètres!$A$1:$I$89,3,0)*0.475*44/12</f>
        <v>6.2336084468122385E-11</v>
      </c>
      <c r="GO161" s="21">
        <f t="shared" si="187"/>
        <v>14.955942073362648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135.66666666666666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-7.9580786405131221E-13</v>
      </c>
      <c r="O162" s="13">
        <f>N162*VLOOKUP('Données projet'!$B$9,Paramètres!$A$1:$I$89,3,0)*VLOOKUP('Données projet'!$B$9,Paramètres!$A$1:$I$89,5,0)</f>
        <v>-7.2004695539362725E-13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600.52384738314299</v>
      </c>
      <c r="T162" s="59">
        <f t="shared" si="142"/>
        <v>314.84650287986256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165.27992014360902</v>
      </c>
      <c r="AA162" s="21">
        <f>EXP(-LN(2)/25)*AA161+(1-EXP(-LN(2)/25))/(LN(2)/25)*Calculateur!V162*Calculateur!X162*VLOOKUP('Données projet'!$B$9,Paramètres!$A$1:$I$89,3,0)*0.475*44/12</f>
        <v>26.81687601879192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192.09679616240095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-1.4897523215040567E-13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436.77894860279537</v>
      </c>
      <c r="AO162" s="59">
        <f t="shared" si="144"/>
        <v>398.63561969573072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37.138666283977813</v>
      </c>
      <c r="AV162" s="21">
        <f>EXP(-LN(2)/25)*AV161+(1-EXP(-LN(2)/25))/(LN(2)/25)*Calculateur!AQ162*Calculateur!AS162*VLOOKUP('Données projet'!$B$10,Paramètres!$A$1:$I$89,3,0)*0.475*44/12</f>
        <v>3.7276730835217924</v>
      </c>
      <c r="AW162" s="21">
        <f>EXP(-LN(2)/2)*AW161+(1-EXP(-LN(2)/2))/(LN(2)/2)*AQ162*AT162*VLOOKUP('Données projet'!$B$10,Paramètres!$A$1:$I$89,3,0)*0.475*44/12</f>
        <v>6.0534734588958324E-20</v>
      </c>
      <c r="AX162" s="21">
        <f t="shared" si="166"/>
        <v>40.866339367499606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-1.3567387213697657E-13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344.97546176735341</v>
      </c>
      <c r="BJ162" s="59">
        <f t="shared" si="146"/>
        <v>331.15461126257492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21.6255350224863</v>
      </c>
      <c r="BQ162" s="21">
        <f>EXP(-LN(2)/25)*BQ161+(1-EXP(-LN(2)/25))/(LN(2)/25)*Calculateur!BL162*Calculateur!BN162*VLOOKUP('Données projet'!$B$11,Paramètres!$A$1:$I$89,3,0)*0.475*44/12</f>
        <v>0.3172266132117067</v>
      </c>
      <c r="BR162" s="21">
        <f>EXP(-LN(2)/2)*BR161+(1-EXP(-LN(2)/2))/(LN(2)/2)*BL162*BO162*VLOOKUP('Données projet'!$B$11,Paramètres!$A$1:$I$89,3,0)*0.475*44/12</f>
        <v>5.3523611191461089E-11</v>
      </c>
      <c r="BS162" s="22">
        <f t="shared" si="169"/>
        <v>21.94276163575153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-1.7053025658242404E-13</v>
      </c>
      <c r="BZ162" s="13">
        <f>BY162*VLOOKUP('Données projet'!$B$12,Paramètres!$A$1:$I$89,3,0)*VLOOKUP('Données projet'!$B$12,Paramètres!$A$1:$I$89,5,0)</f>
        <v>-1.3567387213697657E-13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344.97546176735341</v>
      </c>
      <c r="CE162" s="59">
        <f t="shared" si="148"/>
        <v>331.15461126257492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21.6255350224863</v>
      </c>
      <c r="CL162" s="21">
        <f>EXP(-LN(2)/25)*CL161+(1-EXP(-LN(2)/25))/(LN(2)/25)*Calculateur!CG162*Calculateur!CI162*VLOOKUP('Données projet'!$B$12,Paramètres!$A$1:$I$89,3,0)*0.475*44/12</f>
        <v>0.3172266132117067</v>
      </c>
      <c r="CM162" s="21">
        <f>EXP(-LN(2)/2)*CM161+(1-EXP(-LN(2)/2))/(LN(2)/2)*CG162*CJ162*VLOOKUP('Données projet'!$B$12,Paramètres!$A$1:$I$89,3,0)*0.475*44/12</f>
        <v>5.3523611191461089E-11</v>
      </c>
      <c r="CN162" s="22">
        <f t="shared" si="172"/>
        <v>21.94276163575153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227.19465047672969</v>
      </c>
      <c r="CZ162" s="59">
        <f t="shared" si="150"/>
        <v>529.77979244134417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7.654873293547781</v>
      </c>
      <c r="DG162" s="21">
        <f>EXP(-LN(2)/25)*DG161+(1-EXP(-LN(2)/25))/(LN(2)/25)*Calculateur!DB162*Calculateur!DD162*VLOOKUP('Données projet'!$B$13,Paramètres!$A$1:$I$89,3,0)*0.475*44/12</f>
        <v>0.88621235462846915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8.5410856481762494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240.09151195692266</v>
      </c>
      <c r="DU162" s="59">
        <f t="shared" si="152"/>
        <v>559.47775134103165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8.1551918094659328</v>
      </c>
      <c r="EB162" s="21">
        <f>EXP(-LN(2)/25)*EB161+(1-EXP(-LN(2)/25))/(LN(2)/25)*Calculateur!DW162*Calculateur!DY162*VLOOKUP('Données projet'!$B$14,Paramètres!$A$1:$I$89,3,0)*0.475*44/12</f>
        <v>0.94413473074797749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9.0993265402139105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5.6843418860808015E-14</v>
      </c>
      <c r="EK162" s="17">
        <f>EJ162*VLOOKUP('Données projet'!$B$15,Paramètres!$A$1:$I$89,3,0)*VLOOKUP('Données projet'!$B$15,Paramètres!$A$1:$I$89,5,0)</f>
        <v>4.4337866711430253E-14</v>
      </c>
      <c r="EL162" s="13">
        <f t="shared" si="179"/>
        <v>7.3222115536967035E-13</v>
      </c>
      <c r="EM162" s="20">
        <f t="shared" si="180"/>
        <v>1.3525069634579169E-12</v>
      </c>
      <c r="EN162" s="59">
        <f t="shared" si="128"/>
        <v>284.71088439538897</v>
      </c>
      <c r="EO162" s="59">
        <f ca="1">AVERAGE(OFFSET($EN$3,0,0,'Données projet'!$E$15+1,1))-AVERAGE(OFFSET($H$3,0,0,'Données projet'!$E$15+1,1))</f>
        <v>328.79469965518484</v>
      </c>
      <c r="EP162" s="59">
        <f t="shared" si="154"/>
        <v>322.06400652269735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11.179798514048411</v>
      </c>
      <c r="EW162" s="21">
        <f>EXP(-LN(2)/25)*EW161+(1-EXP(-LN(2)/25))/(LN(2)/25)*Calculateur!ER162*Calculateur!ET162*VLOOKUP('Données projet'!$B$15,Paramètres!$A$1:$I$89,3,0)*0.475*44/12</f>
        <v>0.78451814653302099</v>
      </c>
      <c r="EX162" s="21">
        <f>EXP(-LN(2)/2)*EX161+(1-EXP(-LN(2)/2))/(LN(2)/2)*ER162*EU162*VLOOKUP('Données projet'!$B$15,Paramètres!$A$1:$I$89,3,0)*0.475*44/12</f>
        <v>2.0721595944364104E-12</v>
      </c>
      <c r="EY162" s="22">
        <f t="shared" si="181"/>
        <v>11.964316660583505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-5.6843418860808015E-14</v>
      </c>
      <c r="FF162" s="17">
        <f>FE162*VLOOKUP('Données projet'!$B$16,Paramètres!$A$1:$I$89,3,0)*VLOOKUP('Données projet'!$B$16,Paramètres!$A$1:$I$89,5,0)</f>
        <v>-4.1677594708744434E-14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525.22234644068908</v>
      </c>
      <c r="FK162" s="59">
        <f t="shared" si="156"/>
        <v>311.5550296132094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59.374524018681889</v>
      </c>
      <c r="FR162" s="21">
        <f>EXP(-LN(2)/25)*FR161+(1-EXP(-LN(2)/25))/(LN(2)/25)*Calculateur!FM162*Calculateur!FO162*VLOOKUP('Données projet'!$B$16,Paramètres!$A$1:$I$89,3,0)*0.475*44/12</f>
        <v>11.431776913742326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70.806300932424222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-1.7053025658242404E-13</v>
      </c>
      <c r="GA162" s="17">
        <f>FZ162*VLOOKUP('Données projet'!$B$17,Paramètres!$A$1:$I$89,3,0)*VLOOKUP('Données projet'!$B$17,Paramètres!$A$1:$I$89,5,0)</f>
        <v>-1.1173142411280423E-13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298.45881427802874</v>
      </c>
      <c r="GF162" s="59">
        <f t="shared" si="158"/>
        <v>287.00279305562356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14.449025619907614</v>
      </c>
      <c r="GM162" s="21">
        <f>EXP(-LN(2)/25)*GM161+(1-EXP(-LN(2)/25))/(LN(2)/25)*Calculateur!GH162*Calculateur!GJ162*VLOOKUP('Données projet'!$B$17,Paramètres!$A$1:$I$89,3,0)*0.475*44/12</f>
        <v>0.21195385255654542</v>
      </c>
      <c r="GN162" s="21">
        <f>EXP(-LN(2)/2)*GN161+(1-EXP(-LN(2)/2))/(LN(2)/2)*GH162*GK162*VLOOKUP('Données projet'!$B$17,Paramètres!$A$1:$I$89,3,0)*0.475*44/12</f>
        <v>4.4078268040026759E-11</v>
      </c>
      <c r="GO162" s="21">
        <f t="shared" si="187"/>
        <v>14.660979472508238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135.66666666666666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-7.9580786405131221E-13</v>
      </c>
      <c r="O163" s="13">
        <f>N163*VLOOKUP('Données projet'!$B$9,Paramètres!$A$1:$I$89,3,0)*VLOOKUP('Données projet'!$B$9,Paramètres!$A$1:$I$89,5,0)</f>
        <v>-7.2004695539362725E-13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600.52384738314299</v>
      </c>
      <c r="T163" s="59">
        <f t="shared" si="142"/>
        <v>314.84650287986256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162.0388817203899</v>
      </c>
      <c r="AA163" s="21">
        <f>EXP(-LN(2)/25)*AA162+(1-EXP(-LN(2)/25))/(LN(2)/25)*Calculateur!V163*Calculateur!X163*VLOOKUP('Données projet'!$B$9,Paramètres!$A$1:$I$89,3,0)*0.475*44/12</f>
        <v>26.083567133819837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188.12244885420972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-1.4897523215040567E-13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436.77894860279537</v>
      </c>
      <c r="AO163" s="59">
        <f t="shared" si="144"/>
        <v>398.63561969573072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36.410399690498707</v>
      </c>
      <c r="AV163" s="21">
        <f>EXP(-LN(2)/25)*AV162+(1-EXP(-LN(2)/25))/(LN(2)/25)*Calculateur!AQ163*Calculateur!AS163*VLOOKUP('Données projet'!$B$10,Paramètres!$A$1:$I$89,3,0)*0.475*44/12</f>
        <v>3.625739667023081</v>
      </c>
      <c r="AW163" s="21">
        <f>EXP(-LN(2)/2)*AW162+(1-EXP(-LN(2)/2))/(LN(2)/2)*AQ163*AT163*VLOOKUP('Données projet'!$B$10,Paramètres!$A$1:$I$89,3,0)*0.475*44/12</f>
        <v>4.2804521325180284E-20</v>
      </c>
      <c r="AX163" s="21">
        <f t="shared" si="166"/>
        <v>40.03613935752179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-1.3567387213697657E-13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344.97546176735341</v>
      </c>
      <c r="BJ163" s="59">
        <f t="shared" si="146"/>
        <v>331.15461126257492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21.201471470969278</v>
      </c>
      <c r="BQ163" s="21">
        <f>EXP(-LN(2)/25)*BQ162+(1-EXP(-LN(2)/25))/(LN(2)/25)*Calculateur!BL163*Calculateur!BN163*VLOOKUP('Données projet'!$B$11,Paramètres!$A$1:$I$89,3,0)*0.475*44/12</f>
        <v>0.30855203479121002</v>
      </c>
      <c r="BR163" s="21">
        <f>EXP(-LN(2)/2)*BR162+(1-EXP(-LN(2)/2))/(LN(2)/2)*BL163*BO163*VLOOKUP('Données projet'!$B$11,Paramètres!$A$1:$I$89,3,0)*0.475*44/12</f>
        <v>3.7846908427074322E-11</v>
      </c>
      <c r="BS163" s="22">
        <f t="shared" si="169"/>
        <v>21.510023505798333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-1.7053025658242404E-13</v>
      </c>
      <c r="BZ163" s="13">
        <f>BY163*VLOOKUP('Données projet'!$B$12,Paramètres!$A$1:$I$89,3,0)*VLOOKUP('Données projet'!$B$12,Paramètres!$A$1:$I$89,5,0)</f>
        <v>-1.3567387213697657E-13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344.97546176735341</v>
      </c>
      <c r="CE163" s="59">
        <f t="shared" si="148"/>
        <v>331.15461126257492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21.201471470969278</v>
      </c>
      <c r="CL163" s="21">
        <f>EXP(-LN(2)/25)*CL162+(1-EXP(-LN(2)/25))/(LN(2)/25)*Calculateur!CG163*Calculateur!CI163*VLOOKUP('Données projet'!$B$12,Paramètres!$A$1:$I$89,3,0)*0.475*44/12</f>
        <v>0.30855203479121002</v>
      </c>
      <c r="CM163" s="21">
        <f>EXP(-LN(2)/2)*CM162+(1-EXP(-LN(2)/2))/(LN(2)/2)*CG163*CJ163*VLOOKUP('Données projet'!$B$12,Paramètres!$A$1:$I$89,3,0)*0.475*44/12</f>
        <v>3.7846908427074322E-11</v>
      </c>
      <c r="CN163" s="22">
        <f t="shared" si="172"/>
        <v>21.510023505798333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227.19465047672969</v>
      </c>
      <c r="CZ163" s="59">
        <f t="shared" si="150"/>
        <v>529.77979244134417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7.5047658972729918</v>
      </c>
      <c r="DG163" s="21">
        <f>EXP(-LN(2)/25)*DG162+(1-EXP(-LN(2)/25))/(LN(2)/25)*Calculateur!DB163*Calculateur!DD163*VLOOKUP('Données projet'!$B$13,Paramètres!$A$1:$I$89,3,0)*0.475*44/12</f>
        <v>0.86197883118727137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8.3667447284602634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240.09151195692266</v>
      </c>
      <c r="DU163" s="59">
        <f t="shared" si="152"/>
        <v>559.47775134103165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7.9952734722581509</v>
      </c>
      <c r="EB163" s="21">
        <f>EXP(-LN(2)/25)*EB162+(1-EXP(-LN(2)/25))/(LN(2)/25)*Calculateur!DW163*Calculateur!DY163*VLOOKUP('Données projet'!$B$14,Paramètres!$A$1:$I$89,3,0)*0.475*44/12</f>
        <v>0.91831731688578644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8.913590789143937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5.6843418860808015E-14</v>
      </c>
      <c r="EK163" s="17">
        <f>EJ163*VLOOKUP('Données projet'!$B$15,Paramètres!$A$1:$I$89,3,0)*VLOOKUP('Données projet'!$B$15,Paramètres!$A$1:$I$89,5,0)</f>
        <v>4.4337866711430253E-14</v>
      </c>
      <c r="EL163" s="13">
        <f t="shared" si="179"/>
        <v>7.3222115536967035E-13</v>
      </c>
      <c r="EM163" s="20">
        <f t="shared" si="180"/>
        <v>1.3525069634579169E-12</v>
      </c>
      <c r="EN163" s="59">
        <f t="shared" si="128"/>
        <v>284.86046460755432</v>
      </c>
      <c r="EO163" s="59">
        <f ca="1">AVERAGE(OFFSET($EN$3,0,0,'Données projet'!$E$15+1,1))-AVERAGE(OFFSET($H$3,0,0,'Données projet'!$E$15+1,1))</f>
        <v>328.79469965518484</v>
      </c>
      <c r="EP163" s="59">
        <f t="shared" si="154"/>
        <v>322.06400652269735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10.960569484191694</v>
      </c>
      <c r="EW163" s="21">
        <f>EXP(-LN(2)/25)*EW162+(1-EXP(-LN(2)/25))/(LN(2)/25)*Calculateur!ER163*Calculateur!ET163*VLOOKUP('Données projet'!$B$15,Paramètres!$A$1:$I$89,3,0)*0.475*44/12</f>
        <v>0.7630654565600592</v>
      </c>
      <c r="EX163" s="21">
        <f>EXP(-LN(2)/2)*EX162+(1-EXP(-LN(2)/2))/(LN(2)/2)*ER163*EU163*VLOOKUP('Données projet'!$B$15,Paramètres!$A$1:$I$89,3,0)*0.475*44/12</f>
        <v>1.4652381009267519E-12</v>
      </c>
      <c r="EY163" s="22">
        <f t="shared" si="181"/>
        <v>11.72363494075322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-5.6843418860808015E-14</v>
      </c>
      <c r="FF163" s="17">
        <f>FE163*VLOOKUP('Données projet'!$B$16,Paramètres!$A$1:$I$89,3,0)*VLOOKUP('Données projet'!$B$16,Paramètres!$A$1:$I$89,5,0)</f>
        <v>-4.1677594708744434E-14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525.22234644068908</v>
      </c>
      <c r="FK163" s="59">
        <f t="shared" si="156"/>
        <v>311.5550296132094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58.210225817559262</v>
      </c>
      <c r="FR163" s="21">
        <f>EXP(-LN(2)/25)*FR162+(1-EXP(-LN(2)/25))/(LN(2)/25)*Calculateur!FM163*Calculateur!FO163*VLOOKUP('Données projet'!$B$16,Paramètres!$A$1:$I$89,3,0)*0.475*44/12</f>
        <v>11.119174372865022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69.32940019042428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-1.7053025658242404E-13</v>
      </c>
      <c r="GA163" s="17">
        <f>FZ163*VLOOKUP('Données projet'!$B$17,Paramètres!$A$1:$I$89,3,0)*VLOOKUP('Données projet'!$B$17,Paramètres!$A$1:$I$89,5,0)</f>
        <v>-1.1173142411280423E-13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298.45881427802874</v>
      </c>
      <c r="GF163" s="59">
        <f t="shared" si="158"/>
        <v>287.00279305562356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14.165689040536639</v>
      </c>
      <c r="GM163" s="21">
        <f>EXP(-LN(2)/25)*GM162+(1-EXP(-LN(2)/25))/(LN(2)/25)*Calculateur!GH163*Calculateur!GJ163*VLOOKUP('Données projet'!$B$17,Paramètres!$A$1:$I$89,3,0)*0.475*44/12</f>
        <v>0.206157963312218</v>
      </c>
      <c r="GN163" s="21">
        <f>EXP(-LN(2)/2)*GN162+(1-EXP(-LN(2)/2))/(LN(2)/2)*GH163*GK163*VLOOKUP('Données projet'!$B$17,Paramètres!$A$1:$I$89,3,0)*0.475*44/12</f>
        <v>3.1168042234061192E-11</v>
      </c>
      <c r="GO163" s="21">
        <f t="shared" si="187"/>
        <v>14.371847003880026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135.66666666666666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-7.9580786405131221E-13</v>
      </c>
      <c r="O164" s="13">
        <f>N164*VLOOKUP('Données projet'!$B$9,Paramètres!$A$1:$I$89,3,0)*VLOOKUP('Données projet'!$B$9,Paramètres!$A$1:$I$89,5,0)</f>
        <v>-7.2004695539362725E-13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600.52384738314299</v>
      </c>
      <c r="T164" s="59">
        <f t="shared" si="142"/>
        <v>314.84650287986256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158.86139808381185</v>
      </c>
      <c r="AA164" s="21">
        <f>EXP(-LN(2)/25)*AA163+(1-EXP(-LN(2)/25))/(LN(2)/25)*Calculateur!V164*Calculateur!X164*VLOOKUP('Données projet'!$B$9,Paramètres!$A$1:$I$89,3,0)*0.475*44/12</f>
        <v>25.370310618870352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184.2317087026822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-1.4897523215040567E-13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436.77894860279537</v>
      </c>
      <c r="AO164" s="59">
        <f t="shared" si="144"/>
        <v>398.63561969573072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35.696413960718964</v>
      </c>
      <c r="AV164" s="21">
        <f>EXP(-LN(2)/25)*AV163+(1-EXP(-LN(2)/25))/(LN(2)/25)*Calculateur!AQ164*Calculateur!AS164*VLOOKUP('Données projet'!$B$10,Paramètres!$A$1:$I$89,3,0)*0.475*44/12</f>
        <v>3.5265936251589727</v>
      </c>
      <c r="AW164" s="21">
        <f>EXP(-LN(2)/2)*AW163+(1-EXP(-LN(2)/2))/(LN(2)/2)*AQ164*AT164*VLOOKUP('Données projet'!$B$10,Paramètres!$A$1:$I$89,3,0)*0.475*44/12</f>
        <v>3.0267367294479162E-20</v>
      </c>
      <c r="AX164" s="21">
        <f t="shared" si="166"/>
        <v>39.223007585877937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-1.3567387213697657E-13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344.97546176735341</v>
      </c>
      <c r="BJ164" s="59">
        <f t="shared" si="146"/>
        <v>331.15461126257492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20.785723547044277</v>
      </c>
      <c r="BQ164" s="21">
        <f>EXP(-LN(2)/25)*BQ163+(1-EXP(-LN(2)/25))/(LN(2)/25)*Calculateur!BL164*Calculateur!BN164*VLOOKUP('Données projet'!$B$11,Paramètres!$A$1:$I$89,3,0)*0.475*44/12</f>
        <v>0.30011466317379809</v>
      </c>
      <c r="BR164" s="21">
        <f>EXP(-LN(2)/2)*BR163+(1-EXP(-LN(2)/2))/(LN(2)/2)*BL164*BO164*VLOOKUP('Données projet'!$B$11,Paramètres!$A$1:$I$89,3,0)*0.475*44/12</f>
        <v>2.6761805595730545E-11</v>
      </c>
      <c r="BS164" s="22">
        <f t="shared" si="169"/>
        <v>21.085838210244837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-1.7053025658242404E-13</v>
      </c>
      <c r="BZ164" s="13">
        <f>BY164*VLOOKUP('Données projet'!$B$12,Paramètres!$A$1:$I$89,3,0)*VLOOKUP('Données projet'!$B$12,Paramètres!$A$1:$I$89,5,0)</f>
        <v>-1.3567387213697657E-13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344.97546176735341</v>
      </c>
      <c r="CE164" s="59">
        <f t="shared" si="148"/>
        <v>331.15461126257492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20.785723547044277</v>
      </c>
      <c r="CL164" s="21">
        <f>EXP(-LN(2)/25)*CL163+(1-EXP(-LN(2)/25))/(LN(2)/25)*Calculateur!CG164*Calculateur!CI164*VLOOKUP('Données projet'!$B$12,Paramètres!$A$1:$I$89,3,0)*0.475*44/12</f>
        <v>0.30011466317379809</v>
      </c>
      <c r="CM164" s="21">
        <f>EXP(-LN(2)/2)*CM163+(1-EXP(-LN(2)/2))/(LN(2)/2)*CG164*CJ164*VLOOKUP('Données projet'!$B$12,Paramètres!$A$1:$I$89,3,0)*0.475*44/12</f>
        <v>2.6761805595730545E-11</v>
      </c>
      <c r="CN164" s="22">
        <f t="shared" si="172"/>
        <v>21.085838210244837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227.19465047672969</v>
      </c>
      <c r="CZ164" s="59">
        <f t="shared" si="150"/>
        <v>529.77979244134417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7.35760201548268</v>
      </c>
      <c r="DG164" s="21">
        <f>EXP(-LN(2)/25)*DG163+(1-EXP(-LN(2)/25))/(LN(2)/25)*Calculateur!DB164*Calculateur!DD164*VLOOKUP('Données projet'!$B$13,Paramètres!$A$1:$I$89,3,0)*0.475*44/12</f>
        <v>0.83840797471895878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8.1960099902016381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240.09151195692266</v>
      </c>
      <c r="DU164" s="59">
        <f t="shared" si="152"/>
        <v>559.47775134103165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7.8384910361024591</v>
      </c>
      <c r="EB164" s="21">
        <f>EXP(-LN(2)/25)*EB163+(1-EXP(-LN(2)/25))/(LN(2)/25)*Calculateur!DW164*Calculateur!DY164*VLOOKUP('Données projet'!$B$14,Paramètres!$A$1:$I$89,3,0)*0.475*44/12</f>
        <v>0.8932058815633358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8.7316969176657953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5.6843418860808015E-14</v>
      </c>
      <c r="EK164" s="17">
        <f>EJ164*VLOOKUP('Données projet'!$B$15,Paramètres!$A$1:$I$89,3,0)*VLOOKUP('Données projet'!$B$15,Paramètres!$A$1:$I$89,5,0)</f>
        <v>4.4337866711430253E-14</v>
      </c>
      <c r="EL164" s="13">
        <f t="shared" si="179"/>
        <v>7.3222115536967035E-13</v>
      </c>
      <c r="EM164" s="20">
        <f t="shared" si="180"/>
        <v>1.3525069634579169E-12</v>
      </c>
      <c r="EN164" s="59">
        <f t="shared" si="128"/>
        <v>285.00744993744996</v>
      </c>
      <c r="EO164" s="59">
        <f ca="1">AVERAGE(OFFSET($EN$3,0,0,'Données projet'!$E$15+1,1))-AVERAGE(OFFSET($H$3,0,0,'Données projet'!$E$15+1,1))</f>
        <v>328.79469965518484</v>
      </c>
      <c r="EP164" s="59">
        <f t="shared" si="154"/>
        <v>322.06400652269735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10.745639401893964</v>
      </c>
      <c r="EW164" s="21">
        <f>EXP(-LN(2)/25)*EW163+(1-EXP(-LN(2)/25))/(LN(2)/25)*Calculateur!ER164*Calculateur!ET164*VLOOKUP('Données projet'!$B$15,Paramètres!$A$1:$I$89,3,0)*0.475*44/12</f>
        <v>0.74219939152255598</v>
      </c>
      <c r="EX164" s="21">
        <f>EXP(-LN(2)/2)*EX163+(1-EXP(-LN(2)/2))/(LN(2)/2)*ER164*EU164*VLOOKUP('Données projet'!$B$15,Paramètres!$A$1:$I$89,3,0)*0.475*44/12</f>
        <v>1.0360797972182052E-12</v>
      </c>
      <c r="EY164" s="22">
        <f t="shared" si="181"/>
        <v>11.487838793417556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-5.6843418860808015E-14</v>
      </c>
      <c r="FF164" s="17">
        <f>FE164*VLOOKUP('Données projet'!$B$16,Paramètres!$A$1:$I$89,3,0)*VLOOKUP('Données projet'!$B$16,Paramètres!$A$1:$I$89,5,0)</f>
        <v>-4.1677594708744434E-14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525.22234644068908</v>
      </c>
      <c r="FK164" s="59">
        <f t="shared" si="156"/>
        <v>311.5550296132094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57.068758794008872</v>
      </c>
      <c r="FR164" s="21">
        <f>EXP(-LN(2)/25)*FR163+(1-EXP(-LN(2)/25))/(LN(2)/25)*Calculateur!FM164*Calculateur!FO164*VLOOKUP('Données projet'!$B$16,Paramètres!$A$1:$I$89,3,0)*0.475*44/12</f>
        <v>10.81511996490706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67.883878758915927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-1.7053025658242404E-13</v>
      </c>
      <c r="GA164" s="17">
        <f>FZ164*VLOOKUP('Données projet'!$B$17,Paramètres!$A$1:$I$89,3,0)*VLOOKUP('Données projet'!$B$17,Paramètres!$A$1:$I$89,5,0)</f>
        <v>-1.1173142411280423E-13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298.45881427802874</v>
      </c>
      <c r="GF164" s="59">
        <f t="shared" si="158"/>
        <v>287.00279305562356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13.88790851866888</v>
      </c>
      <c r="GM164" s="21">
        <f>EXP(-LN(2)/25)*GM163+(1-EXP(-LN(2)/25))/(LN(2)/25)*Calculateur!GH164*Calculateur!GJ164*VLOOKUP('Données projet'!$B$17,Paramètres!$A$1:$I$89,3,0)*0.475*44/12</f>
        <v>0.20052056296406928</v>
      </c>
      <c r="GN164" s="21">
        <f>EXP(-LN(2)/2)*GN163+(1-EXP(-LN(2)/2))/(LN(2)/2)*GH164*GK164*VLOOKUP('Données projet'!$B$17,Paramètres!$A$1:$I$89,3,0)*0.475*44/12</f>
        <v>2.203913402001338E-11</v>
      </c>
      <c r="GO164" s="21">
        <f t="shared" si="187"/>
        <v>14.088429081654988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135.66666666666666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-7.9580786405131221E-13</v>
      </c>
      <c r="O165" s="13">
        <f>N165*VLOOKUP('Données projet'!$B$9,Paramètres!$A$1:$I$89,3,0)*VLOOKUP('Données projet'!$B$9,Paramètres!$A$1:$I$89,5,0)</f>
        <v>-7.2004695539362725E-13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600.52384738314299</v>
      </c>
      <c r="T165" s="59">
        <f t="shared" si="142"/>
        <v>314.84650287986256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155.74622296327345</v>
      </c>
      <c r="AA165" s="21">
        <f>EXP(-LN(2)/25)*AA164+(1-EXP(-LN(2)/25))/(LN(2)/25)*Calculateur!V165*Calculateur!X165*VLOOKUP('Données projet'!$B$9,Paramètres!$A$1:$I$89,3,0)*0.475*44/12</f>
        <v>24.676558140830693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180.42278110410416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-1.4897523215040567E-13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436.77894860279537</v>
      </c>
      <c r="AO165" s="59">
        <f t="shared" si="144"/>
        <v>398.63561969573072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34.996429055611912</v>
      </c>
      <c r="AV165" s="21">
        <f>EXP(-LN(2)/25)*AV164+(1-EXP(-LN(2)/25))/(LN(2)/25)*Calculateur!AQ165*Calculateur!AS165*VLOOKUP('Données projet'!$B$10,Paramètres!$A$1:$I$89,3,0)*0.475*44/12</f>
        <v>3.4301587370235018</v>
      </c>
      <c r="AW165" s="21">
        <f>EXP(-LN(2)/2)*AW164+(1-EXP(-LN(2)/2))/(LN(2)/2)*AQ165*AT165*VLOOKUP('Données projet'!$B$10,Paramètres!$A$1:$I$89,3,0)*0.475*44/12</f>
        <v>2.1402260662590142E-20</v>
      </c>
      <c r="AX165" s="21">
        <f t="shared" si="166"/>
        <v>38.426587792635416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-1.3567387213697657E-13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344.97546176735341</v>
      </c>
      <c r="BJ165" s="59">
        <f t="shared" si="146"/>
        <v>331.15461126257492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20.378128186326251</v>
      </c>
      <c r="BQ165" s="21">
        <f>EXP(-LN(2)/25)*BQ164+(1-EXP(-LN(2)/25))/(LN(2)/25)*Calculateur!BL165*Calculateur!BN165*VLOOKUP('Données projet'!$B$11,Paramètres!$A$1:$I$89,3,0)*0.475*44/12</f>
        <v>0.29190801192696636</v>
      </c>
      <c r="BR165" s="21">
        <f>EXP(-LN(2)/2)*BR164+(1-EXP(-LN(2)/2))/(LN(2)/2)*BL165*BO165*VLOOKUP('Données projet'!$B$11,Paramètres!$A$1:$I$89,3,0)*0.475*44/12</f>
        <v>1.8923454213537161E-11</v>
      </c>
      <c r="BS165" s="22">
        <f t="shared" si="169"/>
        <v>20.67003619827214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-1.7053025658242404E-13</v>
      </c>
      <c r="BZ165" s="13">
        <f>BY165*VLOOKUP('Données projet'!$B$12,Paramètres!$A$1:$I$89,3,0)*VLOOKUP('Données projet'!$B$12,Paramètres!$A$1:$I$89,5,0)</f>
        <v>-1.3567387213697657E-13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344.97546176735341</v>
      </c>
      <c r="CE165" s="59">
        <f t="shared" si="148"/>
        <v>331.15461126257492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20.378128186326251</v>
      </c>
      <c r="CL165" s="21">
        <f>EXP(-LN(2)/25)*CL164+(1-EXP(-LN(2)/25))/(LN(2)/25)*Calculateur!CG165*Calculateur!CI165*VLOOKUP('Données projet'!$B$12,Paramètres!$A$1:$I$89,3,0)*0.475*44/12</f>
        <v>0.29190801192696636</v>
      </c>
      <c r="CM165" s="21">
        <f>EXP(-LN(2)/2)*CM164+(1-EXP(-LN(2)/2))/(LN(2)/2)*CG165*CJ165*VLOOKUP('Données projet'!$B$12,Paramètres!$A$1:$I$89,3,0)*0.475*44/12</f>
        <v>1.8923454213537161E-11</v>
      </c>
      <c r="CN165" s="22">
        <f t="shared" si="172"/>
        <v>20.67003619827214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227.19465047672969</v>
      </c>
      <c r="CZ165" s="59">
        <f t="shared" si="150"/>
        <v>529.77979244134417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7.2133239276531711</v>
      </c>
      <c r="DG165" s="21">
        <f>EXP(-LN(2)/25)*DG164+(1-EXP(-LN(2)/25))/(LN(2)/25)*Calculateur!DB165*Calculateur!DD165*VLOOKUP('Données projet'!$B$13,Paramètres!$A$1:$I$89,3,0)*0.475*44/12</f>
        <v>0.81548166456030968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8.0288055922134802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240.09151195692266</v>
      </c>
      <c r="DU165" s="59">
        <f t="shared" si="152"/>
        <v>559.47775134103165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7.6847830078919364</v>
      </c>
      <c r="EB165" s="21">
        <f>EXP(-LN(2)/25)*EB164+(1-EXP(-LN(2)/25))/(LN(2)/25)*Calculateur!DW165*Calculateur!DY165*VLOOKUP('Données projet'!$B$14,Paramètres!$A$1:$I$89,3,0)*0.475*44/12</f>
        <v>0.86878111976033057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8.5535641276522671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5.6843418860808015E-14</v>
      </c>
      <c r="EK165" s="17">
        <f>EJ165*VLOOKUP('Données projet'!$B$15,Paramètres!$A$1:$I$89,3,0)*VLOOKUP('Données projet'!$B$15,Paramètres!$A$1:$I$89,5,0)</f>
        <v>4.4337866711430253E-14</v>
      </c>
      <c r="EL165" s="13">
        <f t="shared" si="179"/>
        <v>7.3222115536967035E-13</v>
      </c>
      <c r="EM165" s="20">
        <f t="shared" si="180"/>
        <v>1.3525069634579169E-12</v>
      </c>
      <c r="EN165" s="59">
        <f t="shared" si="128"/>
        <v>285.15188540048183</v>
      </c>
      <c r="EO165" s="59">
        <f ca="1">AVERAGE(OFFSET($EN$3,0,0,'Données projet'!$E$15+1,1))-AVERAGE(OFFSET($H$3,0,0,'Données projet'!$E$15+1,1))</f>
        <v>328.79469965518484</v>
      </c>
      <c r="EP165" s="59">
        <f t="shared" si="154"/>
        <v>322.06400652269735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10.534923967415686</v>
      </c>
      <c r="EW165" s="21">
        <f>EXP(-LN(2)/25)*EW164+(1-EXP(-LN(2)/25))/(LN(2)/25)*Calculateur!ER165*Calculateur!ET165*VLOOKUP('Données projet'!$B$15,Paramètres!$A$1:$I$89,3,0)*0.475*44/12</f>
        <v>0.72190391013080202</v>
      </c>
      <c r="EX165" s="21">
        <f>EXP(-LN(2)/2)*EX164+(1-EXP(-LN(2)/2))/(LN(2)/2)*ER165*EU165*VLOOKUP('Données projet'!$B$15,Paramètres!$A$1:$I$89,3,0)*0.475*44/12</f>
        <v>7.3261905046337596E-13</v>
      </c>
      <c r="EY165" s="22">
        <f t="shared" si="181"/>
        <v>11.25682787754722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-5.6843418860808015E-14</v>
      </c>
      <c r="FF165" s="17">
        <f>FE165*VLOOKUP('Données projet'!$B$16,Paramètres!$A$1:$I$89,3,0)*VLOOKUP('Données projet'!$B$16,Paramètres!$A$1:$I$89,5,0)</f>
        <v>-4.1677594708744434E-14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525.22234644068908</v>
      </c>
      <c r="FK165" s="59">
        <f t="shared" si="156"/>
        <v>311.5550296132094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55.949675242564169</v>
      </c>
      <c r="FR165" s="21">
        <f>EXP(-LN(2)/25)*FR164+(1-EXP(-LN(2)/25))/(LN(2)/25)*Calculateur!FM165*Calculateur!FO165*VLOOKUP('Données projet'!$B$16,Paramètres!$A$1:$I$89,3,0)*0.475*44/12</f>
        <v>10.519379940724235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66.469055183288404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-1.7053025658242404E-13</v>
      </c>
      <c r="GA165" s="17">
        <f>FZ165*VLOOKUP('Données projet'!$B$17,Paramètres!$A$1:$I$89,3,0)*VLOOKUP('Données projet'!$B$17,Paramètres!$A$1:$I$89,5,0)</f>
        <v>-1.1173142411280423E-13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298.45881427802874</v>
      </c>
      <c r="GF165" s="59">
        <f t="shared" si="158"/>
        <v>287.00279305562356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13.615575103405559</v>
      </c>
      <c r="GM165" s="21">
        <f>EXP(-LN(2)/25)*GM164+(1-EXP(-LN(2)/25))/(LN(2)/25)*Calculateur!GH165*Calculateur!GJ165*VLOOKUP('Données projet'!$B$17,Paramètres!$A$1:$I$89,3,0)*0.475*44/12</f>
        <v>0.1950373176248987</v>
      </c>
      <c r="GN165" s="21">
        <f>EXP(-LN(2)/2)*GN164+(1-EXP(-LN(2)/2))/(LN(2)/2)*GH165*GK165*VLOOKUP('Données projet'!$B$17,Paramètres!$A$1:$I$89,3,0)*0.475*44/12</f>
        <v>1.5584021117030596E-11</v>
      </c>
      <c r="GO165" s="21">
        <f t="shared" si="187"/>
        <v>13.810612421046041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135.66666666666666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-7.9580786405131221E-13</v>
      </c>
      <c r="O166" s="13">
        <f>N166*VLOOKUP('Données projet'!$B$9,Paramètres!$A$1:$I$89,3,0)*VLOOKUP('Données projet'!$B$9,Paramètres!$A$1:$I$89,5,0)</f>
        <v>-7.2004695539362725E-13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600.52384738314299</v>
      </c>
      <c r="T166" s="59">
        <f t="shared" si="142"/>
        <v>314.84650287986256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152.6921345267796</v>
      </c>
      <c r="AA166" s="21">
        <f>EXP(-LN(2)/25)*AA165+(1-EXP(-LN(2)/25))/(LN(2)/25)*Calculateur!V166*Calculateur!X166*VLOOKUP('Données projet'!$B$9,Paramètres!$A$1:$I$89,3,0)*0.475*44/12</f>
        <v>24.001776360785883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176.69391088756549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-1.4897523215040567E-13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436.77894860279537</v>
      </c>
      <c r="AO166" s="59">
        <f t="shared" si="144"/>
        <v>398.63561969573072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34.310170427545373</v>
      </c>
      <c r="AV166" s="21">
        <f>EXP(-LN(2)/25)*AV165+(1-EXP(-LN(2)/25))/(LN(2)/25)*Calculateur!AQ166*Calculateur!AS166*VLOOKUP('Données projet'!$B$10,Paramètres!$A$1:$I$89,3,0)*0.475*44/12</f>
        <v>3.3363608659753861</v>
      </c>
      <c r="AW166" s="21">
        <f>EXP(-LN(2)/2)*AW165+(1-EXP(-LN(2)/2))/(LN(2)/2)*AQ166*AT166*VLOOKUP('Données projet'!$B$10,Paramètres!$A$1:$I$89,3,0)*0.475*44/12</f>
        <v>1.5133683647239581E-20</v>
      </c>
      <c r="AX166" s="21">
        <f t="shared" si="166"/>
        <v>37.646531293520759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-1.3567387213697657E-13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344.97546176735341</v>
      </c>
      <c r="BJ166" s="59">
        <f t="shared" si="146"/>
        <v>331.15461126257492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19.978525522023283</v>
      </c>
      <c r="BQ166" s="21">
        <f>EXP(-LN(2)/25)*BQ165+(1-EXP(-LN(2)/25))/(LN(2)/25)*Calculateur!BL166*Calculateur!BN166*VLOOKUP('Données projet'!$B$11,Paramètres!$A$1:$I$89,3,0)*0.475*44/12</f>
        <v>0.28392577199004826</v>
      </c>
      <c r="BR166" s="21">
        <f>EXP(-LN(2)/2)*BR165+(1-EXP(-LN(2)/2))/(LN(2)/2)*BL166*BO166*VLOOKUP('Données projet'!$B$11,Paramètres!$A$1:$I$89,3,0)*0.475*44/12</f>
        <v>1.3380902797865272E-11</v>
      </c>
      <c r="BS166" s="22">
        <f t="shared" si="169"/>
        <v>20.262451294026711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-1.7053025658242404E-13</v>
      </c>
      <c r="BZ166" s="13">
        <f>BY166*VLOOKUP('Données projet'!$B$12,Paramètres!$A$1:$I$89,3,0)*VLOOKUP('Données projet'!$B$12,Paramètres!$A$1:$I$89,5,0)</f>
        <v>-1.3567387213697657E-13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344.97546176735341</v>
      </c>
      <c r="CE166" s="59">
        <f t="shared" si="148"/>
        <v>331.15461126257492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19.978525522023283</v>
      </c>
      <c r="CL166" s="21">
        <f>EXP(-LN(2)/25)*CL165+(1-EXP(-LN(2)/25))/(LN(2)/25)*Calculateur!CG166*Calculateur!CI166*VLOOKUP('Données projet'!$B$12,Paramètres!$A$1:$I$89,3,0)*0.475*44/12</f>
        <v>0.28392577199004826</v>
      </c>
      <c r="CM166" s="21">
        <f>EXP(-LN(2)/2)*CM165+(1-EXP(-LN(2)/2))/(LN(2)/2)*CG166*CJ166*VLOOKUP('Données projet'!$B$12,Paramètres!$A$1:$I$89,3,0)*0.475*44/12</f>
        <v>1.3380902797865272E-11</v>
      </c>
      <c r="CN166" s="22">
        <f t="shared" si="172"/>
        <v>20.262451294026711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227.19465047672969</v>
      </c>
      <c r="CZ166" s="59">
        <f t="shared" si="150"/>
        <v>529.77979244134417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7.0718750451250543</v>
      </c>
      <c r="DG166" s="21">
        <f>EXP(-LN(2)/25)*DG165+(1-EXP(-LN(2)/25))/(LN(2)/25)*Calculateur!DB166*Calculateur!DD166*VLOOKUP('Données projet'!$B$13,Paramètres!$A$1:$I$89,3,0)*0.475*44/12</f>
        <v>0.79318227555859111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7.8650573206836452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240.09151195692266</v>
      </c>
      <c r="DU166" s="59">
        <f t="shared" si="152"/>
        <v>559.47775134103165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7.5340891003619825</v>
      </c>
      <c r="EB166" s="21">
        <f>EXP(-LN(2)/25)*EB165+(1-EXP(-LN(2)/25))/(LN(2)/25)*Calculateur!DW166*Calculateur!DY166*VLOOKUP('Données projet'!$B$14,Paramètres!$A$1:$I$89,3,0)*0.475*44/12</f>
        <v>0.84502425435327089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8.379113354715253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5.6843418860808015E-14</v>
      </c>
      <c r="EK166" s="17">
        <f>EJ166*VLOOKUP('Données projet'!$B$15,Paramètres!$A$1:$I$89,3,0)*VLOOKUP('Données projet'!$B$15,Paramètres!$A$1:$I$89,5,0)</f>
        <v>4.4337866711430253E-14</v>
      </c>
      <c r="EL166" s="13">
        <f t="shared" si="179"/>
        <v>7.3222115536967035E-13</v>
      </c>
      <c r="EM166" s="20">
        <f t="shared" si="180"/>
        <v>1.3525069634579169E-12</v>
      </c>
      <c r="EN166" s="59">
        <f t="shared" si="128"/>
        <v>285.29381523113943</v>
      </c>
      <c r="EO166" s="59">
        <f ca="1">AVERAGE(OFFSET($EN$3,0,0,'Données projet'!$E$15+1,1))-AVERAGE(OFFSET($H$3,0,0,'Données projet'!$E$15+1,1))</f>
        <v>328.79469965518484</v>
      </c>
      <c r="EP166" s="59">
        <f t="shared" si="154"/>
        <v>322.06400652269735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10.328340534083802</v>
      </c>
      <c r="EW166" s="21">
        <f>EXP(-LN(2)/25)*EW165+(1-EXP(-LN(2)/25))/(LN(2)/25)*Calculateur!ER166*Calculateur!ET166*VLOOKUP('Données projet'!$B$15,Paramètres!$A$1:$I$89,3,0)*0.475*44/12</f>
        <v>0.70216340974499858</v>
      </c>
      <c r="EX166" s="21">
        <f>EXP(-LN(2)/2)*EX165+(1-EXP(-LN(2)/2))/(LN(2)/2)*ER166*EU166*VLOOKUP('Données projet'!$B$15,Paramètres!$A$1:$I$89,3,0)*0.475*44/12</f>
        <v>5.1803989860910259E-13</v>
      </c>
      <c r="EY166" s="22">
        <f t="shared" si="181"/>
        <v>11.03050394382932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-5.6843418860808015E-14</v>
      </c>
      <c r="FF166" s="17">
        <f>FE166*VLOOKUP('Données projet'!$B$16,Paramètres!$A$1:$I$89,3,0)*VLOOKUP('Données projet'!$B$16,Paramètres!$A$1:$I$89,5,0)</f>
        <v>-4.1677594708744434E-14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525.22234644068908</v>
      </c>
      <c r="FK166" s="59">
        <f t="shared" si="156"/>
        <v>311.5550296132094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54.852536236989728</v>
      </c>
      <c r="FR166" s="21">
        <f>EXP(-LN(2)/25)*FR165+(1-EXP(-LN(2)/25))/(LN(2)/25)*Calculateur!FM166*Calculateur!FO166*VLOOKUP('Données projet'!$B$16,Paramètres!$A$1:$I$89,3,0)*0.475*44/12</f>
        <v>10.231726943054982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65.084263180044715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-1.7053025658242404E-13</v>
      </c>
      <c r="GA166" s="17">
        <f>FZ166*VLOOKUP('Données projet'!$B$17,Paramètres!$A$1:$I$89,3,0)*VLOOKUP('Données projet'!$B$17,Paramètres!$A$1:$I$89,5,0)</f>
        <v>-1.1173142411280423E-13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298.45881427802874</v>
      </c>
      <c r="GF166" s="59">
        <f t="shared" si="158"/>
        <v>287.00279305562356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13.34858198030857</v>
      </c>
      <c r="GM166" s="21">
        <f>EXP(-LN(2)/25)*GM165+(1-EXP(-LN(2)/25))/(LN(2)/25)*Calculateur!GH166*Calculateur!GJ166*VLOOKUP('Données projet'!$B$17,Paramètres!$A$1:$I$89,3,0)*0.475*44/12</f>
        <v>0.18970401191787908</v>
      </c>
      <c r="GN166" s="21">
        <f>EXP(-LN(2)/2)*GN165+(1-EXP(-LN(2)/2))/(LN(2)/2)*GH166*GK166*VLOOKUP('Données projet'!$B$17,Paramètres!$A$1:$I$89,3,0)*0.475*44/12</f>
        <v>1.101956701000669E-11</v>
      </c>
      <c r="GO166" s="21">
        <f t="shared" si="187"/>
        <v>13.538285992237467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135.66666666666666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-7.9580786405131221E-13</v>
      </c>
      <c r="O167" s="13">
        <f>N167*VLOOKUP('Données projet'!$B$9,Paramètres!$A$1:$I$89,3,0)*VLOOKUP('Données projet'!$B$9,Paramètres!$A$1:$I$89,5,0)</f>
        <v>-7.2004695539362725E-13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600.52384738314299</v>
      </c>
      <c r="T167" s="59">
        <f t="shared" si="142"/>
        <v>314.84650287986256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149.6979349017154</v>
      </c>
      <c r="AA167" s="21">
        <f>EXP(-LN(2)/25)*AA166+(1-EXP(-LN(2)/25))/(LN(2)/25)*Calculateur!V167*Calculateur!X167*VLOOKUP('Données projet'!$B$9,Paramètres!$A$1:$I$89,3,0)*0.475*44/12</f>
        <v>23.34544652400163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173.04338142571703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-1.4897523215040567E-13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436.77894860279537</v>
      </c>
      <c r="AO167" s="59">
        <f t="shared" si="144"/>
        <v>398.63561969573072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33.637368912598788</v>
      </c>
      <c r="AV167" s="21">
        <f>EXP(-LN(2)/25)*AV166+(1-EXP(-LN(2)/25))/(LN(2)/25)*Calculateur!AQ167*Calculateur!AS167*VLOOKUP('Données projet'!$B$10,Paramètres!$A$1:$I$89,3,0)*0.475*44/12</f>
        <v>3.2451279026436963</v>
      </c>
      <c r="AW167" s="21">
        <f>EXP(-LN(2)/2)*AW166+(1-EXP(-LN(2)/2))/(LN(2)/2)*AQ167*AT167*VLOOKUP('Données projet'!$B$10,Paramètres!$A$1:$I$89,3,0)*0.475*44/12</f>
        <v>1.0701130331295071E-20</v>
      </c>
      <c r="AX167" s="21">
        <f t="shared" si="166"/>
        <v>36.882496815242483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-1.3567387213697657E-13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344.97546176735341</v>
      </c>
      <c r="BJ167" s="59">
        <f t="shared" si="146"/>
        <v>331.15461126257492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19.586758822233737</v>
      </c>
      <c r="BQ167" s="21">
        <f>EXP(-LN(2)/25)*BQ166+(1-EXP(-LN(2)/25))/(LN(2)/25)*Calculateur!BL167*Calculateur!BN167*VLOOKUP('Données projet'!$B$11,Paramètres!$A$1:$I$89,3,0)*0.475*44/12</f>
        <v>0.27616180682397296</v>
      </c>
      <c r="BR167" s="21">
        <f>EXP(-LN(2)/2)*BR166+(1-EXP(-LN(2)/2))/(LN(2)/2)*BL167*BO167*VLOOKUP('Données projet'!$B$11,Paramètres!$A$1:$I$89,3,0)*0.475*44/12</f>
        <v>9.4617271067685805E-12</v>
      </c>
      <c r="BS167" s="22">
        <f t="shared" si="169"/>
        <v>19.862920629067169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-1.7053025658242404E-13</v>
      </c>
      <c r="BZ167" s="13">
        <f>BY167*VLOOKUP('Données projet'!$B$12,Paramètres!$A$1:$I$89,3,0)*VLOOKUP('Données projet'!$B$12,Paramètres!$A$1:$I$89,5,0)</f>
        <v>-1.3567387213697657E-13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344.97546176735341</v>
      </c>
      <c r="CE167" s="59">
        <f t="shared" si="148"/>
        <v>331.15461126257492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19.586758822233737</v>
      </c>
      <c r="CL167" s="21">
        <f>EXP(-LN(2)/25)*CL166+(1-EXP(-LN(2)/25))/(LN(2)/25)*Calculateur!CG167*Calculateur!CI167*VLOOKUP('Données projet'!$B$12,Paramètres!$A$1:$I$89,3,0)*0.475*44/12</f>
        <v>0.27616180682397296</v>
      </c>
      <c r="CM167" s="21">
        <f>EXP(-LN(2)/2)*CM166+(1-EXP(-LN(2)/2))/(LN(2)/2)*CG167*CJ167*VLOOKUP('Données projet'!$B$12,Paramètres!$A$1:$I$89,3,0)*0.475*44/12</f>
        <v>9.4617271067685805E-12</v>
      </c>
      <c r="CN167" s="22">
        <f t="shared" si="172"/>
        <v>19.862920629067169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227.19465047672969</v>
      </c>
      <c r="CZ167" s="59">
        <f t="shared" si="150"/>
        <v>529.77979244134417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6.9331998889080149</v>
      </c>
      <c r="DG167" s="21">
        <f>EXP(-LN(2)/25)*DG166+(1-EXP(-LN(2)/25))/(LN(2)/25)*Calculateur!DB167*Calculateur!DD167*VLOOKUP('Données projet'!$B$13,Paramètres!$A$1:$I$89,3,0)*0.475*44/12</f>
        <v>0.77149266452179843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7.7046925534298136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240.09151195692266</v>
      </c>
      <c r="DU167" s="59">
        <f t="shared" si="152"/>
        <v>559.47775134103165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7.3863502084444832</v>
      </c>
      <c r="EB167" s="21">
        <f>EXP(-LN(2)/25)*EB166+(1-EXP(-LN(2)/25))/(LN(2)/25)*Calculateur!DW167*Calculateur!DY167*VLOOKUP('Données projet'!$B$14,Paramètres!$A$1:$I$89,3,0)*0.475*44/12</f>
        <v>0.82191702168008651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8.2082672301245694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5.6843418860808015E-14</v>
      </c>
      <c r="EK167" s="17">
        <f>EJ167*VLOOKUP('Données projet'!$B$15,Paramètres!$A$1:$I$89,3,0)*VLOOKUP('Données projet'!$B$15,Paramètres!$A$1:$I$89,5,0)</f>
        <v>4.4337866711430253E-14</v>
      </c>
      <c r="EL167" s="13">
        <f t="shared" si="179"/>
        <v>7.3222115536967035E-13</v>
      </c>
      <c r="EM167" s="20">
        <f t="shared" si="180"/>
        <v>1.3525069634579169E-12</v>
      </c>
      <c r="EN167" s="59">
        <f t="shared" si="128"/>
        <v>285.43328289654272</v>
      </c>
      <c r="EO167" s="59">
        <f ca="1">AVERAGE(OFFSET($EN$3,0,0,'Données projet'!$E$15+1,1))-AVERAGE(OFFSET($H$3,0,0,'Données projet'!$E$15+1,1))</f>
        <v>328.79469965518484</v>
      </c>
      <c r="EP167" s="59">
        <f t="shared" si="154"/>
        <v>322.06400652269735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10.125808075876105</v>
      </c>
      <c r="EW167" s="21">
        <f>EXP(-LN(2)/25)*EW166+(1-EXP(-LN(2)/25))/(LN(2)/25)*Calculateur!ER167*Calculateur!ET167*VLOOKUP('Données projet'!$B$15,Paramètres!$A$1:$I$89,3,0)*0.475*44/12</f>
        <v>0.68296271438035272</v>
      </c>
      <c r="EX167" s="21">
        <f>EXP(-LN(2)/2)*EX166+(1-EXP(-LN(2)/2))/(LN(2)/2)*ER167*EU167*VLOOKUP('Données projet'!$B$15,Paramètres!$A$1:$I$89,3,0)*0.475*44/12</f>
        <v>3.6630952523168798E-13</v>
      </c>
      <c r="EY167" s="22">
        <f t="shared" si="181"/>
        <v>10.808770790256823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-5.6843418860808015E-14</v>
      </c>
      <c r="FF167" s="17">
        <f>FE167*VLOOKUP('Données projet'!$B$16,Paramètres!$A$1:$I$89,3,0)*VLOOKUP('Données projet'!$B$16,Paramètres!$A$1:$I$89,5,0)</f>
        <v>-4.1677594708744434E-14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525.22234644068908</v>
      </c>
      <c r="FK167" s="59">
        <f t="shared" si="156"/>
        <v>311.5550296132094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53.776911458125888</v>
      </c>
      <c r="FR167" s="21">
        <f>EXP(-LN(2)/25)*FR166+(1-EXP(-LN(2)/25))/(LN(2)/25)*Calculateur!FM167*Calculateur!FO167*VLOOKUP('Données projet'!$B$16,Paramètres!$A$1:$I$89,3,0)*0.475*44/12</f>
        <v>9.9519398317340091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63.728851289859897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-1.7053025658242404E-13</v>
      </c>
      <c r="GA167" s="17">
        <f>FZ167*VLOOKUP('Données projet'!$B$17,Paramètres!$A$1:$I$89,3,0)*VLOOKUP('Données projet'!$B$17,Paramètres!$A$1:$I$89,5,0)</f>
        <v>-1.1173142411280423E-13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298.45881427802874</v>
      </c>
      <c r="GF167" s="59">
        <f t="shared" si="158"/>
        <v>287.00279305562356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13.086824429505787</v>
      </c>
      <c r="GM167" s="21">
        <f>EXP(-LN(2)/25)*GM166+(1-EXP(-LN(2)/25))/(LN(2)/25)*Calculateur!GH167*Calculateur!GJ167*VLOOKUP('Données projet'!$B$17,Paramètres!$A$1:$I$89,3,0)*0.475*44/12</f>
        <v>0.18451654573588427</v>
      </c>
      <c r="GN167" s="21">
        <f>EXP(-LN(2)/2)*GN166+(1-EXP(-LN(2)/2))/(LN(2)/2)*GH167*GK167*VLOOKUP('Données projet'!$B$17,Paramètres!$A$1:$I$89,3,0)*0.475*44/12</f>
        <v>7.7920105585152981E-12</v>
      </c>
      <c r="GO167" s="21">
        <f t="shared" si="187"/>
        <v>13.271340975249464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135.66666666666666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-7.9580786405131221E-13</v>
      </c>
      <c r="O168" s="13">
        <f>N168*VLOOKUP('Données projet'!$B$9,Paramètres!$A$1:$I$89,3,0)*VLOOKUP('Données projet'!$B$9,Paramètres!$A$1:$I$89,5,0)</f>
        <v>-7.2004695539362725E-13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600.52384738314299</v>
      </c>
      <c r="T168" s="59">
        <f t="shared" si="142"/>
        <v>314.84650287986256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146.76244970501725</v>
      </c>
      <c r="AA168" s="21">
        <f>EXP(-LN(2)/25)*AA167+(1-EXP(-LN(2)/25))/(LN(2)/25)*Calculateur!V168*Calculateur!X168*VLOOKUP('Données projet'!$B$9,Paramètres!$A$1:$I$89,3,0)*0.475*44/12</f>
        <v>22.70706406111913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169.46951376613637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-1.4897523215040567E-13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436.77894860279537</v>
      </c>
      <c r="AO168" s="59">
        <f t="shared" si="144"/>
        <v>398.63561969573072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32.977760624991902</v>
      </c>
      <c r="AV168" s="21">
        <f>EXP(-LN(2)/25)*AV167+(1-EXP(-LN(2)/25))/(LN(2)/25)*Calculateur!AQ168*Calculateur!AS168*VLOOKUP('Données projet'!$B$10,Paramètres!$A$1:$I$89,3,0)*0.475*44/12</f>
        <v>3.156389709492045</v>
      </c>
      <c r="AW168" s="21">
        <f>EXP(-LN(2)/2)*AW167+(1-EXP(-LN(2)/2))/(LN(2)/2)*AQ168*AT168*VLOOKUP('Données projet'!$B$10,Paramètres!$A$1:$I$89,3,0)*0.475*44/12</f>
        <v>7.5668418236197905E-21</v>
      </c>
      <c r="AX168" s="21">
        <f t="shared" si="166"/>
        <v>36.134150334483948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-1.3567387213697657E-13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344.97546176735341</v>
      </c>
      <c r="BJ168" s="59">
        <f t="shared" si="146"/>
        <v>331.15461126257492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19.202674428472971</v>
      </c>
      <c r="BQ168" s="21">
        <f>EXP(-LN(2)/25)*BQ167+(1-EXP(-LN(2)/25))/(LN(2)/25)*Calculateur!BL168*Calculateur!BN168*VLOOKUP('Données projet'!$B$11,Paramètres!$A$1:$I$89,3,0)*0.475*44/12</f>
        <v>0.26861014769365316</v>
      </c>
      <c r="BR168" s="21">
        <f>EXP(-LN(2)/2)*BR167+(1-EXP(-LN(2)/2))/(LN(2)/2)*BL168*BO168*VLOOKUP('Données projet'!$B$11,Paramètres!$A$1:$I$89,3,0)*0.475*44/12</f>
        <v>6.6904513989326361E-12</v>
      </c>
      <c r="BS168" s="22">
        <f t="shared" si="169"/>
        <v>19.471284576173314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-1.7053025658242404E-13</v>
      </c>
      <c r="BZ168" s="13">
        <f>BY168*VLOOKUP('Données projet'!$B$12,Paramètres!$A$1:$I$89,3,0)*VLOOKUP('Données projet'!$B$12,Paramètres!$A$1:$I$89,5,0)</f>
        <v>-1.3567387213697657E-13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344.97546176735341</v>
      </c>
      <c r="CE168" s="59">
        <f t="shared" si="148"/>
        <v>331.15461126257492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19.202674428472971</v>
      </c>
      <c r="CL168" s="21">
        <f>EXP(-LN(2)/25)*CL167+(1-EXP(-LN(2)/25))/(LN(2)/25)*Calculateur!CG168*Calculateur!CI168*VLOOKUP('Données projet'!$B$12,Paramètres!$A$1:$I$89,3,0)*0.475*44/12</f>
        <v>0.26861014769365316</v>
      </c>
      <c r="CM168" s="21">
        <f>EXP(-LN(2)/2)*CM167+(1-EXP(-LN(2)/2))/(LN(2)/2)*CG168*CJ168*VLOOKUP('Données projet'!$B$12,Paramètres!$A$1:$I$89,3,0)*0.475*44/12</f>
        <v>6.6904513989326361E-12</v>
      </c>
      <c r="CN168" s="22">
        <f t="shared" si="172"/>
        <v>19.471284576173314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227.19465047672969</v>
      </c>
      <c r="CZ168" s="59">
        <f t="shared" si="150"/>
        <v>529.77979244134417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6.7972440679208983</v>
      </c>
      <c r="DG168" s="21">
        <f>EXP(-LN(2)/25)*DG167+(1-EXP(-LN(2)/25))/(LN(2)/25)*Calculateur!DB168*Calculateur!DD168*VLOOKUP('Données projet'!$B$13,Paramètres!$A$1:$I$89,3,0)*0.475*44/12</f>
        <v>0.75039615703941387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7.5476402249603121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240.09151195692266</v>
      </c>
      <c r="DU168" s="59">
        <f t="shared" si="152"/>
        <v>559.47775134103165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7.2415083860856599</v>
      </c>
      <c r="EB168" s="21">
        <f>EXP(-LN(2)/25)*EB167+(1-EXP(-LN(2)/25))/(LN(2)/25)*Calculateur!DW168*Calculateur!DY168*VLOOKUP('Données projet'!$B$14,Paramètres!$A$1:$I$89,3,0)*0.475*44/12</f>
        <v>0.79944165749950691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8.0409500435851662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5.6843418860808015E-14</v>
      </c>
      <c r="EK168" s="17">
        <f>EJ168*VLOOKUP('Données projet'!$B$15,Paramètres!$A$1:$I$89,3,0)*VLOOKUP('Données projet'!$B$15,Paramètres!$A$1:$I$89,5,0)</f>
        <v>4.4337866711430253E-14</v>
      </c>
      <c r="EL168" s="13">
        <f t="shared" si="179"/>
        <v>7.3222115536967035E-13</v>
      </c>
      <c r="EM168" s="20">
        <f t="shared" si="180"/>
        <v>1.3525069634579169E-12</v>
      </c>
      <c r="EN168" s="59">
        <f t="shared" si="128"/>
        <v>285.57033110975419</v>
      </c>
      <c r="EO168" s="59">
        <f ca="1">AVERAGE(OFFSET($EN$3,0,0,'Données projet'!$E$15+1,1))-AVERAGE(OFFSET($H$3,0,0,'Données projet'!$E$15+1,1))</f>
        <v>328.79469965518484</v>
      </c>
      <c r="EP168" s="59">
        <f t="shared" si="154"/>
        <v>322.06400652269735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9.9272471556412576</v>
      </c>
      <c r="EW168" s="21">
        <f>EXP(-LN(2)/25)*EW167+(1-EXP(-LN(2)/25))/(LN(2)/25)*Calculateur!ER168*Calculateur!ET168*VLOOKUP('Données projet'!$B$15,Paramètres!$A$1:$I$89,3,0)*0.475*44/12</f>
        <v>0.66428706304017371</v>
      </c>
      <c r="EX168" s="21">
        <f>EXP(-LN(2)/2)*EX167+(1-EXP(-LN(2)/2))/(LN(2)/2)*ER168*EU168*VLOOKUP('Données projet'!$B$15,Paramètres!$A$1:$I$89,3,0)*0.475*44/12</f>
        <v>2.590199493045513E-13</v>
      </c>
      <c r="EY168" s="22">
        <f t="shared" si="181"/>
        <v>10.591534218681691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-5.6843418860808015E-14</v>
      </c>
      <c r="FF168" s="17">
        <f>FE168*VLOOKUP('Données projet'!$B$16,Paramètres!$A$1:$I$89,3,0)*VLOOKUP('Données projet'!$B$16,Paramètres!$A$1:$I$89,5,0)</f>
        <v>-4.1677594708744434E-14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525.22234644068908</v>
      </c>
      <c r="FK168" s="59">
        <f t="shared" si="156"/>
        <v>311.5550296132094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52.722379025109234</v>
      </c>
      <c r="FR168" s="21">
        <f>EXP(-LN(2)/25)*FR167+(1-EXP(-LN(2)/25))/(LN(2)/25)*Calculateur!FM168*Calculateur!FO168*VLOOKUP('Données projet'!$B$16,Paramètres!$A$1:$I$89,3,0)*0.475*44/12</f>
        <v>9.6798035136854725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62.402182538794705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-1.7053025658242404E-13</v>
      </c>
      <c r="GA168" s="17">
        <f>FZ168*VLOOKUP('Données projet'!$B$17,Paramètres!$A$1:$I$89,3,0)*VLOOKUP('Données projet'!$B$17,Paramètres!$A$1:$I$89,5,0)</f>
        <v>-1.1173142411280423E-13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298.45881427802874</v>
      </c>
      <c r="GF168" s="59">
        <f t="shared" si="158"/>
        <v>287.00279305562356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12.830199784617907</v>
      </c>
      <c r="GM168" s="21">
        <f>EXP(-LN(2)/25)*GM167+(1-EXP(-LN(2)/25))/(LN(2)/25)*Calculateur!GH168*Calculateur!GJ168*VLOOKUP('Données projet'!$B$17,Paramètres!$A$1:$I$89,3,0)*0.475*44/12</f>
        <v>0.1794709310894331</v>
      </c>
      <c r="GN168" s="21">
        <f>EXP(-LN(2)/2)*GN167+(1-EXP(-LN(2)/2))/(LN(2)/2)*GH168*GK168*VLOOKUP('Données projet'!$B$17,Paramètres!$A$1:$I$89,3,0)*0.475*44/12</f>
        <v>5.5097835050033449E-12</v>
      </c>
      <c r="GO168" s="21">
        <f t="shared" si="187"/>
        <v>13.009670715712851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135.66666666666666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-7.9580786405131221E-13</v>
      </c>
      <c r="O169" s="13">
        <f>N169*VLOOKUP('Données projet'!$B$9,Paramètres!$A$1:$I$89,3,0)*VLOOKUP('Données projet'!$B$9,Paramètres!$A$1:$I$89,5,0)</f>
        <v>-7.2004695539362725E-13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600.52384738314299</v>
      </c>
      <c r="T169" s="59">
        <f t="shared" si="142"/>
        <v>314.84650287986256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143.88452758255718</v>
      </c>
      <c r="AA169" s="21">
        <f>EXP(-LN(2)/25)*AA168+(1-EXP(-LN(2)/25))/(LN(2)/25)*Calculateur!V169*Calculateur!X169*VLOOKUP('Données projet'!$B$9,Paramètres!$A$1:$I$89,3,0)*0.475*44/12</f>
        <v>22.086138200255228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165.9706657828124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-1.4897523215040567E-13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436.77894860279537</v>
      </c>
      <c r="AO169" s="59">
        <f t="shared" si="144"/>
        <v>398.63561969573072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32.331086853583656</v>
      </c>
      <c r="AV169" s="21">
        <f>EXP(-LN(2)/25)*AV168+(1-EXP(-LN(2)/25))/(LN(2)/25)*Calculateur!AQ169*Calculateur!AS169*VLOOKUP('Données projet'!$B$10,Paramètres!$A$1:$I$89,3,0)*0.475*44/12</f>
        <v>3.070078066898664</v>
      </c>
      <c r="AW169" s="21">
        <f>EXP(-LN(2)/2)*AW168+(1-EXP(-LN(2)/2))/(LN(2)/2)*AQ169*AT169*VLOOKUP('Données projet'!$B$10,Paramètres!$A$1:$I$89,3,0)*0.475*44/12</f>
        <v>5.3505651656475355E-21</v>
      </c>
      <c r="AX169" s="21">
        <f t="shared" si="166"/>
        <v>35.401164920482323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-1.3567387213697657E-13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344.97546176735341</v>
      </c>
      <c r="BJ169" s="59">
        <f t="shared" si="146"/>
        <v>331.15461126257492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18.826121695405508</v>
      </c>
      <c r="BQ169" s="21">
        <f>EXP(-LN(2)/25)*BQ168+(1-EXP(-LN(2)/25))/(LN(2)/25)*Calculateur!BL169*Calculateur!BN169*VLOOKUP('Données projet'!$B$11,Paramètres!$A$1:$I$89,3,0)*0.475*44/12</f>
        <v>0.26126498907937645</v>
      </c>
      <c r="BR169" s="21">
        <f>EXP(-LN(2)/2)*BR168+(1-EXP(-LN(2)/2))/(LN(2)/2)*BL169*BO169*VLOOKUP('Données projet'!$B$11,Paramètres!$A$1:$I$89,3,0)*0.475*44/12</f>
        <v>4.7308635533842903E-12</v>
      </c>
      <c r="BS169" s="22">
        <f t="shared" si="169"/>
        <v>19.087386684489616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-1.7053025658242404E-13</v>
      </c>
      <c r="BZ169" s="13">
        <f>BY169*VLOOKUP('Données projet'!$B$12,Paramètres!$A$1:$I$89,3,0)*VLOOKUP('Données projet'!$B$12,Paramètres!$A$1:$I$89,5,0)</f>
        <v>-1.3567387213697657E-13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344.97546176735341</v>
      </c>
      <c r="CE169" s="59">
        <f t="shared" si="148"/>
        <v>331.15461126257492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18.826121695405508</v>
      </c>
      <c r="CL169" s="21">
        <f>EXP(-LN(2)/25)*CL168+(1-EXP(-LN(2)/25))/(LN(2)/25)*Calculateur!CG169*Calculateur!CI169*VLOOKUP('Données projet'!$B$12,Paramètres!$A$1:$I$89,3,0)*0.475*44/12</f>
        <v>0.26126498907937645</v>
      </c>
      <c r="CM169" s="21">
        <f>EXP(-LN(2)/2)*CM168+(1-EXP(-LN(2)/2))/(LN(2)/2)*CG169*CJ169*VLOOKUP('Données projet'!$B$12,Paramètres!$A$1:$I$89,3,0)*0.475*44/12</f>
        <v>4.7308635533842903E-12</v>
      </c>
      <c r="CN169" s="22">
        <f t="shared" si="172"/>
        <v>19.087386684489616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227.19465047672969</v>
      </c>
      <c r="CZ169" s="59">
        <f t="shared" si="150"/>
        <v>529.77979244134417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6.6639542576584763</v>
      </c>
      <c r="DG169" s="21">
        <f>EXP(-LN(2)/25)*DG168+(1-EXP(-LN(2)/25))/(LN(2)/25)*Calculateur!DB169*Calculateur!DD169*VLOOKUP('Données projet'!$B$13,Paramètres!$A$1:$I$89,3,0)*0.475*44/12</f>
        <v>0.72987653466355229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7.3938307923220288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240.09151195692266</v>
      </c>
      <c r="DU169" s="59">
        <f t="shared" si="152"/>
        <v>559.47775134103165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7.0995068235185048</v>
      </c>
      <c r="EB169" s="21">
        <f>EXP(-LN(2)/25)*EB168+(1-EXP(-LN(2)/25))/(LN(2)/25)*Calculateur!DW169*Calculateur!DY169*VLOOKUP('Données projet'!$B$14,Paramètres!$A$1:$I$89,3,0)*0.475*44/12</f>
        <v>0.77758088333437325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7.877087706852878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5.6843418860808015E-14</v>
      </c>
      <c r="EK169" s="17">
        <f>EJ169*VLOOKUP('Données projet'!$B$15,Paramètres!$A$1:$I$89,3,0)*VLOOKUP('Données projet'!$B$15,Paramètres!$A$1:$I$89,5,0)</f>
        <v>4.4337866711430253E-14</v>
      </c>
      <c r="EL169" s="13">
        <f t="shared" si="179"/>
        <v>7.3222115536967035E-13</v>
      </c>
      <c r="EM169" s="20">
        <f t="shared" si="180"/>
        <v>1.3525069634579169E-12</v>
      </c>
      <c r="EN169" s="59">
        <f t="shared" si="128"/>
        <v>285.70500184286038</v>
      </c>
      <c r="EO169" s="59">
        <f ca="1">AVERAGE(OFFSET($EN$3,0,0,'Données projet'!$E$15+1,1))-AVERAGE(OFFSET($H$3,0,0,'Données projet'!$E$15+1,1))</f>
        <v>328.79469965518484</v>
      </c>
      <c r="EP169" s="59">
        <f t="shared" si="154"/>
        <v>322.06400652269735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9.7325798939420132</v>
      </c>
      <c r="EW169" s="21">
        <f>EXP(-LN(2)/25)*EW168+(1-EXP(-LN(2)/25))/(LN(2)/25)*Calculateur!ER169*Calculateur!ET169*VLOOKUP('Données projet'!$B$15,Paramètres!$A$1:$I$89,3,0)*0.475*44/12</f>
        <v>0.64612209836800172</v>
      </c>
      <c r="EX169" s="21">
        <f>EXP(-LN(2)/2)*EX168+(1-EXP(-LN(2)/2))/(LN(2)/2)*ER169*EU169*VLOOKUP('Données projet'!$B$15,Paramètres!$A$1:$I$89,3,0)*0.475*44/12</f>
        <v>1.8315476261584399E-13</v>
      </c>
      <c r="EY169" s="22">
        <f t="shared" si="181"/>
        <v>10.378701992310198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-5.6843418860808015E-14</v>
      </c>
      <c r="FF169" s="17">
        <f>FE169*VLOOKUP('Données projet'!$B$16,Paramètres!$A$1:$I$89,3,0)*VLOOKUP('Données projet'!$B$16,Paramètres!$A$1:$I$89,5,0)</f>
        <v>-4.1677594708744434E-14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525.22234644068908</v>
      </c>
      <c r="FK169" s="59">
        <f t="shared" si="156"/>
        <v>311.5550296132094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51.68852532990276</v>
      </c>
      <c r="FR169" s="21">
        <f>EXP(-LN(2)/25)*FR168+(1-EXP(-LN(2)/25))/(LN(2)/25)*Calculateur!FM169*Calculateur!FO169*VLOOKUP('Données projet'!$B$16,Paramètres!$A$1:$I$89,3,0)*0.475*44/12</f>
        <v>9.4151087775650009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61.103634107467762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-1.7053025658242404E-13</v>
      </c>
      <c r="GA169" s="17">
        <f>FZ169*VLOOKUP('Données projet'!$B$17,Paramètres!$A$1:$I$89,3,0)*VLOOKUP('Données projet'!$B$17,Paramètres!$A$1:$I$89,5,0)</f>
        <v>-1.1173142411280423E-13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298.45881427802874</v>
      </c>
      <c r="GF169" s="59">
        <f t="shared" si="158"/>
        <v>287.00279305562356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12.578607392490699</v>
      </c>
      <c r="GM169" s="21">
        <f>EXP(-LN(2)/25)*GM168+(1-EXP(-LN(2)/25))/(LN(2)/25)*Calculateur!GH169*Calculateur!GJ169*VLOOKUP('Données projet'!$B$17,Paramètres!$A$1:$I$89,3,0)*0.475*44/12</f>
        <v>0.17456328904082646</v>
      </c>
      <c r="GN169" s="21">
        <f>EXP(-LN(2)/2)*GN168+(1-EXP(-LN(2)/2))/(LN(2)/2)*GH169*GK169*VLOOKUP('Données projet'!$B$17,Paramètres!$A$1:$I$89,3,0)*0.475*44/12</f>
        <v>3.896005279257649E-12</v>
      </c>
      <c r="GO169" s="21">
        <f t="shared" si="187"/>
        <v>12.753170681535421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135.66666666666666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-7.9580786405131221E-13</v>
      </c>
      <c r="O170" s="13">
        <f>N170*VLOOKUP('Données projet'!$B$9,Paramètres!$A$1:$I$89,3,0)*VLOOKUP('Données projet'!$B$9,Paramètres!$A$1:$I$89,5,0)</f>
        <v>-7.2004695539362725E-13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600.52384738314299</v>
      </c>
      <c r="T170" s="59">
        <f t="shared" si="142"/>
        <v>314.84650287986256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141.06303975755938</v>
      </c>
      <c r="AA170" s="21">
        <f>EXP(-LN(2)/25)*AA169+(1-EXP(-LN(2)/25))/(LN(2)/25)*Calculateur!V170*Calculateur!X170*VLOOKUP('Données projet'!$B$9,Paramètres!$A$1:$I$89,3,0)*0.475*44/12</f>
        <v>21.482191589709718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162.54523134726909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-1.4897523215040567E-13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436.77894860279537</v>
      </c>
      <c r="AO170" s="59">
        <f t="shared" si="144"/>
        <v>398.63561969573072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31.697093960400672</v>
      </c>
      <c r="AV170" s="21">
        <f>EXP(-LN(2)/25)*AV169+(1-EXP(-LN(2)/25))/(LN(2)/25)*Calculateur!AQ170*Calculateur!AS170*VLOOKUP('Données projet'!$B$10,Paramètres!$A$1:$I$89,3,0)*0.475*44/12</f>
        <v>2.9861266207109312</v>
      </c>
      <c r="AW170" s="21">
        <f>EXP(-LN(2)/2)*AW169+(1-EXP(-LN(2)/2))/(LN(2)/2)*AQ170*AT170*VLOOKUP('Données projet'!$B$10,Paramètres!$A$1:$I$89,3,0)*0.475*44/12</f>
        <v>3.7834209118098952E-21</v>
      </c>
      <c r="AX170" s="21">
        <f t="shared" si="166"/>
        <v>34.683220581111605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-1.3567387213697657E-13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344.97546176735341</v>
      </c>
      <c r="BJ170" s="59">
        <f t="shared" si="146"/>
        <v>331.15461126257492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18.456952931759009</v>
      </c>
      <c r="BQ170" s="21">
        <f>EXP(-LN(2)/25)*BQ169+(1-EXP(-LN(2)/25))/(LN(2)/25)*Calculateur!BL170*Calculateur!BN170*VLOOKUP('Données projet'!$B$11,Paramètres!$A$1:$I$89,3,0)*0.475*44/12</f>
        <v>0.25412068421367223</v>
      </c>
      <c r="BR170" s="21">
        <f>EXP(-LN(2)/2)*BR169+(1-EXP(-LN(2)/2))/(LN(2)/2)*BL170*BO170*VLOOKUP('Données projet'!$B$11,Paramètres!$A$1:$I$89,3,0)*0.475*44/12</f>
        <v>3.3452256994663181E-12</v>
      </c>
      <c r="BS170" s="22">
        <f t="shared" si="169"/>
        <v>18.711073615976026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-1.7053025658242404E-13</v>
      </c>
      <c r="BZ170" s="13">
        <f>BY170*VLOOKUP('Données projet'!$B$12,Paramètres!$A$1:$I$89,3,0)*VLOOKUP('Données projet'!$B$12,Paramètres!$A$1:$I$89,5,0)</f>
        <v>-1.3567387213697657E-13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344.97546176735341</v>
      </c>
      <c r="CE170" s="59">
        <f t="shared" si="148"/>
        <v>331.15461126257492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18.456952931759009</v>
      </c>
      <c r="CL170" s="21">
        <f>EXP(-LN(2)/25)*CL169+(1-EXP(-LN(2)/25))/(LN(2)/25)*Calculateur!CG170*Calculateur!CI170*VLOOKUP('Données projet'!$B$12,Paramètres!$A$1:$I$89,3,0)*0.475*44/12</f>
        <v>0.25412068421367223</v>
      </c>
      <c r="CM170" s="21">
        <f>EXP(-LN(2)/2)*CM169+(1-EXP(-LN(2)/2))/(LN(2)/2)*CG170*CJ170*VLOOKUP('Données projet'!$B$12,Paramètres!$A$1:$I$89,3,0)*0.475*44/12</f>
        <v>3.3452256994663181E-12</v>
      </c>
      <c r="CN170" s="22">
        <f t="shared" si="172"/>
        <v>18.711073615976026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227.19465047672969</v>
      </c>
      <c r="CZ170" s="59">
        <f t="shared" si="150"/>
        <v>529.77979244134417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6.533278179276544</v>
      </c>
      <c r="DG170" s="21">
        <f>EXP(-LN(2)/25)*DG169+(1-EXP(-LN(2)/25))/(LN(2)/25)*Calculateur!DB170*Calculateur!DD170*VLOOKUP('Données projet'!$B$13,Paramètres!$A$1:$I$89,3,0)*0.475*44/12</f>
        <v>0.70991802244063862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7.2431962017171827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240.09151195692266</v>
      </c>
      <c r="DU170" s="59">
        <f t="shared" si="152"/>
        <v>559.47775134103165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6.9602898249808902</v>
      </c>
      <c r="EB170" s="21">
        <f>EXP(-LN(2)/25)*EB169+(1-EXP(-LN(2)/25))/(LN(2)/25)*Calculateur!DW170*Calculateur!DY170*VLOOKUP('Données projet'!$B$14,Paramètres!$A$1:$I$89,3,0)*0.475*44/12</f>
        <v>0.75631789318839338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7.7166077181692838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5.6843418860808015E-14</v>
      </c>
      <c r="EK170" s="17">
        <f>EJ170*VLOOKUP('Données projet'!$B$15,Paramètres!$A$1:$I$89,3,0)*VLOOKUP('Données projet'!$B$15,Paramètres!$A$1:$I$89,5,0)</f>
        <v>4.4337866711430253E-14</v>
      </c>
      <c r="EL170" s="13">
        <f t="shared" si="179"/>
        <v>7.3222115536967035E-13</v>
      </c>
      <c r="EM170" s="20">
        <f t="shared" si="180"/>
        <v>1.3525069634579169E-12</v>
      </c>
      <c r="EN170" s="59">
        <f t="shared" si="128"/>
        <v>285.83733633982587</v>
      </c>
      <c r="EO170" s="59">
        <f ca="1">AVERAGE(OFFSET($EN$3,0,0,'Données projet'!$E$15+1,1))-AVERAGE(OFFSET($H$3,0,0,'Données projet'!$E$15+1,1))</f>
        <v>328.79469965518484</v>
      </c>
      <c r="EP170" s="59">
        <f t="shared" si="154"/>
        <v>322.06400652269735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9.5417299385093859</v>
      </c>
      <c r="EW170" s="21">
        <f>EXP(-LN(2)/25)*EW169+(1-EXP(-LN(2)/25))/(LN(2)/25)*Calculateur!ER170*Calculateur!ET170*VLOOKUP('Données projet'!$B$15,Paramètres!$A$1:$I$89,3,0)*0.475*44/12</f>
        <v>0.6284538556100443</v>
      </c>
      <c r="EX170" s="21">
        <f>EXP(-LN(2)/2)*EX169+(1-EXP(-LN(2)/2))/(LN(2)/2)*ER170*EU170*VLOOKUP('Données projet'!$B$15,Paramètres!$A$1:$I$89,3,0)*0.475*44/12</f>
        <v>1.2950997465227565E-13</v>
      </c>
      <c r="EY170" s="22">
        <f t="shared" si="181"/>
        <v>10.170183794119559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-5.6843418860808015E-14</v>
      </c>
      <c r="FF170" s="17">
        <f>FE170*VLOOKUP('Données projet'!$B$16,Paramètres!$A$1:$I$89,3,0)*VLOOKUP('Données projet'!$B$16,Paramètres!$A$1:$I$89,5,0)</f>
        <v>-4.1677594708744434E-14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525.22234644068908</v>
      </c>
      <c r="FK170" s="59">
        <f t="shared" si="156"/>
        <v>311.5550296132094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50.674944875070793</v>
      </c>
      <c r="FR170" s="21">
        <f>EXP(-LN(2)/25)*FR169+(1-EXP(-LN(2)/25))/(LN(2)/25)*Calculateur!FM170*Calculateur!FO170*VLOOKUP('Données projet'!$B$16,Paramètres!$A$1:$I$89,3,0)*0.475*44/12</f>
        <v>9.1576521329234346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59.832597007994224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-1.7053025658242404E-13</v>
      </c>
      <c r="GA170" s="17">
        <f>FZ170*VLOOKUP('Données projet'!$B$17,Paramètres!$A$1:$I$89,3,0)*VLOOKUP('Données projet'!$B$17,Paramètres!$A$1:$I$89,5,0)</f>
        <v>-1.1173142411280423E-13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298.45881427802874</v>
      </c>
      <c r="GF170" s="59">
        <f t="shared" si="158"/>
        <v>287.00279305562356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12.3319485737169</v>
      </c>
      <c r="GM170" s="21">
        <f>EXP(-LN(2)/25)*GM169+(1-EXP(-LN(2)/25))/(LN(2)/25)*Calculateur!GH170*Calculateur!GJ170*VLOOKUP('Données projet'!$B$17,Paramètres!$A$1:$I$89,3,0)*0.475*44/12</f>
        <v>0.16978984672212066</v>
      </c>
      <c r="GN170" s="21">
        <f>EXP(-LN(2)/2)*GN169+(1-EXP(-LN(2)/2))/(LN(2)/2)*GH170*GK170*VLOOKUP('Données projet'!$B$17,Paramètres!$A$1:$I$89,3,0)*0.475*44/12</f>
        <v>2.7548917525016724E-12</v>
      </c>
      <c r="GO170" s="21">
        <f t="shared" si="187"/>
        <v>12.501738420441777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135.66666666666666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-7.9580786405131221E-13</v>
      </c>
      <c r="O171" s="13">
        <f>N171*VLOOKUP('Données projet'!$B$9,Paramètres!$A$1:$I$89,3,0)*VLOOKUP('Données projet'!$B$9,Paramètres!$A$1:$I$89,5,0)</f>
        <v>-7.2004695539362725E-13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600.52384738314299</v>
      </c>
      <c r="T171" s="59">
        <f t="shared" si="142"/>
        <v>314.84650287986256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138.29687958787216</v>
      </c>
      <c r="AA171" s="21">
        <f>EXP(-LN(2)/25)*AA170+(1-EXP(-LN(2)/25))/(LN(2)/25)*Calculateur!V171*Calculateur!X171*VLOOKUP('Données projet'!$B$9,Paramètres!$A$1:$I$89,3,0)*0.475*44/12</f>
        <v>20.894759930989746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159.1916395188619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-1.4897523215040567E-13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436.77894860279537</v>
      </c>
      <c r="AO171" s="59">
        <f t="shared" si="144"/>
        <v>398.63561969573072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31.075533281155522</v>
      </c>
      <c r="AV171" s="21">
        <f>EXP(-LN(2)/25)*AV170+(1-EXP(-LN(2)/25))/(LN(2)/25)*Calculateur!AQ171*Calculateur!AS171*VLOOKUP('Données projet'!$B$10,Paramètres!$A$1:$I$89,3,0)*0.475*44/12</f>
        <v>2.9044708312340166</v>
      </c>
      <c r="AW171" s="21">
        <f>EXP(-LN(2)/2)*AW170+(1-EXP(-LN(2)/2))/(LN(2)/2)*AQ171*AT171*VLOOKUP('Données projet'!$B$10,Paramètres!$A$1:$I$89,3,0)*0.475*44/12</f>
        <v>2.6752825828237677E-21</v>
      </c>
      <c r="AX171" s="21">
        <f t="shared" si="166"/>
        <v>33.980004112389537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-1.3567387213697657E-13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344.97546176735341</v>
      </c>
      <c r="BJ171" s="59">
        <f t="shared" si="146"/>
        <v>331.15461126257492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18.095023342396903</v>
      </c>
      <c r="BQ171" s="21">
        <f>EXP(-LN(2)/25)*BQ170+(1-EXP(-LN(2)/25))/(LN(2)/25)*Calculateur!BL171*Calculateur!BN171*VLOOKUP('Données projet'!$B$11,Paramètres!$A$1:$I$89,3,0)*0.475*44/12</f>
        <v>0.24717174074022338</v>
      </c>
      <c r="BR171" s="21">
        <f>EXP(-LN(2)/2)*BR170+(1-EXP(-LN(2)/2))/(LN(2)/2)*BL171*BO171*VLOOKUP('Données projet'!$B$11,Paramètres!$A$1:$I$89,3,0)*0.475*44/12</f>
        <v>2.3654317766921451E-12</v>
      </c>
      <c r="BS171" s="22">
        <f t="shared" si="169"/>
        <v>18.342195083139494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-1.7053025658242404E-13</v>
      </c>
      <c r="BZ171" s="13">
        <f>BY171*VLOOKUP('Données projet'!$B$12,Paramètres!$A$1:$I$89,3,0)*VLOOKUP('Données projet'!$B$12,Paramètres!$A$1:$I$89,5,0)</f>
        <v>-1.3567387213697657E-13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344.97546176735341</v>
      </c>
      <c r="CE171" s="59">
        <f t="shared" si="148"/>
        <v>331.15461126257492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18.095023342396903</v>
      </c>
      <c r="CL171" s="21">
        <f>EXP(-LN(2)/25)*CL170+(1-EXP(-LN(2)/25))/(LN(2)/25)*Calculateur!CG171*Calculateur!CI171*VLOOKUP('Données projet'!$B$12,Paramètres!$A$1:$I$89,3,0)*0.475*44/12</f>
        <v>0.24717174074022338</v>
      </c>
      <c r="CM171" s="21">
        <f>EXP(-LN(2)/2)*CM170+(1-EXP(-LN(2)/2))/(LN(2)/2)*CG171*CJ171*VLOOKUP('Données projet'!$B$12,Paramètres!$A$1:$I$89,3,0)*0.475*44/12</f>
        <v>2.3654317766921451E-12</v>
      </c>
      <c r="CN171" s="22">
        <f t="shared" si="172"/>
        <v>18.342195083139494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227.19465047672969</v>
      </c>
      <c r="CZ171" s="59">
        <f t="shared" si="150"/>
        <v>529.77979244134417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6.4051645790871437</v>
      </c>
      <c r="DG171" s="21">
        <f>EXP(-LN(2)/25)*DG170+(1-EXP(-LN(2)/25))/(LN(2)/25)*Calculateur!DB171*Calculateur!DD171*VLOOKUP('Données projet'!$B$13,Paramètres!$A$1:$I$89,3,0)*0.475*44/12</f>
        <v>0.69050527678403306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7.0956698558711766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240.09151195692266</v>
      </c>
      <c r="DU171" s="59">
        <f t="shared" si="152"/>
        <v>559.47775134103165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6.8238027868706137</v>
      </c>
      <c r="EB171" s="21">
        <f>EXP(-LN(2)/25)*EB170+(1-EXP(-LN(2)/25))/(LN(2)/25)*Calculateur!DW171*Calculateur!DY171*VLOOKUP('Données projet'!$B$14,Paramètres!$A$1:$I$89,3,0)*0.475*44/12</f>
        <v>0.73563634062612737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7.5594391274967414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5.6843418860808015E-14</v>
      </c>
      <c r="EK171" s="17">
        <f>EJ171*VLOOKUP('Données projet'!$B$15,Paramètres!$A$1:$I$89,3,0)*VLOOKUP('Données projet'!$B$15,Paramètres!$A$1:$I$89,5,0)</f>
        <v>4.4337866711430253E-14</v>
      </c>
      <c r="EL171" s="13">
        <f t="shared" si="179"/>
        <v>7.3222115536967035E-13</v>
      </c>
      <c r="EM171" s="20">
        <f t="shared" si="180"/>
        <v>1.3525069634579169E-12</v>
      </c>
      <c r="EN171" s="59">
        <f t="shared" si="128"/>
        <v>285.96737512912455</v>
      </c>
      <c r="EO171" s="59">
        <f ca="1">AVERAGE(OFFSET($EN$3,0,0,'Données projet'!$E$15+1,1))-AVERAGE(OFFSET($H$3,0,0,'Données projet'!$E$15+1,1))</f>
        <v>328.79469965518484</v>
      </c>
      <c r="EP171" s="59">
        <f t="shared" si="154"/>
        <v>322.06400652269735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9.3546224342958144</v>
      </c>
      <c r="EW171" s="21">
        <f>EXP(-LN(2)/25)*EW170+(1-EXP(-LN(2)/25))/(LN(2)/25)*Calculateur!ER171*Calculateur!ET171*VLOOKUP('Données projet'!$B$15,Paramètres!$A$1:$I$89,3,0)*0.475*44/12</f>
        <v>0.61126875187943575</v>
      </c>
      <c r="EX171" s="21">
        <f>EXP(-LN(2)/2)*EX170+(1-EXP(-LN(2)/2))/(LN(2)/2)*ER171*EU171*VLOOKUP('Données projet'!$B$15,Paramètres!$A$1:$I$89,3,0)*0.475*44/12</f>
        <v>9.1577381307921994E-14</v>
      </c>
      <c r="EY171" s="22">
        <f t="shared" si="181"/>
        <v>9.9658911861753428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-5.6843418860808015E-14</v>
      </c>
      <c r="FF171" s="17">
        <f>FE171*VLOOKUP('Données projet'!$B$16,Paramètres!$A$1:$I$89,3,0)*VLOOKUP('Données projet'!$B$16,Paramètres!$A$1:$I$89,5,0)</f>
        <v>-4.1677594708744434E-14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525.22234644068908</v>
      </c>
      <c r="FK171" s="59">
        <f t="shared" si="156"/>
        <v>311.5550296132094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49.681240114735054</v>
      </c>
      <c r="FR171" s="21">
        <f>EXP(-LN(2)/25)*FR170+(1-EXP(-LN(2)/25))/(LN(2)/25)*Calculateur!FM171*Calculateur!FO171*VLOOKUP('Données projet'!$B$16,Paramètres!$A$1:$I$89,3,0)*0.475*44/12</f>
        <v>8.9072356537686481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58.588475768503699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-1.7053025658242404E-13</v>
      </c>
      <c r="GA171" s="17">
        <f>FZ171*VLOOKUP('Données projet'!$B$17,Paramètres!$A$1:$I$89,3,0)*VLOOKUP('Données projet'!$B$17,Paramètres!$A$1:$I$89,5,0)</f>
        <v>-1.1173142411280423E-13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298.45881427802874</v>
      </c>
      <c r="GF171" s="59">
        <f t="shared" si="158"/>
        <v>287.00279305562356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12.090126583932232</v>
      </c>
      <c r="GM171" s="21">
        <f>EXP(-LN(2)/25)*GM170+(1-EXP(-LN(2)/25))/(LN(2)/25)*Calculateur!GH171*Calculateur!GJ171*VLOOKUP('Données projet'!$B$17,Paramètres!$A$1:$I$89,3,0)*0.475*44/12</f>
        <v>0.16514693443464429</v>
      </c>
      <c r="GN171" s="21">
        <f>EXP(-LN(2)/2)*GN170+(1-EXP(-LN(2)/2))/(LN(2)/2)*GH171*GK171*VLOOKUP('Données projet'!$B$17,Paramètres!$A$1:$I$89,3,0)*0.475*44/12</f>
        <v>1.9480026396288245E-12</v>
      </c>
      <c r="GO171" s="21">
        <f t="shared" si="187"/>
        <v>12.255273518368824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135.66666666666666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-7.9580786405131221E-13</v>
      </c>
      <c r="O172" s="13">
        <f>N172*VLOOKUP('Données projet'!$B$9,Paramètres!$A$1:$I$89,3,0)*VLOOKUP('Données projet'!$B$9,Paramètres!$A$1:$I$89,5,0)</f>
        <v>-7.2004695539362725E-13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600.52384738314299</v>
      </c>
      <c r="T172" s="59">
        <f t="shared" si="142"/>
        <v>314.84650287986256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135.5849621319214</v>
      </c>
      <c r="AA172" s="21">
        <f>EXP(-LN(2)/25)*AA171+(1-EXP(-LN(2)/25))/(LN(2)/25)*Calculateur!V172*Calculateur!X172*VLOOKUP('Données projet'!$B$9,Paramètres!$A$1:$I$89,3,0)*0.475*44/12</f>
        <v>20.323391621869163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155.90835375379055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-1.4897523215040567E-13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436.77894860279537</v>
      </c>
      <c r="AO172" s="59">
        <f t="shared" si="144"/>
        <v>398.63561969573072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30.466161027715792</v>
      </c>
      <c r="AV172" s="21">
        <f>EXP(-LN(2)/25)*AV171+(1-EXP(-LN(2)/25))/(LN(2)/25)*Calculateur!AQ172*Calculateur!AS172*VLOOKUP('Données projet'!$B$10,Paramètres!$A$1:$I$89,3,0)*0.475*44/12</f>
        <v>2.8250479236144397</v>
      </c>
      <c r="AW172" s="21">
        <f>EXP(-LN(2)/2)*AW171+(1-EXP(-LN(2)/2))/(LN(2)/2)*AQ172*AT172*VLOOKUP('Données projet'!$B$10,Paramètres!$A$1:$I$89,3,0)*0.475*44/12</f>
        <v>1.8917104559049476E-21</v>
      </c>
      <c r="AX172" s="21">
        <f t="shared" si="166"/>
        <v>33.291208951330233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-1.3567387213697657E-13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344.97546176735341</v>
      </c>
      <c r="BJ172" s="59">
        <f t="shared" si="146"/>
        <v>331.15461126257492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17.740190971526939</v>
      </c>
      <c r="BQ172" s="21">
        <f>EXP(-LN(2)/25)*BQ171+(1-EXP(-LN(2)/25))/(LN(2)/25)*Calculateur!BL172*Calculateur!BN172*VLOOKUP('Données projet'!$B$11,Paramètres!$A$1:$I$89,3,0)*0.475*44/12</f>
        <v>0.24041281649148505</v>
      </c>
      <c r="BR172" s="21">
        <f>EXP(-LN(2)/2)*BR171+(1-EXP(-LN(2)/2))/(LN(2)/2)*BL172*BO172*VLOOKUP('Données projet'!$B$11,Paramètres!$A$1:$I$89,3,0)*0.475*44/12</f>
        <v>1.672612849733159E-12</v>
      </c>
      <c r="BS172" s="22">
        <f t="shared" si="169"/>
        <v>17.980603788020098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-1.7053025658242404E-13</v>
      </c>
      <c r="BZ172" s="13">
        <f>BY172*VLOOKUP('Données projet'!$B$12,Paramètres!$A$1:$I$89,3,0)*VLOOKUP('Données projet'!$B$12,Paramètres!$A$1:$I$89,5,0)</f>
        <v>-1.3567387213697657E-13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344.97546176735341</v>
      </c>
      <c r="CE172" s="59">
        <f t="shared" si="148"/>
        <v>331.15461126257492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17.740190971526939</v>
      </c>
      <c r="CL172" s="21">
        <f>EXP(-LN(2)/25)*CL171+(1-EXP(-LN(2)/25))/(LN(2)/25)*Calculateur!CG172*Calculateur!CI172*VLOOKUP('Données projet'!$B$12,Paramètres!$A$1:$I$89,3,0)*0.475*44/12</f>
        <v>0.24041281649148505</v>
      </c>
      <c r="CM172" s="21">
        <f>EXP(-LN(2)/2)*CM171+(1-EXP(-LN(2)/2))/(LN(2)/2)*CG172*CJ172*VLOOKUP('Données projet'!$B$12,Paramètres!$A$1:$I$89,3,0)*0.475*44/12</f>
        <v>1.672612849733159E-12</v>
      </c>
      <c r="CN172" s="22">
        <f t="shared" si="172"/>
        <v>17.980603788020098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227.19465047672969</v>
      </c>
      <c r="CZ172" s="59">
        <f t="shared" si="150"/>
        <v>529.77979244134417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6.279563208455877</v>
      </c>
      <c r="DG172" s="21">
        <f>EXP(-LN(2)/25)*DG171+(1-EXP(-LN(2)/25))/(LN(2)/25)*Calculateur!DB172*Calculateur!DD172*VLOOKUP('Données projet'!$B$13,Paramètres!$A$1:$I$89,3,0)*0.475*44/12</f>
        <v>0.67162337367827929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6.9511865821341559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240.09151195692266</v>
      </c>
      <c r="DU172" s="59">
        <f t="shared" si="152"/>
        <v>559.47775134103165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6.6899921763288068</v>
      </c>
      <c r="EB172" s="21">
        <f>EXP(-LN(2)/25)*EB171+(1-EXP(-LN(2)/25))/(LN(2)/25)*Calculateur!DW172*Calculateur!DY172*VLOOKUP('Données projet'!$B$14,Paramètres!$A$1:$I$89,3,0)*0.475*44/12</f>
        <v>0.71552032620627204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7.4055125025350792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5.6843418860808015E-14</v>
      </c>
      <c r="EK172" s="17">
        <f>EJ172*VLOOKUP('Données projet'!$B$15,Paramètres!$A$1:$I$89,3,0)*VLOOKUP('Données projet'!$B$15,Paramètres!$A$1:$I$89,5,0)</f>
        <v>4.4337866711430253E-14</v>
      </c>
      <c r="EL172" s="13">
        <f t="shared" si="179"/>
        <v>7.3222115536967035E-13</v>
      </c>
      <c r="EM172" s="20">
        <f t="shared" si="180"/>
        <v>1.3525069634579169E-12</v>
      </c>
      <c r="EN172" s="59">
        <f t="shared" si="128"/>
        <v>286.0951580361521</v>
      </c>
      <c r="EO172" s="59">
        <f ca="1">AVERAGE(OFFSET($EN$3,0,0,'Données projet'!$E$15+1,1))-AVERAGE(OFFSET($H$3,0,0,'Données projet'!$E$15+1,1))</f>
        <v>328.79469965518484</v>
      </c>
      <c r="EP172" s="59">
        <f t="shared" si="154"/>
        <v>322.06400652269735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9.1711839941155624</v>
      </c>
      <c r="EW172" s="21">
        <f>EXP(-LN(2)/25)*EW171+(1-EXP(-LN(2)/25))/(LN(2)/25)*Calculateur!ER172*Calculateur!ET172*VLOOKUP('Données projet'!$B$15,Paramètres!$A$1:$I$89,3,0)*0.475*44/12</f>
        <v>0.59455357571406597</v>
      </c>
      <c r="EX172" s="21">
        <f>EXP(-LN(2)/2)*EX171+(1-EXP(-LN(2)/2))/(LN(2)/2)*ER172*EU172*VLOOKUP('Données projet'!$B$15,Paramètres!$A$1:$I$89,3,0)*0.475*44/12</f>
        <v>6.4754987326137824E-14</v>
      </c>
      <c r="EY172" s="22">
        <f t="shared" si="181"/>
        <v>9.7657375698296924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-5.6843418860808015E-14</v>
      </c>
      <c r="FF172" s="17">
        <f>FE172*VLOOKUP('Données projet'!$B$16,Paramètres!$A$1:$I$89,3,0)*VLOOKUP('Données projet'!$B$16,Paramètres!$A$1:$I$89,5,0)</f>
        <v>-4.1677594708744434E-14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525.22234644068908</v>
      </c>
      <c r="FK172" s="59">
        <f t="shared" si="156"/>
        <v>311.5550296132094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48.707021298649437</v>
      </c>
      <c r="FR172" s="21">
        <f>EXP(-LN(2)/25)*FR171+(1-EXP(-LN(2)/25))/(LN(2)/25)*Calculateur!FM172*Calculateur!FO172*VLOOKUP('Données projet'!$B$16,Paramètres!$A$1:$I$89,3,0)*0.475*44/12</f>
        <v>8.6636668264051799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57.370688125054613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-1.7053025658242404E-13</v>
      </c>
      <c r="GA172" s="17">
        <f>FZ172*VLOOKUP('Données projet'!$B$17,Paramètres!$A$1:$I$89,3,0)*VLOOKUP('Données projet'!$B$17,Paramètres!$A$1:$I$89,5,0)</f>
        <v>-1.1173142411280423E-13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298.45881427802874</v>
      </c>
      <c r="GF172" s="59">
        <f t="shared" si="158"/>
        <v>287.00279305562356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11.85304657587039</v>
      </c>
      <c r="GM172" s="21">
        <f>EXP(-LN(2)/25)*GM171+(1-EXP(-LN(2)/25))/(LN(2)/25)*Calculateur!GH172*Calculateur!GJ172*VLOOKUP('Données projet'!$B$17,Paramètres!$A$1:$I$89,3,0)*0.475*44/12</f>
        <v>0.16063098282782912</v>
      </c>
      <c r="GN172" s="21">
        <f>EXP(-LN(2)/2)*GN171+(1-EXP(-LN(2)/2))/(LN(2)/2)*GH172*GK172*VLOOKUP('Données projet'!$B$17,Paramètres!$A$1:$I$89,3,0)*0.475*44/12</f>
        <v>1.3774458762508362E-12</v>
      </c>
      <c r="GO172" s="21">
        <f t="shared" si="187"/>
        <v>12.013677558699596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135.66666666666666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-7.9580786405131221E-13</v>
      </c>
      <c r="O173" s="13">
        <f>N173*VLOOKUP('Données projet'!$B$9,Paramètres!$A$1:$I$89,3,0)*VLOOKUP('Données projet'!$B$9,Paramètres!$A$1:$I$89,5,0)</f>
        <v>-7.2004695539362725E-13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600.52384738314299</v>
      </c>
      <c r="T173" s="59">
        <f t="shared" si="142"/>
        <v>314.84650287986256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132.9262237231755</v>
      </c>
      <c r="AA173" s="21">
        <f>EXP(-LN(2)/25)*AA172+(1-EXP(-LN(2)/25))/(LN(2)/25)*Calculateur!V173*Calculateur!X173*VLOOKUP('Données projet'!$B$9,Paramètres!$A$1:$I$89,3,0)*0.475*44/12</f>
        <v>19.767647409208436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152.69387113238395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-1.4897523215040567E-13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436.77894860279537</v>
      </c>
      <c r="AO173" s="59">
        <f t="shared" si="144"/>
        <v>398.63561969573072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29.86873819248564</v>
      </c>
      <c r="AV173" s="21">
        <f>EXP(-LN(2)/25)*AV172+(1-EXP(-LN(2)/25))/(LN(2)/25)*Calculateur!AQ173*Calculateur!AS173*VLOOKUP('Données projet'!$B$10,Paramètres!$A$1:$I$89,3,0)*0.475*44/12</f>
        <v>2.7477968395803893</v>
      </c>
      <c r="AW173" s="21">
        <f>EXP(-LN(2)/2)*AW172+(1-EXP(-LN(2)/2))/(LN(2)/2)*AQ173*AT173*VLOOKUP('Données projet'!$B$10,Paramètres!$A$1:$I$89,3,0)*0.475*44/12</f>
        <v>1.3376412914118839E-21</v>
      </c>
      <c r="AX173" s="21">
        <f t="shared" si="166"/>
        <v>32.616535032066032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-1.3567387213697657E-13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344.97546176735341</v>
      </c>
      <c r="BJ173" s="59">
        <f t="shared" si="146"/>
        <v>331.15461126257492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17.392316647023357</v>
      </c>
      <c r="BQ173" s="21">
        <f>EXP(-LN(2)/25)*BQ172+(1-EXP(-LN(2)/25))/(LN(2)/25)*Calculateur!BL173*Calculateur!BN173*VLOOKUP('Données projet'!$B$11,Paramètres!$A$1:$I$89,3,0)*0.475*44/12</f>
        <v>0.23383871538176484</v>
      </c>
      <c r="BR173" s="21">
        <f>EXP(-LN(2)/2)*BR172+(1-EXP(-LN(2)/2))/(LN(2)/2)*BL173*BO173*VLOOKUP('Données projet'!$B$11,Paramètres!$A$1:$I$89,3,0)*0.475*44/12</f>
        <v>1.1827158883460726E-12</v>
      </c>
      <c r="BS173" s="22">
        <f t="shared" si="169"/>
        <v>17.626155362406305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-1.7053025658242404E-13</v>
      </c>
      <c r="BZ173" s="13">
        <f>BY173*VLOOKUP('Données projet'!$B$12,Paramètres!$A$1:$I$89,3,0)*VLOOKUP('Données projet'!$B$12,Paramètres!$A$1:$I$89,5,0)</f>
        <v>-1.3567387213697657E-13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344.97546176735341</v>
      </c>
      <c r="CE173" s="59">
        <f t="shared" si="148"/>
        <v>331.15461126257492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17.392316647023357</v>
      </c>
      <c r="CL173" s="21">
        <f>EXP(-LN(2)/25)*CL172+(1-EXP(-LN(2)/25))/(LN(2)/25)*Calculateur!CG173*Calculateur!CI173*VLOOKUP('Données projet'!$B$12,Paramètres!$A$1:$I$89,3,0)*0.475*44/12</f>
        <v>0.23383871538176484</v>
      </c>
      <c r="CM173" s="21">
        <f>EXP(-LN(2)/2)*CM172+(1-EXP(-LN(2)/2))/(LN(2)/2)*CG173*CJ173*VLOOKUP('Données projet'!$B$12,Paramètres!$A$1:$I$89,3,0)*0.475*44/12</f>
        <v>1.1827158883460726E-12</v>
      </c>
      <c r="CN173" s="22">
        <f t="shared" si="172"/>
        <v>17.626155362406305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227.19465047672969</v>
      </c>
      <c r="CZ173" s="59">
        <f t="shared" si="150"/>
        <v>529.77979244134417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6.156424804093418</v>
      </c>
      <c r="DG173" s="21">
        <f>EXP(-LN(2)/25)*DG172+(1-EXP(-LN(2)/25))/(LN(2)/25)*Calculateur!DB173*Calculateur!DD173*VLOOKUP('Données projet'!$B$13,Paramètres!$A$1:$I$89,3,0)*0.475*44/12</f>
        <v>0.65325779720590849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6.8096826012993263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240.09151195692266</v>
      </c>
      <c r="DU173" s="59">
        <f t="shared" si="152"/>
        <v>559.47775134103165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6.5588055102433112</v>
      </c>
      <c r="EB173" s="21">
        <f>EXP(-LN(2)/25)*EB172+(1-EXP(-LN(2)/25))/(LN(2)/25)*Calculateur!DW173*Calculateur!DY173*VLOOKUP('Données projet'!$B$14,Paramètres!$A$1:$I$89,3,0)*0.475*44/12</f>
        <v>0.69595438525858289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7.2547598955018939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5.6843418860808015E-14</v>
      </c>
      <c r="EK173" s="17">
        <f>EJ173*VLOOKUP('Données projet'!$B$15,Paramètres!$A$1:$I$89,3,0)*VLOOKUP('Données projet'!$B$15,Paramètres!$A$1:$I$89,5,0)</f>
        <v>4.4337866711430253E-14</v>
      </c>
      <c r="EL173" s="13">
        <f t="shared" si="179"/>
        <v>7.3222115536967035E-13</v>
      </c>
      <c r="EM173" s="20">
        <f t="shared" si="180"/>
        <v>1.3525069634579169E-12</v>
      </c>
      <c r="EN173" s="59">
        <f t="shared" si="128"/>
        <v>286.22072419542252</v>
      </c>
      <c r="EO173" s="59">
        <f ca="1">AVERAGE(OFFSET($EN$3,0,0,'Données projet'!$E$15+1,1))-AVERAGE(OFFSET($H$3,0,0,'Données projet'!$E$15+1,1))</f>
        <v>328.79469965518484</v>
      </c>
      <c r="EP173" s="59">
        <f t="shared" si="154"/>
        <v>322.06400652269735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8.9913426698608436</v>
      </c>
      <c r="EW173" s="21">
        <f>EXP(-LN(2)/25)*EW172+(1-EXP(-LN(2)/25))/(LN(2)/25)*Calculateur!ER173*Calculateur!ET173*VLOOKUP('Données projet'!$B$15,Paramètres!$A$1:$I$89,3,0)*0.475*44/12</f>
        <v>0.5782954769199512</v>
      </c>
      <c r="EX173" s="21">
        <f>EXP(-LN(2)/2)*EX172+(1-EXP(-LN(2)/2))/(LN(2)/2)*ER173*EU173*VLOOKUP('Données projet'!$B$15,Paramètres!$A$1:$I$89,3,0)*0.475*44/12</f>
        <v>4.5788690653960997E-14</v>
      </c>
      <c r="EY173" s="22">
        <f t="shared" si="181"/>
        <v>9.5696381467808411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-5.6843418860808015E-14</v>
      </c>
      <c r="FF173" s="17">
        <f>FE173*VLOOKUP('Données projet'!$B$16,Paramètres!$A$1:$I$89,3,0)*VLOOKUP('Données projet'!$B$16,Paramètres!$A$1:$I$89,5,0)</f>
        <v>-4.1677594708744434E-14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525.22234644068908</v>
      </c>
      <c r="FK173" s="59">
        <f t="shared" si="156"/>
        <v>311.5550296132094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47.751906319332456</v>
      </c>
      <c r="FR173" s="21">
        <f>EXP(-LN(2)/25)*FR172+(1-EXP(-LN(2)/25))/(LN(2)/25)*Calculateur!FM173*Calculateur!FO173*VLOOKUP('Données projet'!$B$16,Paramètres!$A$1:$I$89,3,0)*0.475*44/12</f>
        <v>8.426758401434693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56.178664720767145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-1.7053025658242404E-13</v>
      </c>
      <c r="GA173" s="17">
        <f>FZ173*VLOOKUP('Données projet'!$B$17,Paramètres!$A$1:$I$89,3,0)*VLOOKUP('Données projet'!$B$17,Paramètres!$A$1:$I$89,5,0)</f>
        <v>-1.1173142411280423E-13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298.45881427802874</v>
      </c>
      <c r="GF173" s="59">
        <f t="shared" si="158"/>
        <v>287.00279305562356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11.620615562162115</v>
      </c>
      <c r="GM173" s="21">
        <f>EXP(-LN(2)/25)*GM172+(1-EXP(-LN(2)/25))/(LN(2)/25)*Calculateur!GH173*Calculateur!GJ173*VLOOKUP('Données projet'!$B$17,Paramètres!$A$1:$I$89,3,0)*0.475*44/12</f>
        <v>0.15623852015518586</v>
      </c>
      <c r="GN173" s="21">
        <f>EXP(-LN(2)/2)*GN172+(1-EXP(-LN(2)/2))/(LN(2)/2)*GH173*GK173*VLOOKUP('Données projet'!$B$17,Paramètres!$A$1:$I$89,3,0)*0.475*44/12</f>
        <v>9.7400131981441226E-13</v>
      </c>
      <c r="GO173" s="21">
        <f t="shared" si="187"/>
        <v>11.776854082318275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135.66666666666666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-7.9580786405131221E-13</v>
      </c>
      <c r="O174" s="13">
        <f>N174*VLOOKUP('Données projet'!$B$9,Paramètres!$A$1:$I$89,3,0)*VLOOKUP('Données projet'!$B$9,Paramètres!$A$1:$I$89,5,0)</f>
        <v>-7.2004695539362725E-13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600.52384738314299</v>
      </c>
      <c r="T174" s="59">
        <f t="shared" si="142"/>
        <v>314.84650287986256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130.3196215529548</v>
      </c>
      <c r="AA174" s="21">
        <f>EXP(-LN(2)/25)*AA173+(1-EXP(-LN(2)/25))/(LN(2)/25)*Calculateur!V174*Calculateur!X174*VLOOKUP('Données projet'!$B$9,Paramètres!$A$1:$I$89,3,0)*0.475*44/12</f>
        <v>19.227100051268234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149.54672160422302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-1.4897523215040567E-13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436.77894860279537</v>
      </c>
      <c r="AO174" s="59">
        <f t="shared" si="144"/>
        <v>398.63561969573072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29.283030454662402</v>
      </c>
      <c r="AV174" s="21">
        <f>EXP(-LN(2)/25)*AV173+(1-EXP(-LN(2)/25))/(LN(2)/25)*Calculateur!AQ174*Calculateur!AS174*VLOOKUP('Données projet'!$B$10,Paramètres!$A$1:$I$89,3,0)*0.475*44/12</f>
        <v>2.6726581905017079</v>
      </c>
      <c r="AW174" s="21">
        <f>EXP(-LN(2)/2)*AW173+(1-EXP(-LN(2)/2))/(LN(2)/2)*AQ174*AT174*VLOOKUP('Données projet'!$B$10,Paramètres!$A$1:$I$89,3,0)*0.475*44/12</f>
        <v>9.4585522795247381E-22</v>
      </c>
      <c r="AX174" s="21">
        <f t="shared" si="166"/>
        <v>31.955688645164109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-1.3567387213697657E-13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344.97546176735341</v>
      </c>
      <c r="BJ174" s="59">
        <f t="shared" si="146"/>
        <v>331.15461126257492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17.051263925840903</v>
      </c>
      <c r="BQ174" s="21">
        <f>EXP(-LN(2)/25)*BQ173+(1-EXP(-LN(2)/25))/(LN(2)/25)*Calculateur!BL174*Calculateur!BN174*VLOOKUP('Données projet'!$B$11,Paramètres!$A$1:$I$89,3,0)*0.475*44/12</f>
        <v>0.22744438341260689</v>
      </c>
      <c r="BR174" s="21">
        <f>EXP(-LN(2)/2)*BR173+(1-EXP(-LN(2)/2))/(LN(2)/2)*BL174*BO174*VLOOKUP('Données projet'!$B$11,Paramètres!$A$1:$I$89,3,0)*0.475*44/12</f>
        <v>8.3630642486657952E-13</v>
      </c>
      <c r="BS174" s="22">
        <f t="shared" si="169"/>
        <v>17.278708309254345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-1.7053025658242404E-13</v>
      </c>
      <c r="BZ174" s="13">
        <f>BY174*VLOOKUP('Données projet'!$B$12,Paramètres!$A$1:$I$89,3,0)*VLOOKUP('Données projet'!$B$12,Paramètres!$A$1:$I$89,5,0)</f>
        <v>-1.3567387213697657E-13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344.97546176735341</v>
      </c>
      <c r="CE174" s="59">
        <f t="shared" si="148"/>
        <v>331.15461126257492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17.051263925840903</v>
      </c>
      <c r="CL174" s="21">
        <f>EXP(-LN(2)/25)*CL173+(1-EXP(-LN(2)/25))/(LN(2)/25)*Calculateur!CG174*Calculateur!CI174*VLOOKUP('Données projet'!$B$12,Paramètres!$A$1:$I$89,3,0)*0.475*44/12</f>
        <v>0.22744438341260689</v>
      </c>
      <c r="CM174" s="21">
        <f>EXP(-LN(2)/2)*CM173+(1-EXP(-LN(2)/2))/(LN(2)/2)*CG174*CJ174*VLOOKUP('Données projet'!$B$12,Paramètres!$A$1:$I$89,3,0)*0.475*44/12</f>
        <v>8.3630642486657952E-13</v>
      </c>
      <c r="CN174" s="22">
        <f t="shared" si="172"/>
        <v>17.278708309254345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227.19465047672969</v>
      </c>
      <c r="CZ174" s="59">
        <f t="shared" si="150"/>
        <v>529.77979244134417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6.0357010687334967</v>
      </c>
      <c r="DG174" s="21">
        <f>EXP(-LN(2)/25)*DG173+(1-EXP(-LN(2)/25))/(LN(2)/25)*Calculateur!DB174*Calculateur!DD174*VLOOKUP('Données projet'!$B$13,Paramètres!$A$1:$I$89,3,0)*0.475*44/12</f>
        <v>0.63539442838797844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6.6710954971214749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240.09151195692266</v>
      </c>
      <c r="DU174" s="59">
        <f t="shared" si="152"/>
        <v>559.47775134103165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6.4301913346637871</v>
      </c>
      <c r="EB174" s="21">
        <f>EXP(-LN(2)/25)*EB173+(1-EXP(-LN(2)/25))/(LN(2)/25)*Calculateur!DW174*Calculateur!DY174*VLOOKUP('Données projet'!$B$14,Paramètres!$A$1:$I$89,3,0)*0.475*44/12</f>
        <v>0.67692347599503644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7.1071148106588238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5.6843418860808015E-14</v>
      </c>
      <c r="EK174" s="17">
        <f>EJ174*VLOOKUP('Données projet'!$B$15,Paramètres!$A$1:$I$89,3,0)*VLOOKUP('Données projet'!$B$15,Paramètres!$A$1:$I$89,5,0)</f>
        <v>4.4337866711430253E-14</v>
      </c>
      <c r="EL174" s="13">
        <f t="shared" si="179"/>
        <v>7.3222115536967035E-13</v>
      </c>
      <c r="EM174" s="20">
        <f t="shared" si="180"/>
        <v>1.3525069634579169E-12</v>
      </c>
      <c r="EN174" s="59">
        <f t="shared" si="128"/>
        <v>286.34411206255345</v>
      </c>
      <c r="EO174" s="59">
        <f ca="1">AVERAGE(OFFSET($EN$3,0,0,'Données projet'!$E$15+1,1))-AVERAGE(OFFSET($H$3,0,0,'Données projet'!$E$15+1,1))</f>
        <v>328.79469965518484</v>
      </c>
      <c r="EP174" s="59">
        <f t="shared" si="154"/>
        <v>322.06400652269735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8.8150279242823828</v>
      </c>
      <c r="EW174" s="21">
        <f>EXP(-LN(2)/25)*EW173+(1-EXP(-LN(2)/25))/(LN(2)/25)*Calculateur!ER174*Calculateur!ET174*VLOOKUP('Données projet'!$B$15,Paramètres!$A$1:$I$89,3,0)*0.475*44/12</f>
        <v>0.56248195669233769</v>
      </c>
      <c r="EX174" s="21">
        <f>EXP(-LN(2)/2)*EX173+(1-EXP(-LN(2)/2))/(LN(2)/2)*ER174*EU174*VLOOKUP('Données projet'!$B$15,Paramètres!$A$1:$I$89,3,0)*0.475*44/12</f>
        <v>3.2377493663068912E-14</v>
      </c>
      <c r="EY174" s="22">
        <f t="shared" si="181"/>
        <v>9.3775098809747526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-5.6843418860808015E-14</v>
      </c>
      <c r="FF174" s="17">
        <f>FE174*VLOOKUP('Données projet'!$B$16,Paramètres!$A$1:$I$89,3,0)*VLOOKUP('Données projet'!$B$16,Paramètres!$A$1:$I$89,5,0)</f>
        <v>-4.1677594708744434E-14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525.22234644068908</v>
      </c>
      <c r="FK174" s="59">
        <f t="shared" si="156"/>
        <v>311.5550296132094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46.815520562197271</v>
      </c>
      <c r="FR174" s="21">
        <f>EXP(-LN(2)/25)*FR173+(1-EXP(-LN(2)/25))/(LN(2)/25)*Calculateur!FM174*Calculateur!FO174*VLOOKUP('Données projet'!$B$16,Paramètres!$A$1:$I$89,3,0)*0.475*44/12</f>
        <v>8.1963282498034964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55.011848812000764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-1.7053025658242404E-13</v>
      </c>
      <c r="GA174" s="17">
        <f>FZ174*VLOOKUP('Données projet'!$B$17,Paramètres!$A$1:$I$89,3,0)*VLOOKUP('Données projet'!$B$17,Paramètres!$A$1:$I$89,5,0)</f>
        <v>-1.1173142411280423E-13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298.45881427802874</v>
      </c>
      <c r="GF174" s="59">
        <f t="shared" si="158"/>
        <v>287.00279305562356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11.392742378863739</v>
      </c>
      <c r="GM174" s="21">
        <f>EXP(-LN(2)/25)*GM173+(1-EXP(-LN(2)/25))/(LN(2)/25)*Calculateur!GH174*Calculateur!GJ174*VLOOKUP('Données projet'!$B$17,Paramètres!$A$1:$I$89,3,0)*0.475*44/12</f>
        <v>0.15196616960531562</v>
      </c>
      <c r="GN174" s="21">
        <f>EXP(-LN(2)/2)*GN173+(1-EXP(-LN(2)/2))/(LN(2)/2)*GH174*GK174*VLOOKUP('Données projet'!$B$17,Paramètres!$A$1:$I$89,3,0)*0.475*44/12</f>
        <v>6.8872293812541811E-13</v>
      </c>
      <c r="GO174" s="21">
        <f t="shared" si="187"/>
        <v>11.544708548469744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135.66666666666666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-7.9580786405131221E-13</v>
      </c>
      <c r="O175" s="13">
        <f>N175*VLOOKUP('Données projet'!$B$9,Paramètres!$A$1:$I$89,3,0)*VLOOKUP('Données projet'!$B$9,Paramètres!$A$1:$I$89,5,0)</f>
        <v>-7.2004695539362725E-13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600.52384738314299</v>
      </c>
      <c r="T175" s="59">
        <f t="shared" si="142"/>
        <v>314.84650287986256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127.7641332614218</v>
      </c>
      <c r="AA175" s="21">
        <f>EXP(-LN(2)/25)*AA174+(1-EXP(-LN(2)/25))/(LN(2)/25)*Calculateur!V175*Calculateur!X175*VLOOKUP('Données projet'!$B$9,Paramètres!$A$1:$I$89,3,0)*0.475*44/12</f>
        <v>18.701333989257058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146.46546725067887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-1.4897523215040567E-13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436.77894860279537</v>
      </c>
      <c r="AO175" s="59">
        <f t="shared" si="144"/>
        <v>398.63561969573072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28.708808088331434</v>
      </c>
      <c r="AV175" s="21">
        <f>EXP(-LN(2)/25)*AV174+(1-EXP(-LN(2)/25))/(LN(2)/25)*Calculateur!AQ175*Calculateur!AS175*VLOOKUP('Données projet'!$B$10,Paramètres!$A$1:$I$89,3,0)*0.475*44/12</f>
        <v>2.599574211733453</v>
      </c>
      <c r="AW175" s="21">
        <f>EXP(-LN(2)/2)*AW174+(1-EXP(-LN(2)/2))/(LN(2)/2)*AQ175*AT175*VLOOKUP('Données projet'!$B$10,Paramètres!$A$1:$I$89,3,0)*0.475*44/12</f>
        <v>6.6882064570594194E-22</v>
      </c>
      <c r="AX175" s="21">
        <f t="shared" si="166"/>
        <v>31.308382300064888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-1.3567387213697657E-13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344.97546176735341</v>
      </c>
      <c r="BJ175" s="59">
        <f t="shared" si="146"/>
        <v>331.15461126257492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16.716899040499218</v>
      </c>
      <c r="BQ175" s="21">
        <f>EXP(-LN(2)/25)*BQ174+(1-EXP(-LN(2)/25))/(LN(2)/25)*Calculateur!BL175*Calculateur!BN175*VLOOKUP('Données projet'!$B$11,Paramètres!$A$1:$I$89,3,0)*0.475*44/12</f>
        <v>0.22122490478740886</v>
      </c>
      <c r="BR175" s="21">
        <f>EXP(-LN(2)/2)*BR174+(1-EXP(-LN(2)/2))/(LN(2)/2)*BL175*BO175*VLOOKUP('Données projet'!$B$11,Paramètres!$A$1:$I$89,3,0)*0.475*44/12</f>
        <v>5.9135794417303628E-13</v>
      </c>
      <c r="BS175" s="22">
        <f t="shared" si="169"/>
        <v>16.938123945287217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-1.7053025658242404E-13</v>
      </c>
      <c r="BZ175" s="13">
        <f>BY175*VLOOKUP('Données projet'!$B$12,Paramètres!$A$1:$I$89,3,0)*VLOOKUP('Données projet'!$B$12,Paramètres!$A$1:$I$89,5,0)</f>
        <v>-1.3567387213697657E-13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344.97546176735341</v>
      </c>
      <c r="CE175" s="59">
        <f t="shared" si="148"/>
        <v>331.15461126257492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16.716899040499218</v>
      </c>
      <c r="CL175" s="21">
        <f>EXP(-LN(2)/25)*CL174+(1-EXP(-LN(2)/25))/(LN(2)/25)*Calculateur!CG175*Calculateur!CI175*VLOOKUP('Données projet'!$B$12,Paramètres!$A$1:$I$89,3,0)*0.475*44/12</f>
        <v>0.22122490478740886</v>
      </c>
      <c r="CM175" s="21">
        <f>EXP(-LN(2)/2)*CM174+(1-EXP(-LN(2)/2))/(LN(2)/2)*CG175*CJ175*VLOOKUP('Données projet'!$B$12,Paramètres!$A$1:$I$89,3,0)*0.475*44/12</f>
        <v>5.9135794417303628E-13</v>
      </c>
      <c r="CN175" s="22">
        <f t="shared" si="172"/>
        <v>16.938123945287217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227.19465047672969</v>
      </c>
      <c r="CZ175" s="59">
        <f t="shared" si="150"/>
        <v>529.77979244134417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5.917344652189775</v>
      </c>
      <c r="DG175" s="21">
        <f>EXP(-LN(2)/25)*DG174+(1-EXP(-LN(2)/25))/(LN(2)/25)*Calculateur!DB175*Calculateur!DD175*VLOOKUP('Données projet'!$B$13,Paramètres!$A$1:$I$89,3,0)*0.475*44/12</f>
        <v>0.61801953432976842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6.5353641865195433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240.09151195692266</v>
      </c>
      <c r="DU175" s="59">
        <f t="shared" si="152"/>
        <v>559.47775134103165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6.304099204620476</v>
      </c>
      <c r="EB175" s="21">
        <f>EXP(-LN(2)/25)*EB174+(1-EXP(-LN(2)/25))/(LN(2)/25)*Calculateur!DW175*Calculateur!DY175*VLOOKUP('Données projet'!$B$14,Paramètres!$A$1:$I$89,3,0)*0.475*44/12</f>
        <v>0.65841296794609372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6.9625121725665693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5.6843418860808015E-14</v>
      </c>
      <c r="EK175" s="17">
        <f>EJ175*VLOOKUP('Données projet'!$B$15,Paramètres!$A$1:$I$89,3,0)*VLOOKUP('Données projet'!$B$15,Paramètres!$A$1:$I$89,5,0)</f>
        <v>4.4337866711430253E-14</v>
      </c>
      <c r="EL175" s="13">
        <f t="shared" si="179"/>
        <v>7.3222115536967035E-13</v>
      </c>
      <c r="EM175" s="20">
        <f t="shared" si="180"/>
        <v>1.3525069634579169E-12</v>
      </c>
      <c r="EN175" s="59">
        <f t="shared" si="128"/>
        <v>286.46535942604368</v>
      </c>
      <c r="EO175" s="59">
        <f ca="1">AVERAGE(OFFSET($EN$3,0,0,'Données projet'!$E$15+1,1))-AVERAGE(OFFSET($H$3,0,0,'Données projet'!$E$15+1,1))</f>
        <v>328.79469965518484</v>
      </c>
      <c r="EP175" s="59">
        <f t="shared" si="154"/>
        <v>322.06400652269735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8.6421706033233399</v>
      </c>
      <c r="EW175" s="21">
        <f>EXP(-LN(2)/25)*EW174+(1-EXP(-LN(2)/25))/(LN(2)/25)*Calculateur!ER175*Calculateur!ET175*VLOOKUP('Données projet'!$B$15,Paramètres!$A$1:$I$89,3,0)*0.475*44/12</f>
        <v>0.54710085800694519</v>
      </c>
      <c r="EX175" s="21">
        <f>EXP(-LN(2)/2)*EX174+(1-EXP(-LN(2)/2))/(LN(2)/2)*ER175*EU175*VLOOKUP('Données projet'!$B$15,Paramètres!$A$1:$I$89,3,0)*0.475*44/12</f>
        <v>2.2894345326980499E-14</v>
      </c>
      <c r="EY175" s="22">
        <f t="shared" si="181"/>
        <v>9.1892714613303088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-5.6843418860808015E-14</v>
      </c>
      <c r="FF175" s="17">
        <f>FE175*VLOOKUP('Données projet'!$B$16,Paramètres!$A$1:$I$89,3,0)*VLOOKUP('Données projet'!$B$16,Paramètres!$A$1:$I$89,5,0)</f>
        <v>-4.1677594708744434E-14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525.22234644068908</v>
      </c>
      <c r="FK175" s="59">
        <f t="shared" si="156"/>
        <v>311.5550296132094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45.897496758620591</v>
      </c>
      <c r="FR175" s="21">
        <f>EXP(-LN(2)/25)*FR174+(1-EXP(-LN(2)/25))/(LN(2)/25)*Calculateur!FM175*Calculateur!FO175*VLOOKUP('Données projet'!$B$16,Paramètres!$A$1:$I$89,3,0)*0.475*44/12</f>
        <v>7.9721992227864504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53.869695981407041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-1.7053025658242404E-13</v>
      </c>
      <c r="GA175" s="17">
        <f>FZ175*VLOOKUP('Données projet'!$B$17,Paramètres!$A$1:$I$89,3,0)*VLOOKUP('Données projet'!$B$17,Paramètres!$A$1:$I$89,5,0)</f>
        <v>-1.1173142411280423E-13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298.45881427802874</v>
      </c>
      <c r="GF175" s="59">
        <f t="shared" si="158"/>
        <v>287.00279305562356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11.169337649700926</v>
      </c>
      <c r="GM175" s="21">
        <f>EXP(-LN(2)/25)*GM174+(1-EXP(-LN(2)/25))/(LN(2)/25)*Calculateur!GH175*Calculateur!GJ175*VLOOKUP('Données projet'!$B$17,Paramètres!$A$1:$I$89,3,0)*0.475*44/12</f>
        <v>0.14781064670590471</v>
      </c>
      <c r="GN175" s="21">
        <f>EXP(-LN(2)/2)*GN174+(1-EXP(-LN(2)/2))/(LN(2)/2)*GH175*GK175*VLOOKUP('Données projet'!$B$17,Paramètres!$A$1:$I$89,3,0)*0.475*44/12</f>
        <v>4.8700065990720613E-13</v>
      </c>
      <c r="GO175" s="21">
        <f t="shared" si="187"/>
        <v>11.317148296407318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135.66666666666666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-7.9580786405131221E-13</v>
      </c>
      <c r="O176" s="13">
        <f>N176*VLOOKUP('Données projet'!$B$9,Paramètres!$A$1:$I$89,3,0)*VLOOKUP('Données projet'!$B$9,Paramètres!$A$1:$I$89,5,0)</f>
        <v>-7.2004695539362725E-13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600.52384738314299</v>
      </c>
      <c r="T176" s="59">
        <f t="shared" si="142"/>
        <v>314.84650287986256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125.25875653659182</v>
      </c>
      <c r="AA176" s="21">
        <f>EXP(-LN(2)/25)*AA175+(1-EXP(-LN(2)/25))/(LN(2)/25)*Calculateur!V176*Calculateur!X176*VLOOKUP('Données projet'!$B$9,Paramètres!$A$1:$I$89,3,0)*0.475*44/12</f>
        <v>18.189945027860411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143.44870156445222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-1.4897523215040567E-13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436.77894860279537</v>
      </c>
      <c r="AO176" s="59">
        <f t="shared" si="144"/>
        <v>398.63561969573072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28.145845872363157</v>
      </c>
      <c r="AV176" s="21">
        <f>EXP(-LN(2)/25)*AV175+(1-EXP(-LN(2)/25))/(LN(2)/25)*Calculateur!AQ176*Calculateur!AS176*VLOOKUP('Données projet'!$B$10,Paramètres!$A$1:$I$89,3,0)*0.475*44/12</f>
        <v>2.5284887182079352</v>
      </c>
      <c r="AW176" s="21">
        <f>EXP(-LN(2)/2)*AW175+(1-EXP(-LN(2)/2))/(LN(2)/2)*AQ176*AT176*VLOOKUP('Données projet'!$B$10,Paramètres!$A$1:$I$89,3,0)*0.475*44/12</f>
        <v>4.7292761397623691E-22</v>
      </c>
      <c r="AX176" s="21">
        <f t="shared" si="166"/>
        <v>30.674334590571092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-1.3567387213697657E-13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344.97546176735341</v>
      </c>
      <c r="BJ176" s="59">
        <f t="shared" si="146"/>
        <v>331.15461126257492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16.389090846616643</v>
      </c>
      <c r="BQ176" s="21">
        <f>EXP(-LN(2)/25)*BQ175+(1-EXP(-LN(2)/25))/(LN(2)/25)*Calculateur!BL176*Calculateur!BN176*VLOOKUP('Données projet'!$B$11,Paramètres!$A$1:$I$89,3,0)*0.475*44/12</f>
        <v>0.21517549813228504</v>
      </c>
      <c r="BR176" s="21">
        <f>EXP(-LN(2)/2)*BR175+(1-EXP(-LN(2)/2))/(LN(2)/2)*BL176*BO176*VLOOKUP('Données projet'!$B$11,Paramètres!$A$1:$I$89,3,0)*0.475*44/12</f>
        <v>4.1815321243328976E-13</v>
      </c>
      <c r="BS176" s="22">
        <f t="shared" si="169"/>
        <v>16.604266344749348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-1.7053025658242404E-13</v>
      </c>
      <c r="BZ176" s="13">
        <f>BY176*VLOOKUP('Données projet'!$B$12,Paramètres!$A$1:$I$89,3,0)*VLOOKUP('Données projet'!$B$12,Paramètres!$A$1:$I$89,5,0)</f>
        <v>-1.3567387213697657E-13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344.97546176735341</v>
      </c>
      <c r="CE176" s="59">
        <f t="shared" si="148"/>
        <v>331.15461126257492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16.389090846616643</v>
      </c>
      <c r="CL176" s="21">
        <f>EXP(-LN(2)/25)*CL175+(1-EXP(-LN(2)/25))/(LN(2)/25)*Calculateur!CG176*Calculateur!CI176*VLOOKUP('Données projet'!$B$12,Paramètres!$A$1:$I$89,3,0)*0.475*44/12</f>
        <v>0.21517549813228504</v>
      </c>
      <c r="CM176" s="21">
        <f>EXP(-LN(2)/2)*CM175+(1-EXP(-LN(2)/2))/(LN(2)/2)*CG176*CJ176*VLOOKUP('Données projet'!$B$12,Paramètres!$A$1:$I$89,3,0)*0.475*44/12</f>
        <v>4.1815321243328976E-13</v>
      </c>
      <c r="CN176" s="22">
        <f t="shared" si="172"/>
        <v>16.604266344749348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227.19465047672969</v>
      </c>
      <c r="CZ176" s="59">
        <f t="shared" si="150"/>
        <v>529.77979244134417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5.8013091327841897</v>
      </c>
      <c r="DG176" s="21">
        <f>EXP(-LN(2)/25)*DG175+(1-EXP(-LN(2)/25))/(LN(2)/25)*Calculateur!DB176*Calculateur!DD176*VLOOKUP('Données projet'!$B$13,Paramètres!$A$1:$I$89,3,0)*0.475*44/12</f>
        <v>0.60111975766328607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6.4024288904474762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240.09151195692266</v>
      </c>
      <c r="DU176" s="59">
        <f t="shared" si="152"/>
        <v>559.47775134103165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6.1804796643387094</v>
      </c>
      <c r="EB176" s="21">
        <f>EXP(-LN(2)/25)*EB175+(1-EXP(-LN(2)/25))/(LN(2)/25)*Calculateur!DW176*Calculateur!DY176*VLOOKUP('Données projet'!$B$14,Paramètres!$A$1:$I$89,3,0)*0.475*44/12</f>
        <v>0.64040863071317466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6.8208882950518843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5.6843418860808015E-14</v>
      </c>
      <c r="EK176" s="17">
        <f>EJ176*VLOOKUP('Données projet'!$B$15,Paramètres!$A$1:$I$89,3,0)*VLOOKUP('Données projet'!$B$15,Paramètres!$A$1:$I$89,5,0)</f>
        <v>4.4337866711430253E-14</v>
      </c>
      <c r="EL176" s="13">
        <f t="shared" si="179"/>
        <v>7.3222115536967035E-13</v>
      </c>
      <c r="EM176" s="20">
        <f t="shared" si="180"/>
        <v>1.3525069634579169E-12</v>
      </c>
      <c r="EN176" s="59">
        <f t="shared" si="128"/>
        <v>286.58450341884571</v>
      </c>
      <c r="EO176" s="59">
        <f ca="1">AVERAGE(OFFSET($EN$3,0,0,'Données projet'!$E$15+1,1))-AVERAGE(OFFSET($H$3,0,0,'Données projet'!$E$15+1,1))</f>
        <v>328.79469965518484</v>
      </c>
      <c r="EP176" s="59">
        <f t="shared" si="154"/>
        <v>322.06400652269735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8.4727029089957497</v>
      </c>
      <c r="EW176" s="21">
        <f>EXP(-LN(2)/25)*EW175+(1-EXP(-LN(2)/25))/(LN(2)/25)*Calculateur!ER176*Calculateur!ET176*VLOOKUP('Données projet'!$B$15,Paramètres!$A$1:$I$89,3,0)*0.475*44/12</f>
        <v>0.53214035627396161</v>
      </c>
      <c r="EX176" s="21">
        <f>EXP(-LN(2)/2)*EX175+(1-EXP(-LN(2)/2))/(LN(2)/2)*ER176*EU176*VLOOKUP('Données projet'!$B$15,Paramètres!$A$1:$I$89,3,0)*0.475*44/12</f>
        <v>1.6188746831534456E-14</v>
      </c>
      <c r="EY176" s="22">
        <f t="shared" si="181"/>
        <v>9.0048432652697272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-5.6843418860808015E-14</v>
      </c>
      <c r="FF176" s="17">
        <f>FE176*VLOOKUP('Données projet'!$B$16,Paramètres!$A$1:$I$89,3,0)*VLOOKUP('Données projet'!$B$16,Paramètres!$A$1:$I$89,5,0)</f>
        <v>-4.1677594708744434E-14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525.22234644068908</v>
      </c>
      <c r="FK176" s="59">
        <f t="shared" si="156"/>
        <v>311.5550296132094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44.997474841892817</v>
      </c>
      <c r="FR176" s="21">
        <f>EXP(-LN(2)/25)*FR175+(1-EXP(-LN(2)/25))/(LN(2)/25)*Calculateur!FM176*Calculateur!FO176*VLOOKUP('Données projet'!$B$16,Paramètres!$A$1:$I$89,3,0)*0.475*44/12</f>
        <v>7.7541990157996183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52.751673857692438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-1.7053025658242404E-13</v>
      </c>
      <c r="GA176" s="17">
        <f>FZ176*VLOOKUP('Données projet'!$B$17,Paramètres!$A$1:$I$89,3,0)*VLOOKUP('Données projet'!$B$17,Paramètres!$A$1:$I$89,5,0)</f>
        <v>-1.1173142411280423E-13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298.45881427802874</v>
      </c>
      <c r="GF176" s="59">
        <f t="shared" si="158"/>
        <v>287.00279305562356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10.950313751013567</v>
      </c>
      <c r="GM176" s="21">
        <f>EXP(-LN(2)/25)*GM175+(1-EXP(-LN(2)/25))/(LN(2)/25)*Calculateur!GH176*Calculateur!GJ176*VLOOKUP('Données projet'!$B$17,Paramètres!$A$1:$I$89,3,0)*0.475*44/12</f>
        <v>0.14376875679870765</v>
      </c>
      <c r="GN176" s="21">
        <f>EXP(-LN(2)/2)*GN175+(1-EXP(-LN(2)/2))/(LN(2)/2)*GH176*GK176*VLOOKUP('Données projet'!$B$17,Paramètres!$A$1:$I$89,3,0)*0.475*44/12</f>
        <v>3.4436146906270906E-13</v>
      </c>
      <c r="GO176" s="21">
        <f t="shared" si="187"/>
        <v>11.094082507812619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135.66666666666666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-7.9580786405131221E-13</v>
      </c>
      <c r="O177" s="13">
        <f>N177*VLOOKUP('Données projet'!$B$9,Paramètres!$A$1:$I$89,3,0)*VLOOKUP('Données projet'!$B$9,Paramètres!$A$1:$I$89,5,0)</f>
        <v>-7.2004695539362725E-13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600.52384738314299</v>
      </c>
      <c r="T177" s="59">
        <f t="shared" si="142"/>
        <v>314.84650287986256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122.80250872120683</v>
      </c>
      <c r="AA177" s="21">
        <f>EXP(-LN(2)/25)*AA176+(1-EXP(-LN(2)/25))/(LN(2)/25)*Calculateur!V177*Calculateur!X177*VLOOKUP('Données projet'!$B$9,Paramètres!$A$1:$I$89,3,0)*0.475*44/12</f>
        <v>17.692540024505931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140.49504874571278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-1.4897523215040567E-13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436.77894860279537</v>
      </c>
      <c r="AO177" s="59">
        <f t="shared" si="144"/>
        <v>398.63561969573072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27.59392300207697</v>
      </c>
      <c r="AV177" s="21">
        <f>EXP(-LN(2)/25)*AV176+(1-EXP(-LN(2)/25))/(LN(2)/25)*Calculateur!AQ177*Calculateur!AS177*VLOOKUP('Données projet'!$B$10,Paramètres!$A$1:$I$89,3,0)*0.475*44/12</f>
        <v>2.4593470612410964</v>
      </c>
      <c r="AW177" s="21">
        <f>EXP(-LN(2)/2)*AW176+(1-EXP(-LN(2)/2))/(LN(2)/2)*AQ177*AT177*VLOOKUP('Données projet'!$B$10,Paramètres!$A$1:$I$89,3,0)*0.475*44/12</f>
        <v>3.3441032285297097E-22</v>
      </c>
      <c r="AX177" s="21">
        <f t="shared" si="166"/>
        <v>30.053270063318067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-1.3567387213697657E-13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344.97546176735341</v>
      </c>
      <c r="BJ177" s="59">
        <f t="shared" si="146"/>
        <v>331.15461126257492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16.06771077147285</v>
      </c>
      <c r="BQ177" s="21">
        <f>EXP(-LN(2)/25)*BQ176+(1-EXP(-LN(2)/25))/(LN(2)/25)*Calculateur!BL177*Calculateur!BN177*VLOOKUP('Données projet'!$B$11,Paramètres!$A$1:$I$89,3,0)*0.475*44/12</f>
        <v>0.20929151282027006</v>
      </c>
      <c r="BR177" s="21">
        <f>EXP(-LN(2)/2)*BR176+(1-EXP(-LN(2)/2))/(LN(2)/2)*BL177*BO177*VLOOKUP('Données projet'!$B$11,Paramètres!$A$1:$I$89,3,0)*0.475*44/12</f>
        <v>2.9567897208651814E-13</v>
      </c>
      <c r="BS177" s="22">
        <f t="shared" si="169"/>
        <v>16.277002284293413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-1.7053025658242404E-13</v>
      </c>
      <c r="BZ177" s="13">
        <f>BY177*VLOOKUP('Données projet'!$B$12,Paramètres!$A$1:$I$89,3,0)*VLOOKUP('Données projet'!$B$12,Paramètres!$A$1:$I$89,5,0)</f>
        <v>-1.3567387213697657E-13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344.97546176735341</v>
      </c>
      <c r="CE177" s="59">
        <f t="shared" si="148"/>
        <v>331.15461126257492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16.06771077147285</v>
      </c>
      <c r="CL177" s="21">
        <f>EXP(-LN(2)/25)*CL176+(1-EXP(-LN(2)/25))/(LN(2)/25)*Calculateur!CG177*Calculateur!CI177*VLOOKUP('Données projet'!$B$12,Paramètres!$A$1:$I$89,3,0)*0.475*44/12</f>
        <v>0.20929151282027006</v>
      </c>
      <c r="CM177" s="21">
        <f>EXP(-LN(2)/2)*CM176+(1-EXP(-LN(2)/2))/(LN(2)/2)*CG177*CJ177*VLOOKUP('Données projet'!$B$12,Paramètres!$A$1:$I$89,3,0)*0.475*44/12</f>
        <v>2.9567897208651814E-13</v>
      </c>
      <c r="CN177" s="22">
        <f t="shared" si="172"/>
        <v>16.277002284293413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227.19465047672969</v>
      </c>
      <c r="CZ177" s="59">
        <f t="shared" si="150"/>
        <v>529.77979244134417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5.6875489991394703</v>
      </c>
      <c r="DG177" s="21">
        <f>EXP(-LN(2)/25)*DG176+(1-EXP(-LN(2)/25))/(LN(2)/25)*Calculateur!DB177*Calculateur!DD177*VLOOKUP('Données projet'!$B$13,Paramètres!$A$1:$I$89,3,0)*0.475*44/12</f>
        <v>0.58468210627846928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6.2722311054179398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240.09151195692266</v>
      </c>
      <c r="DU177" s="59">
        <f t="shared" si="152"/>
        <v>559.47775134103165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6.0592842278413936</v>
      </c>
      <c r="EB177" s="21">
        <f>EXP(-LN(2)/25)*EB176+(1-EXP(-LN(2)/25))/(LN(2)/25)*Calculateur!DW177*Calculateur!DY177*VLOOKUP('Données projet'!$B$14,Paramètres!$A$1:$I$89,3,0)*0.475*44/12</f>
        <v>0.62289662302869664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6.6821808508700906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5.6843418860808015E-14</v>
      </c>
      <c r="EK177" s="17">
        <f>EJ177*VLOOKUP('Données projet'!$B$15,Paramètres!$A$1:$I$89,3,0)*VLOOKUP('Données projet'!$B$15,Paramètres!$A$1:$I$89,5,0)</f>
        <v>4.4337866711430253E-14</v>
      </c>
      <c r="EL177" s="13">
        <f t="shared" si="179"/>
        <v>7.3222115536967035E-13</v>
      </c>
      <c r="EM177" s="20">
        <f t="shared" si="180"/>
        <v>1.3525069634579169E-12</v>
      </c>
      <c r="EN177" s="59">
        <f t="shared" si="128"/>
        <v>286.70158052973881</v>
      </c>
      <c r="EO177" s="59">
        <f ca="1">AVERAGE(OFFSET($EN$3,0,0,'Données projet'!$E$15+1,1))-AVERAGE(OFFSET($H$3,0,0,'Données projet'!$E$15+1,1))</f>
        <v>328.79469965518484</v>
      </c>
      <c r="EP177" s="59">
        <f t="shared" si="154"/>
        <v>322.06400652269735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8.3065583727888352</v>
      </c>
      <c r="EW177" s="21">
        <f>EXP(-LN(2)/25)*EW176+(1-EXP(-LN(2)/25))/(LN(2)/25)*Calculateur!ER177*Calculateur!ET177*VLOOKUP('Données projet'!$B$15,Paramètres!$A$1:$I$89,3,0)*0.475*44/12</f>
        <v>0.51758895024760498</v>
      </c>
      <c r="EX177" s="21">
        <f>EXP(-LN(2)/2)*EX176+(1-EXP(-LN(2)/2))/(LN(2)/2)*ER177*EU177*VLOOKUP('Données projet'!$B$15,Paramètres!$A$1:$I$89,3,0)*0.475*44/12</f>
        <v>1.1447172663490249E-14</v>
      </c>
      <c r="EY177" s="22">
        <f t="shared" si="181"/>
        <v>8.8241473230364509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-5.6843418860808015E-14</v>
      </c>
      <c r="FF177" s="17">
        <f>FE177*VLOOKUP('Données projet'!$B$16,Paramètres!$A$1:$I$89,3,0)*VLOOKUP('Données projet'!$B$16,Paramètres!$A$1:$I$89,5,0)</f>
        <v>-4.1677594708744434E-14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525.22234644068908</v>
      </c>
      <c r="FK177" s="59">
        <f t="shared" si="156"/>
        <v>311.5550296132094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44.115101805992907</v>
      </c>
      <c r="FR177" s="21">
        <f>EXP(-LN(2)/25)*FR176+(1-EXP(-LN(2)/25))/(LN(2)/25)*Calculateur!FM177*Calculateur!FO177*VLOOKUP('Données projet'!$B$16,Paramètres!$A$1:$I$89,3,0)*0.475*44/12</f>
        <v>7.5421600359369743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51.657261841929881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-1.7053025658242404E-13</v>
      </c>
      <c r="GA177" s="17">
        <f>FZ177*VLOOKUP('Données projet'!$B$17,Paramètres!$A$1:$I$89,3,0)*VLOOKUP('Données projet'!$B$17,Paramètres!$A$1:$I$89,5,0)</f>
        <v>-1.1173142411280423E-13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298.45881427802874</v>
      </c>
      <c r="GF177" s="59">
        <f t="shared" si="158"/>
        <v>287.00279305562356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10.73558477738808</v>
      </c>
      <c r="GM177" s="21">
        <f>EXP(-LN(2)/25)*GM176+(1-EXP(-LN(2)/25))/(LN(2)/25)*Calculateur!GH177*Calculateur!GJ177*VLOOKUP('Données projet'!$B$17,Paramètres!$A$1:$I$89,3,0)*0.475*44/12</f>
        <v>0.13983739258357666</v>
      </c>
      <c r="GN177" s="21">
        <f>EXP(-LN(2)/2)*GN176+(1-EXP(-LN(2)/2))/(LN(2)/2)*GH177*GK177*VLOOKUP('Données projet'!$B$17,Paramètres!$A$1:$I$89,3,0)*0.475*44/12</f>
        <v>2.4350032995360306E-13</v>
      </c>
      <c r="GO177" s="21">
        <f t="shared" si="187"/>
        <v>10.8754221699719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135.66666666666666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-7.9580786405131221E-13</v>
      </c>
      <c r="O178" s="13">
        <f>N178*VLOOKUP('Données projet'!$B$9,Paramètres!$A$1:$I$89,3,0)*VLOOKUP('Données projet'!$B$9,Paramètres!$A$1:$I$89,5,0)</f>
        <v>-7.2004695539362725E-13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600.52384738314299</v>
      </c>
      <c r="T178" s="59">
        <f t="shared" si="142"/>
        <v>314.84650287986256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120.39442642731832</v>
      </c>
      <c r="AA178" s="21">
        <f>EXP(-LN(2)/25)*AA177+(1-EXP(-LN(2)/25))/(LN(2)/25)*Calculateur!V178*Calculateur!X178*VLOOKUP('Données projet'!$B$9,Paramètres!$A$1:$I$89,3,0)*0.475*44/12</f>
        <v>17.208736587125571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137.60316301444391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-1.4897523215040567E-13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436.77894860279537</v>
      </c>
      <c r="AO178" s="59">
        <f t="shared" si="144"/>
        <v>398.63561969573072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27.052823002637385</v>
      </c>
      <c r="AV178" s="21">
        <f>EXP(-LN(2)/25)*AV177+(1-EXP(-LN(2)/25))/(LN(2)/25)*Calculateur!AQ178*Calculateur!AS178*VLOOKUP('Données projet'!$B$10,Paramètres!$A$1:$I$89,3,0)*0.475*44/12</f>
        <v>2.3920960865200174</v>
      </c>
      <c r="AW178" s="21">
        <f>EXP(-LN(2)/2)*AW177+(1-EXP(-LN(2)/2))/(LN(2)/2)*AQ178*AT178*VLOOKUP('Données projet'!$B$10,Paramètres!$A$1:$I$89,3,0)*0.475*44/12</f>
        <v>2.3646380698811845E-22</v>
      </c>
      <c r="AX178" s="21">
        <f t="shared" si="166"/>
        <v>29.444919089157402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-1.3567387213697657E-13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344.97546176735341</v>
      </c>
      <c r="BJ178" s="59">
        <f t="shared" si="146"/>
        <v>331.15461126257492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15.752632763580134</v>
      </c>
      <c r="BQ178" s="21">
        <f>EXP(-LN(2)/25)*BQ177+(1-EXP(-LN(2)/25))/(LN(2)/25)*Calculateur!BL178*Calculateur!BN178*VLOOKUP('Données projet'!$B$11,Paramètres!$A$1:$I$89,3,0)*0.475*44/12</f>
        <v>0.20356842539603745</v>
      </c>
      <c r="BR178" s="21">
        <f>EXP(-LN(2)/2)*BR177+(1-EXP(-LN(2)/2))/(LN(2)/2)*BL178*BO178*VLOOKUP('Données projet'!$B$11,Paramètres!$A$1:$I$89,3,0)*0.475*44/12</f>
        <v>2.0907660621664488E-13</v>
      </c>
      <c r="BS178" s="22">
        <f t="shared" si="169"/>
        <v>15.956201188976381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-1.7053025658242404E-13</v>
      </c>
      <c r="BZ178" s="13">
        <f>BY178*VLOOKUP('Données projet'!$B$12,Paramètres!$A$1:$I$89,3,0)*VLOOKUP('Données projet'!$B$12,Paramètres!$A$1:$I$89,5,0)</f>
        <v>-1.3567387213697657E-13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344.97546176735341</v>
      </c>
      <c r="CE178" s="59">
        <f t="shared" si="148"/>
        <v>331.15461126257492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15.752632763580134</v>
      </c>
      <c r="CL178" s="21">
        <f>EXP(-LN(2)/25)*CL177+(1-EXP(-LN(2)/25))/(LN(2)/25)*Calculateur!CG178*Calculateur!CI178*VLOOKUP('Données projet'!$B$12,Paramètres!$A$1:$I$89,3,0)*0.475*44/12</f>
        <v>0.20356842539603745</v>
      </c>
      <c r="CM178" s="21">
        <f>EXP(-LN(2)/2)*CM177+(1-EXP(-LN(2)/2))/(LN(2)/2)*CG178*CJ178*VLOOKUP('Données projet'!$B$12,Paramètres!$A$1:$I$89,3,0)*0.475*44/12</f>
        <v>2.0907660621664488E-13</v>
      </c>
      <c r="CN178" s="22">
        <f t="shared" si="172"/>
        <v>15.956201188976381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227.19465047672969</v>
      </c>
      <c r="CZ178" s="59">
        <f t="shared" si="150"/>
        <v>529.77979244134417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5.576019632328693</v>
      </c>
      <c r="DG178" s="21">
        <f>EXP(-LN(2)/25)*DG177+(1-EXP(-LN(2)/25))/(LN(2)/25)*Calculateur!DB178*Calculateur!DD178*VLOOKUP('Données projet'!$B$13,Paramètres!$A$1:$I$89,3,0)*0.475*44/12</f>
        <v>0.56869394333518886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6.1447135756638822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240.09151195692266</v>
      </c>
      <c r="DU178" s="59">
        <f t="shared" si="152"/>
        <v>559.47775134103165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5.9404653599318733</v>
      </c>
      <c r="EB178" s="21">
        <f>EXP(-LN(2)/25)*EB177+(1-EXP(-LN(2)/25))/(LN(2)/25)*Calculateur!DW178*Calculateur!DY178*VLOOKUP('Données projet'!$B$14,Paramètres!$A$1:$I$89,3,0)*0.475*44/12</f>
        <v>0.60586348211526719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6.5463288420471404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5.6843418860808015E-14</v>
      </c>
      <c r="EK178" s="17">
        <f>EJ178*VLOOKUP('Données projet'!$B$15,Paramètres!$A$1:$I$89,3,0)*VLOOKUP('Données projet'!$B$15,Paramètres!$A$1:$I$89,5,0)</f>
        <v>4.4337866711430253E-14</v>
      </c>
      <c r="EL178" s="13">
        <f t="shared" si="179"/>
        <v>7.3222115536967035E-13</v>
      </c>
      <c r="EM178" s="20">
        <f t="shared" si="180"/>
        <v>1.3525069634579169E-12</v>
      </c>
      <c r="EN178" s="59">
        <f t="shared" si="128"/>
        <v>286.81662661450304</v>
      </c>
      <c r="EO178" s="59">
        <f ca="1">AVERAGE(OFFSET($EN$3,0,0,'Données projet'!$E$15+1,1))-AVERAGE(OFFSET($H$3,0,0,'Données projet'!$E$15+1,1))</f>
        <v>328.79469965518484</v>
      </c>
      <c r="EP178" s="59">
        <f t="shared" si="154"/>
        <v>322.06400652269735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8.1436718295987784</v>
      </c>
      <c r="EW178" s="21">
        <f>EXP(-LN(2)/25)*EW177+(1-EXP(-LN(2)/25))/(LN(2)/25)*Calculateur!ER178*Calculateur!ET178*VLOOKUP('Données projet'!$B$15,Paramètres!$A$1:$I$89,3,0)*0.475*44/12</f>
        <v>0.5034354531842643</v>
      </c>
      <c r="EX178" s="21">
        <f>EXP(-LN(2)/2)*EX177+(1-EXP(-LN(2)/2))/(LN(2)/2)*ER178*EU178*VLOOKUP('Données projet'!$B$15,Paramètres!$A$1:$I$89,3,0)*0.475*44/12</f>
        <v>8.094373415767228E-15</v>
      </c>
      <c r="EY178" s="22">
        <f t="shared" si="181"/>
        <v>8.6471072827830522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-5.6843418860808015E-14</v>
      </c>
      <c r="FF178" s="17">
        <f>FE178*VLOOKUP('Données projet'!$B$16,Paramètres!$A$1:$I$89,3,0)*VLOOKUP('Données projet'!$B$16,Paramètres!$A$1:$I$89,5,0)</f>
        <v>-4.1677594708744434E-14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525.22234644068908</v>
      </c>
      <c r="FK178" s="59">
        <f t="shared" si="156"/>
        <v>311.5550296132094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43.250031567132588</v>
      </c>
      <c r="FR178" s="21">
        <f>EXP(-LN(2)/25)*FR177+(1-EXP(-LN(2)/25))/(LN(2)/25)*Calculateur!FM178*Calculateur!FO178*VLOOKUP('Données projet'!$B$16,Paramètres!$A$1:$I$89,3,0)*0.475*44/12</f>
        <v>7.3359192731293197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50.585950840261908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-1.7053025658242404E-13</v>
      </c>
      <c r="GA178" s="17">
        <f>FZ178*VLOOKUP('Données projet'!$B$17,Paramètres!$A$1:$I$89,3,0)*VLOOKUP('Données projet'!$B$17,Paramètres!$A$1:$I$89,5,0)</f>
        <v>-1.1173142411280423E-13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298.45881427802874</v>
      </c>
      <c r="GF178" s="59">
        <f t="shared" si="158"/>
        <v>287.00279305562356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10.525066507963647</v>
      </c>
      <c r="GM178" s="21">
        <f>EXP(-LN(2)/25)*GM177+(1-EXP(-LN(2)/25))/(LN(2)/25)*Calculateur!GH178*Calculateur!GJ178*VLOOKUP('Données projet'!$B$17,Paramètres!$A$1:$I$89,3,0)*0.475*44/12</f>
        <v>0.13601353172964989</v>
      </c>
      <c r="GN178" s="21">
        <f>EXP(-LN(2)/2)*GN177+(1-EXP(-LN(2)/2))/(LN(2)/2)*GH178*GK178*VLOOKUP('Données projet'!$B$17,Paramètres!$A$1:$I$89,3,0)*0.475*44/12</f>
        <v>1.7218073453135453E-13</v>
      </c>
      <c r="GO178" s="21">
        <f t="shared" si="187"/>
        <v>10.66108003969347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135.66666666666666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-7.9580786405131221E-13</v>
      </c>
      <c r="O179" s="13">
        <f>N179*VLOOKUP('Données projet'!$B$9,Paramètres!$A$1:$I$89,3,0)*VLOOKUP('Données projet'!$B$9,Paramètres!$A$1:$I$89,5,0)</f>
        <v>-7.2004695539362725E-13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600.52384738314299</v>
      </c>
      <c r="T179" s="59">
        <f t="shared" si="142"/>
        <v>314.84650287986256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118.03356515842779</v>
      </c>
      <c r="AA179" s="21">
        <f>EXP(-LN(2)/25)*AA178+(1-EXP(-LN(2)/25))/(LN(2)/25)*Calculateur!V179*Calculateur!X179*VLOOKUP('Données projet'!$B$9,Paramètres!$A$1:$I$89,3,0)*0.475*44/12</f>
        <v>16.738162780182495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134.7717279386103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-1.4897523215040567E-13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436.77894860279537</v>
      </c>
      <c r="AO179" s="59">
        <f t="shared" si="144"/>
        <v>398.63561969573072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26.5223336441484</v>
      </c>
      <c r="AV179" s="21">
        <f>EXP(-LN(2)/25)*AV178+(1-EXP(-LN(2)/25))/(LN(2)/25)*Calculateur!AQ179*Calculateur!AS179*VLOOKUP('Données projet'!$B$10,Paramètres!$A$1:$I$89,3,0)*0.475*44/12</f>
        <v>2.3266840932392614</v>
      </c>
      <c r="AW179" s="21">
        <f>EXP(-LN(2)/2)*AW178+(1-EXP(-LN(2)/2))/(LN(2)/2)*AQ179*AT179*VLOOKUP('Données projet'!$B$10,Paramètres!$A$1:$I$89,3,0)*0.475*44/12</f>
        <v>1.6720516142648548E-22</v>
      </c>
      <c r="AX179" s="21">
        <f t="shared" si="166"/>
        <v>28.849017737387662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-1.3567387213697657E-13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344.97546176735341</v>
      </c>
      <c r="BJ179" s="59">
        <f t="shared" si="146"/>
        <v>331.15461126257492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15.443733243243587</v>
      </c>
      <c r="BQ179" s="21">
        <f>EXP(-LN(2)/25)*BQ178+(1-EXP(-LN(2)/25))/(LN(2)/25)*Calculateur!BL179*Calculateur!BN179*VLOOKUP('Données projet'!$B$11,Paramètres!$A$1:$I$89,3,0)*0.475*44/12</f>
        <v>0.19800183609838456</v>
      </c>
      <c r="BR179" s="21">
        <f>EXP(-LN(2)/2)*BR178+(1-EXP(-LN(2)/2))/(LN(2)/2)*BL179*BO179*VLOOKUP('Données projet'!$B$11,Paramètres!$A$1:$I$89,3,0)*0.475*44/12</f>
        <v>1.4783948604325907E-13</v>
      </c>
      <c r="BS179" s="22">
        <f t="shared" si="169"/>
        <v>15.641735079342119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-1.7053025658242404E-13</v>
      </c>
      <c r="BZ179" s="13">
        <f>BY179*VLOOKUP('Données projet'!$B$12,Paramètres!$A$1:$I$89,3,0)*VLOOKUP('Données projet'!$B$12,Paramètres!$A$1:$I$89,5,0)</f>
        <v>-1.3567387213697657E-13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344.97546176735341</v>
      </c>
      <c r="CE179" s="59">
        <f t="shared" si="148"/>
        <v>331.15461126257492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15.443733243243587</v>
      </c>
      <c r="CL179" s="21">
        <f>EXP(-LN(2)/25)*CL178+(1-EXP(-LN(2)/25))/(LN(2)/25)*Calculateur!CG179*Calculateur!CI179*VLOOKUP('Données projet'!$B$12,Paramètres!$A$1:$I$89,3,0)*0.475*44/12</f>
        <v>0.19800183609838456</v>
      </c>
      <c r="CM179" s="21">
        <f>EXP(-LN(2)/2)*CM178+(1-EXP(-LN(2)/2))/(LN(2)/2)*CG179*CJ179*VLOOKUP('Données projet'!$B$12,Paramètres!$A$1:$I$89,3,0)*0.475*44/12</f>
        <v>1.4783948604325907E-13</v>
      </c>
      <c r="CN179" s="22">
        <f t="shared" si="172"/>
        <v>15.641735079342119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227.19465047672969</v>
      </c>
      <c r="CZ179" s="59">
        <f t="shared" si="150"/>
        <v>529.77979244134417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5.4666772883748784</v>
      </c>
      <c r="DG179" s="21">
        <f>EXP(-LN(2)/25)*DG178+(1-EXP(-LN(2)/25))/(LN(2)/25)*Calculateur!DB179*Calculateur!DD179*VLOOKUP('Données projet'!$B$13,Paramètres!$A$1:$I$89,3,0)*0.475*44/12</f>
        <v>0.55314297754837338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6.0198202659232516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240.09151195692266</v>
      </c>
      <c r="DU179" s="59">
        <f t="shared" si="152"/>
        <v>559.47775134103165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5.8239764575497048</v>
      </c>
      <c r="EB179" s="21">
        <f>EXP(-LN(2)/25)*EB178+(1-EXP(-LN(2)/25))/(LN(2)/25)*Calculateur!DW179*Calculateur!DY179*VLOOKUP('Données projet'!$B$14,Paramètres!$A$1:$I$89,3,0)*0.475*44/12</f>
        <v>0.58929611333584941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6.413272570885554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5.6843418860808015E-14</v>
      </c>
      <c r="EK179" s="17">
        <f>EJ179*VLOOKUP('Données projet'!$B$15,Paramètres!$A$1:$I$89,3,0)*VLOOKUP('Données projet'!$B$15,Paramètres!$A$1:$I$89,5,0)</f>
        <v>4.4337866711430253E-14</v>
      </c>
      <c r="EL179" s="13">
        <f t="shared" si="179"/>
        <v>7.3222115536967035E-13</v>
      </c>
      <c r="EM179" s="20">
        <f t="shared" si="180"/>
        <v>1.3525069634579169E-12</v>
      </c>
      <c r="EN179" s="59">
        <f t="shared" si="128"/>
        <v>286.92967690690119</v>
      </c>
      <c r="EO179" s="59">
        <f ca="1">AVERAGE(OFFSET($EN$3,0,0,'Données projet'!$E$15+1,1))-AVERAGE(OFFSET($H$3,0,0,'Données projet'!$E$15+1,1))</f>
        <v>328.79469965518484</v>
      </c>
      <c r="EP179" s="59">
        <f t="shared" si="154"/>
        <v>322.06400652269735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7.9839793921696973</v>
      </c>
      <c r="EW179" s="21">
        <f>EXP(-LN(2)/25)*EW178+(1-EXP(-LN(2)/25))/(LN(2)/25)*Calculateur!ER179*Calculateur!ET179*VLOOKUP('Données projet'!$B$15,Paramètres!$A$1:$I$89,3,0)*0.475*44/12</f>
        <v>0.48966898424242072</v>
      </c>
      <c r="EX179" s="21">
        <f>EXP(-LN(2)/2)*EX178+(1-EXP(-LN(2)/2))/(LN(2)/2)*ER179*EU179*VLOOKUP('Données projet'!$B$15,Paramètres!$A$1:$I$89,3,0)*0.475*44/12</f>
        <v>5.7235863317451247E-15</v>
      </c>
      <c r="EY179" s="22">
        <f t="shared" si="181"/>
        <v>8.4736483764121235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-5.6843418860808015E-14</v>
      </c>
      <c r="FF179" s="17">
        <f>FE179*VLOOKUP('Données projet'!$B$16,Paramètres!$A$1:$I$89,3,0)*VLOOKUP('Données projet'!$B$16,Paramètres!$A$1:$I$89,5,0)</f>
        <v>-4.1677594708744434E-14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525.22234644068908</v>
      </c>
      <c r="FK179" s="59">
        <f t="shared" si="156"/>
        <v>311.5550296132094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42.401924828015574</v>
      </c>
      <c r="FR179" s="21">
        <f>EXP(-LN(2)/25)*FR178+(1-EXP(-LN(2)/25))/(LN(2)/25)*Calculateur!FM179*Calculateur!FO179*VLOOKUP('Données projet'!$B$16,Paramètres!$A$1:$I$89,3,0)*0.475*44/12</f>
        <v>7.1353181748263701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49.537243002841947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-1.7053025658242404E-13</v>
      </c>
      <c r="GA179" s="17">
        <f>FZ179*VLOOKUP('Données projet'!$B$17,Paramètres!$A$1:$I$89,3,0)*VLOOKUP('Données projet'!$B$17,Paramètres!$A$1:$I$89,5,0)</f>
        <v>-1.1173142411280423E-13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298.45881427802874</v>
      </c>
      <c r="GF179" s="59">
        <f t="shared" si="158"/>
        <v>287.00279305562356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10.31867637339916</v>
      </c>
      <c r="GM179" s="21">
        <f>EXP(-LN(2)/25)*GM178+(1-EXP(-LN(2)/25))/(LN(2)/25)*Calculateur!GH179*Calculateur!GJ179*VLOOKUP('Données projet'!$B$17,Paramètres!$A$1:$I$89,3,0)*0.475*44/12</f>
        <v>0.13229423455186184</v>
      </c>
      <c r="GN179" s="21">
        <f>EXP(-LN(2)/2)*GN178+(1-EXP(-LN(2)/2))/(LN(2)/2)*GH179*GK179*VLOOKUP('Données projet'!$B$17,Paramètres!$A$1:$I$89,3,0)*0.475*44/12</f>
        <v>1.2175016497680153E-13</v>
      </c>
      <c r="GO179" s="21">
        <f t="shared" si="187"/>
        <v>10.450970607951145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135.66666666666666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-7.9580786405131221E-13</v>
      </c>
      <c r="O180" s="13">
        <f>N180*VLOOKUP('Données projet'!$B$9,Paramètres!$A$1:$I$89,3,0)*VLOOKUP('Données projet'!$B$9,Paramètres!$A$1:$I$89,5,0)</f>
        <v>-7.2004695539362725E-13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600.52384738314299</v>
      </c>
      <c r="T180" s="59">
        <f t="shared" si="142"/>
        <v>314.84650287986256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115.71899893903701</v>
      </c>
      <c r="AA180" s="21">
        <f>EXP(-LN(2)/25)*AA179+(1-EXP(-LN(2)/25))/(LN(2)/25)*Calculateur!V180*Calculateur!X180*VLOOKUP('Données projet'!$B$9,Paramètres!$A$1:$I$89,3,0)*0.475*44/12</f>
        <v>16.280456838736679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131.99945577777368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-1.4897523215040567E-13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436.77894860279537</v>
      </c>
      <c r="AO180" s="59">
        <f t="shared" si="144"/>
        <v>398.63561969573072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26.002246858412825</v>
      </c>
      <c r="AV180" s="21">
        <f>EXP(-LN(2)/25)*AV179+(1-EXP(-LN(2)/25))/(LN(2)/25)*Calculateur!AQ180*Calculateur!AS180*VLOOKUP('Données projet'!$B$10,Paramètres!$A$1:$I$89,3,0)*0.475*44/12</f>
        <v>2.2630607943546353</v>
      </c>
      <c r="AW180" s="21">
        <f>EXP(-LN(2)/2)*AW179+(1-EXP(-LN(2)/2))/(LN(2)/2)*AQ180*AT180*VLOOKUP('Données projet'!$B$10,Paramètres!$A$1:$I$89,3,0)*0.475*44/12</f>
        <v>1.1823190349405923E-22</v>
      </c>
      <c r="AX180" s="21">
        <f t="shared" si="166"/>
        <v>28.265307652767461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-1.3567387213697657E-13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344.97546176735341</v>
      </c>
      <c r="BJ180" s="59">
        <f t="shared" si="146"/>
        <v>331.15461126257492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15.140891054090735</v>
      </c>
      <c r="BQ180" s="21">
        <f>EXP(-LN(2)/25)*BQ179+(1-EXP(-LN(2)/25))/(LN(2)/25)*Calculateur!BL180*Calculateur!BN180*VLOOKUP('Données projet'!$B$11,Paramètres!$A$1:$I$89,3,0)*0.475*44/12</f>
        <v>0.19258746547781022</v>
      </c>
      <c r="BR180" s="21">
        <f>EXP(-LN(2)/2)*BR179+(1-EXP(-LN(2)/2))/(LN(2)/2)*BL180*BO180*VLOOKUP('Données projet'!$B$11,Paramètres!$A$1:$I$89,3,0)*0.475*44/12</f>
        <v>1.0453830310832244E-13</v>
      </c>
      <c r="BS180" s="22">
        <f t="shared" si="169"/>
        <v>15.333478519568651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-1.7053025658242404E-13</v>
      </c>
      <c r="BZ180" s="13">
        <f>BY180*VLOOKUP('Données projet'!$B$12,Paramètres!$A$1:$I$89,3,0)*VLOOKUP('Données projet'!$B$12,Paramètres!$A$1:$I$89,5,0)</f>
        <v>-1.3567387213697657E-13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344.97546176735341</v>
      </c>
      <c r="CE180" s="59">
        <f t="shared" si="148"/>
        <v>331.15461126257492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15.140891054090735</v>
      </c>
      <c r="CL180" s="21">
        <f>EXP(-LN(2)/25)*CL179+(1-EXP(-LN(2)/25))/(LN(2)/25)*Calculateur!CG180*Calculateur!CI180*VLOOKUP('Données projet'!$B$12,Paramètres!$A$1:$I$89,3,0)*0.475*44/12</f>
        <v>0.19258746547781022</v>
      </c>
      <c r="CM180" s="21">
        <f>EXP(-LN(2)/2)*CM179+(1-EXP(-LN(2)/2))/(LN(2)/2)*CG180*CJ180*VLOOKUP('Données projet'!$B$12,Paramètres!$A$1:$I$89,3,0)*0.475*44/12</f>
        <v>1.0453830310832244E-13</v>
      </c>
      <c r="CN180" s="22">
        <f t="shared" si="172"/>
        <v>15.333478519568651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227.19465047672969</v>
      </c>
      <c r="CZ180" s="59">
        <f t="shared" si="150"/>
        <v>529.77979244134417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5.3594790810937543</v>
      </c>
      <c r="DG180" s="21">
        <f>EXP(-LN(2)/25)*DG179+(1-EXP(-LN(2)/25))/(LN(2)/25)*Calculateur!DB180*Calculateur!DD180*VLOOKUP('Données projet'!$B$13,Paramètres!$A$1:$I$89,3,0)*0.475*44/12</f>
        <v>0.53801725373878817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5.8974963348325424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240.09151195692266</v>
      </c>
      <c r="DU180" s="59">
        <f t="shared" si="152"/>
        <v>559.47775134103165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5.709771831492036</v>
      </c>
      <c r="EB180" s="21">
        <f>EXP(-LN(2)/25)*EB179+(1-EXP(-LN(2)/25))/(LN(2)/25)*Calculateur!DW180*Calculateur!DY180*VLOOKUP('Données projet'!$B$14,Paramètres!$A$1:$I$89,3,0)*0.475*44/12</f>
        <v>0.57318178012694487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6.2829536116189812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5.6843418860808015E-14</v>
      </c>
      <c r="EK180" s="17">
        <f>EJ180*VLOOKUP('Données projet'!$B$15,Paramètres!$A$1:$I$89,3,0)*VLOOKUP('Données projet'!$B$15,Paramètres!$A$1:$I$89,5,0)</f>
        <v>4.4337866711430253E-14</v>
      </c>
      <c r="EL180" s="13">
        <f t="shared" si="179"/>
        <v>7.3222115536967035E-13</v>
      </c>
      <c r="EM180" s="20">
        <f t="shared" si="180"/>
        <v>1.3525069634579169E-12</v>
      </c>
      <c r="EN180" s="59">
        <f t="shared" si="128"/>
        <v>287.04076602946878</v>
      </c>
      <c r="EO180" s="59">
        <f ca="1">AVERAGE(OFFSET($EN$3,0,0,'Données projet'!$E$15+1,1))-AVERAGE(OFFSET($H$3,0,0,'Données projet'!$E$15+1,1))</f>
        <v>328.79469965518484</v>
      </c>
      <c r="EP180" s="59">
        <f t="shared" si="154"/>
        <v>322.06400652269735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7.8274184260358313</v>
      </c>
      <c r="EW180" s="21">
        <f>EXP(-LN(2)/25)*EW179+(1-EXP(-LN(2)/25))/(LN(2)/25)*Calculateur!ER180*Calculateur!ET180*VLOOKUP('Données projet'!$B$15,Paramètres!$A$1:$I$89,3,0)*0.475*44/12</f>
        <v>0.47627896011773901</v>
      </c>
      <c r="EX180" s="21">
        <f>EXP(-LN(2)/2)*EX179+(1-EXP(-LN(2)/2))/(LN(2)/2)*ER180*EU180*VLOOKUP('Données projet'!$B$15,Paramètres!$A$1:$I$89,3,0)*0.475*44/12</f>
        <v>4.047186707883614E-15</v>
      </c>
      <c r="EY180" s="22">
        <f t="shared" si="181"/>
        <v>8.3036973861535746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-5.6843418860808015E-14</v>
      </c>
      <c r="FF180" s="17">
        <f>FE180*VLOOKUP('Données projet'!$B$16,Paramètres!$A$1:$I$89,3,0)*VLOOKUP('Données projet'!$B$16,Paramètres!$A$1:$I$89,5,0)</f>
        <v>-4.1677594708744434E-14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525.22234644068908</v>
      </c>
      <c r="FK180" s="59">
        <f t="shared" si="156"/>
        <v>311.5550296132094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41.57044894475861</v>
      </c>
      <c r="FR180" s="21">
        <f>EXP(-LN(2)/25)*FR179+(1-EXP(-LN(2)/25))/(LN(2)/25)*Calculateur!FM180*Calculateur!FO180*VLOOKUP('Données projet'!$B$16,Paramètres!$A$1:$I$89,3,0)*0.475*44/12</f>
        <v>6.9402025241056684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48.510651468864282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-1.7053025658242404E-13</v>
      </c>
      <c r="GA180" s="17">
        <f>FZ180*VLOOKUP('Données projet'!$B$17,Paramètres!$A$1:$I$89,3,0)*VLOOKUP('Données projet'!$B$17,Paramètres!$A$1:$I$89,5,0)</f>
        <v>-1.1173142411280423E-13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298.45881427802874</v>
      </c>
      <c r="GF180" s="59">
        <f t="shared" si="158"/>
        <v>287.00279305562356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10.116333423487932</v>
      </c>
      <c r="GM180" s="21">
        <f>EXP(-LN(2)/25)*GM179+(1-EXP(-LN(2)/25))/(LN(2)/25)*Calculateur!GH180*Calculateur!GJ180*VLOOKUP('Données projet'!$B$17,Paramètres!$A$1:$I$89,3,0)*0.475*44/12</f>
        <v>0.12867664175098975</v>
      </c>
      <c r="GN180" s="21">
        <f>EXP(-LN(2)/2)*GN179+(1-EXP(-LN(2)/2))/(LN(2)/2)*GH180*GK180*VLOOKUP('Données projet'!$B$17,Paramètres!$A$1:$I$89,3,0)*0.475*44/12</f>
        <v>8.6090367265677264E-14</v>
      </c>
      <c r="GO180" s="21">
        <f t="shared" si="187"/>
        <v>10.245010065239008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135.66666666666666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-7.9580786405131221E-13</v>
      </c>
      <c r="O181" s="13">
        <f>N181*VLOOKUP('Données projet'!$B$9,Paramètres!$A$1:$I$89,3,0)*VLOOKUP('Données projet'!$B$9,Paramètres!$A$1:$I$89,5,0)</f>
        <v>-7.2004695539362725E-13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600.52384738314299</v>
      </c>
      <c r="T181" s="59">
        <f t="shared" si="142"/>
        <v>314.84650287986256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113.44981995146249</v>
      </c>
      <c r="AA181" s="21">
        <f>EXP(-LN(2)/25)*AA180+(1-EXP(-LN(2)/25))/(LN(2)/25)*Calculateur!V181*Calculateur!X181*VLOOKUP('Données projet'!$B$9,Paramètres!$A$1:$I$89,3,0)*0.475*44/12</f>
        <v>15.835266890329409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129.28508684179189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-1.4897523215040567E-13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436.77894860279537</v>
      </c>
      <c r="AO181" s="59">
        <f t="shared" si="144"/>
        <v>398.63561969573072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25.492358657323908</v>
      </c>
      <c r="AV181" s="21">
        <f>EXP(-LN(2)/25)*AV180+(1-EXP(-LN(2)/25))/(LN(2)/25)*Calculateur!AQ181*Calculateur!AS181*VLOOKUP('Données projet'!$B$10,Paramètres!$A$1:$I$89,3,0)*0.475*44/12</f>
        <v>2.2011772779238128</v>
      </c>
      <c r="AW181" s="21">
        <f>EXP(-LN(2)/2)*AW180+(1-EXP(-LN(2)/2))/(LN(2)/2)*AQ181*AT181*VLOOKUP('Données projet'!$B$10,Paramètres!$A$1:$I$89,3,0)*0.475*44/12</f>
        <v>8.3602580713242742E-23</v>
      </c>
      <c r="AX181" s="21">
        <f t="shared" si="166"/>
        <v>27.69353593524772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-1.3567387213697657E-13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344.97546176735341</v>
      </c>
      <c r="BJ181" s="59">
        <f t="shared" si="146"/>
        <v>331.15461126257492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14.843987415551675</v>
      </c>
      <c r="BQ181" s="21">
        <f>EXP(-LN(2)/25)*BQ180+(1-EXP(-LN(2)/25))/(LN(2)/25)*Calculateur!BL181*Calculateur!BN181*VLOOKUP('Données projet'!$B$11,Paramètres!$A$1:$I$89,3,0)*0.475*44/12</f>
        <v>0.18732115110658484</v>
      </c>
      <c r="BR181" s="21">
        <f>EXP(-LN(2)/2)*BR180+(1-EXP(-LN(2)/2))/(LN(2)/2)*BL181*BO181*VLOOKUP('Données projet'!$B$11,Paramètres!$A$1:$I$89,3,0)*0.475*44/12</f>
        <v>7.3919743021629535E-14</v>
      </c>
      <c r="BS181" s="22">
        <f t="shared" si="169"/>
        <v>15.031308566658334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-1.7053025658242404E-13</v>
      </c>
      <c r="BZ181" s="13">
        <f>BY181*VLOOKUP('Données projet'!$B$12,Paramètres!$A$1:$I$89,3,0)*VLOOKUP('Données projet'!$B$12,Paramètres!$A$1:$I$89,5,0)</f>
        <v>-1.3567387213697657E-13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344.97546176735341</v>
      </c>
      <c r="CE181" s="59">
        <f t="shared" si="148"/>
        <v>331.15461126257492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14.843987415551675</v>
      </c>
      <c r="CL181" s="21">
        <f>EXP(-LN(2)/25)*CL180+(1-EXP(-LN(2)/25))/(LN(2)/25)*Calculateur!CG181*Calculateur!CI181*VLOOKUP('Données projet'!$B$12,Paramètres!$A$1:$I$89,3,0)*0.475*44/12</f>
        <v>0.18732115110658484</v>
      </c>
      <c r="CM181" s="21">
        <f>EXP(-LN(2)/2)*CM180+(1-EXP(-LN(2)/2))/(LN(2)/2)*CG181*CJ181*VLOOKUP('Données projet'!$B$12,Paramètres!$A$1:$I$89,3,0)*0.475*44/12</f>
        <v>7.3919743021629535E-14</v>
      </c>
      <c r="CN181" s="22">
        <f t="shared" si="172"/>
        <v>15.031308566658334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227.19465047672969</v>
      </c>
      <c r="CZ181" s="59">
        <f t="shared" si="150"/>
        <v>529.77979244134417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5.2543829652729626</v>
      </c>
      <c r="DG181" s="21">
        <f>EXP(-LN(2)/25)*DG180+(1-EXP(-LN(2)/25))/(LN(2)/25)*Calculateur!DB181*Calculateur!DD181*VLOOKUP('Données projet'!$B$13,Paramètres!$A$1:$I$89,3,0)*0.475*44/12</f>
        <v>0.52330514364220326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5.7776881089151662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240.09151195692266</v>
      </c>
      <c r="DU181" s="59">
        <f t="shared" si="152"/>
        <v>559.47775134103165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5.5978066884934146</v>
      </c>
      <c r="EB181" s="21">
        <f>EXP(-LN(2)/25)*EB180+(1-EXP(-LN(2)/25))/(LN(2)/25)*Calculateur!DW181*Calculateur!DY181*VLOOKUP('Données projet'!$B$14,Paramètres!$A$1:$I$89,3,0)*0.475*44/12</f>
        <v>0.55750809420705383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6.1553147827004686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5.6843418860808015E-14</v>
      </c>
      <c r="EK181" s="17">
        <f>EJ181*VLOOKUP('Données projet'!$B$15,Paramètres!$A$1:$I$89,3,0)*VLOOKUP('Données projet'!$B$15,Paramètres!$A$1:$I$89,5,0)</f>
        <v>4.4337866711430253E-14</v>
      </c>
      <c r="EL181" s="13">
        <f t="shared" si="179"/>
        <v>7.3222115536967035E-13</v>
      </c>
      <c r="EM181" s="20">
        <f t="shared" si="180"/>
        <v>1.3525069634579169E-12</v>
      </c>
      <c r="EN181" s="59">
        <f t="shared" si="128"/>
        <v>287.14992800411795</v>
      </c>
      <c r="EO181" s="59">
        <f ca="1">AVERAGE(OFFSET($EN$3,0,0,'Données projet'!$E$15+1,1))-AVERAGE(OFFSET($H$3,0,0,'Données projet'!$E$15+1,1))</f>
        <v>328.79469965518484</v>
      </c>
      <c r="EP181" s="59">
        <f t="shared" si="154"/>
        <v>322.06400652269735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7.67392752495509</v>
      </c>
      <c r="EW181" s="21">
        <f>EXP(-LN(2)/25)*EW180+(1-EXP(-LN(2)/25))/(LN(2)/25)*Calculateur!ER181*Calculateur!ET181*VLOOKUP('Données projet'!$B$15,Paramètres!$A$1:$I$89,3,0)*0.475*44/12</f>
        <v>0.46325508690689748</v>
      </c>
      <c r="EX181" s="21">
        <f>EXP(-LN(2)/2)*EX180+(1-EXP(-LN(2)/2))/(LN(2)/2)*ER181*EU181*VLOOKUP('Données projet'!$B$15,Paramètres!$A$1:$I$89,3,0)*0.475*44/12</f>
        <v>2.8617931658725623E-15</v>
      </c>
      <c r="EY181" s="22">
        <f t="shared" si="181"/>
        <v>8.1371826118619914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-5.6843418860808015E-14</v>
      </c>
      <c r="FF181" s="17">
        <f>FE181*VLOOKUP('Données projet'!$B$16,Paramètres!$A$1:$I$89,3,0)*VLOOKUP('Données projet'!$B$16,Paramètres!$A$1:$I$89,5,0)</f>
        <v>-4.1677594708744434E-14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525.22234644068908</v>
      </c>
      <c r="FK181" s="59">
        <f t="shared" si="156"/>
        <v>311.5550296132094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40.755277796422106</v>
      </c>
      <c r="FR181" s="21">
        <f>EXP(-LN(2)/25)*FR180+(1-EXP(-LN(2)/25))/(LN(2)/25)*Calculateur!FM181*Calculateur!FO181*VLOOKUP('Données projet'!$B$16,Paramètres!$A$1:$I$89,3,0)*0.475*44/12</f>
        <v>6.7504223211146099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47.505700117536719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-1.7053025658242404E-13</v>
      </c>
      <c r="GA181" s="17">
        <f>FZ181*VLOOKUP('Données projet'!$B$17,Paramètres!$A$1:$I$89,3,0)*VLOOKUP('Données projet'!$B$17,Paramètres!$A$1:$I$89,5,0)</f>
        <v>-1.1173142411280423E-13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298.45881427802874</v>
      </c>
      <c r="GF181" s="59">
        <f t="shared" si="158"/>
        <v>287.00279305562356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9.9179582954074501</v>
      </c>
      <c r="GM181" s="21">
        <f>EXP(-LN(2)/25)*GM180+(1-EXP(-LN(2)/25))/(LN(2)/25)*Calculateur!GH181*Calculateur!GJ181*VLOOKUP('Données projet'!$B$17,Paramètres!$A$1:$I$89,3,0)*0.475*44/12</f>
        <v>0.12515797221549843</v>
      </c>
      <c r="GN181" s="21">
        <f>EXP(-LN(2)/2)*GN180+(1-EXP(-LN(2)/2))/(LN(2)/2)*GH181*GK181*VLOOKUP('Données projet'!$B$17,Paramètres!$A$1:$I$89,3,0)*0.475*44/12</f>
        <v>6.0875082488400766E-14</v>
      </c>
      <c r="GO181" s="21">
        <f t="shared" si="187"/>
        <v>10.043116267623009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135.66666666666666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-7.9580786405131221E-13</v>
      </c>
      <c r="O182" s="13">
        <f>N182*VLOOKUP('Données projet'!$B$9,Paramètres!$A$1:$I$89,3,0)*VLOOKUP('Données projet'!$B$9,Paramètres!$A$1:$I$89,5,0)</f>
        <v>-7.2004695539362725E-13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600.52384738314299</v>
      </c>
      <c r="T182" s="59">
        <f t="shared" si="142"/>
        <v>314.84650287986256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111.22513817977179</v>
      </c>
      <c r="AA182" s="21">
        <f>EXP(-LN(2)/25)*AA181+(1-EXP(-LN(2)/25))/(LN(2)/25)*Calculateur!V182*Calculateur!X182*VLOOKUP('Données projet'!$B$9,Paramètres!$A$1:$I$89,3,0)*0.475*44/12</f>
        <v>15.402250684472858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126.62738886424465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-1.4897523215040567E-13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436.77894860279537</v>
      </c>
      <c r="AO182" s="59">
        <f t="shared" si="144"/>
        <v>398.63561969573072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24.992469052857249</v>
      </c>
      <c r="AV182" s="21">
        <f>EXP(-LN(2)/25)*AV181+(1-EXP(-LN(2)/25))/(LN(2)/25)*Calculateur!AQ182*Calculateur!AS182*VLOOKUP('Données projet'!$B$10,Paramètres!$A$1:$I$89,3,0)*0.475*44/12</f>
        <v>2.1409859695041038</v>
      </c>
      <c r="AW182" s="21">
        <f>EXP(-LN(2)/2)*AW181+(1-EXP(-LN(2)/2))/(LN(2)/2)*AQ182*AT182*VLOOKUP('Données projet'!$B$10,Paramètres!$A$1:$I$89,3,0)*0.475*44/12</f>
        <v>5.9115951747029613E-23</v>
      </c>
      <c r="AX182" s="21">
        <f t="shared" si="166"/>
        <v>27.133455022361353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-1.3567387213697657E-13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344.97546176735341</v>
      </c>
      <c r="BJ182" s="59">
        <f t="shared" si="146"/>
        <v>331.15461126257492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14.552905876271028</v>
      </c>
      <c r="BQ182" s="21">
        <f>EXP(-LN(2)/25)*BQ181+(1-EXP(-LN(2)/25))/(LN(2)/25)*Calculateur!BL182*Calculateur!BN182*VLOOKUP('Données projet'!$B$11,Paramètres!$A$1:$I$89,3,0)*0.475*44/12</f>
        <v>0.18219884437878409</v>
      </c>
      <c r="BR182" s="21">
        <f>EXP(-LN(2)/2)*BR181+(1-EXP(-LN(2)/2))/(LN(2)/2)*BL182*BO182*VLOOKUP('Données projet'!$B$11,Paramètres!$A$1:$I$89,3,0)*0.475*44/12</f>
        <v>5.226915155416122E-14</v>
      </c>
      <c r="BS182" s="22">
        <f t="shared" si="169"/>
        <v>14.735104720649863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-1.7053025658242404E-13</v>
      </c>
      <c r="BZ182" s="13">
        <f>BY182*VLOOKUP('Données projet'!$B$12,Paramètres!$A$1:$I$89,3,0)*VLOOKUP('Données projet'!$B$12,Paramètres!$A$1:$I$89,5,0)</f>
        <v>-1.3567387213697657E-13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344.97546176735341</v>
      </c>
      <c r="CE182" s="59">
        <f t="shared" si="148"/>
        <v>331.15461126257492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14.552905876271028</v>
      </c>
      <c r="CL182" s="21">
        <f>EXP(-LN(2)/25)*CL181+(1-EXP(-LN(2)/25))/(LN(2)/25)*Calculateur!CG182*Calculateur!CI182*VLOOKUP('Données projet'!$B$12,Paramètres!$A$1:$I$89,3,0)*0.475*44/12</f>
        <v>0.18219884437878409</v>
      </c>
      <c r="CM182" s="21">
        <f>EXP(-LN(2)/2)*CM181+(1-EXP(-LN(2)/2))/(LN(2)/2)*CG182*CJ182*VLOOKUP('Données projet'!$B$12,Paramètres!$A$1:$I$89,3,0)*0.475*44/12</f>
        <v>5.226915155416122E-14</v>
      </c>
      <c r="CN182" s="22">
        <f t="shared" si="172"/>
        <v>14.735104720649863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227.19465047672969</v>
      </c>
      <c r="CZ182" s="59">
        <f t="shared" si="150"/>
        <v>529.77979244134417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5.1513477201811151</v>
      </c>
      <c r="DG182" s="21">
        <f>EXP(-LN(2)/25)*DG181+(1-EXP(-LN(2)/25))/(LN(2)/25)*Calculateur!DB182*Calculateur!DD182*VLOOKUP('Données projet'!$B$13,Paramètres!$A$1:$I$89,3,0)*0.475*44/12</f>
        <v>0.50899533696988575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5.6603430571510005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240.09151195692266</v>
      </c>
      <c r="DU182" s="59">
        <f t="shared" si="152"/>
        <v>559.47775134103165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5.4880371136570023</v>
      </c>
      <c r="EB182" s="21">
        <f>EXP(-LN(2)/25)*EB181+(1-EXP(-LN(2)/25))/(LN(2)/25)*Calculateur!DW182*Calculateur!DY182*VLOOKUP('Données projet'!$B$14,Paramètres!$A$1:$I$89,3,0)*0.475*44/12</f>
        <v>0.54226300605288547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6.0303001197098878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5.6843418860808015E-14</v>
      </c>
      <c r="EK182" s="17">
        <f>EJ182*VLOOKUP('Données projet'!$B$15,Paramètres!$A$1:$I$89,3,0)*VLOOKUP('Données projet'!$B$15,Paramètres!$A$1:$I$89,5,0)</f>
        <v>4.4337866711430253E-14</v>
      </c>
      <c r="EL182" s="13">
        <f t="shared" si="179"/>
        <v>7.3222115536967035E-13</v>
      </c>
      <c r="EM182" s="20">
        <f t="shared" si="180"/>
        <v>1.3525069634579169E-12</v>
      </c>
      <c r="EN182" s="59">
        <f t="shared" si="128"/>
        <v>287.25719626255648</v>
      </c>
      <c r="EO182" s="59">
        <f ca="1">AVERAGE(OFFSET($EN$3,0,0,'Données projet'!$E$15+1,1))-AVERAGE(OFFSET($H$3,0,0,'Données projet'!$E$15+1,1))</f>
        <v>328.79469965518484</v>
      </c>
      <c r="EP182" s="59">
        <f t="shared" si="154"/>
        <v>322.06400652269735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7.5234464868243371</v>
      </c>
      <c r="EW182" s="21">
        <f>EXP(-LN(2)/25)*EW181+(1-EXP(-LN(2)/25))/(LN(2)/25)*Calculateur!ER182*Calculateur!ET182*VLOOKUP('Données projet'!$B$15,Paramètres!$A$1:$I$89,3,0)*0.475*44/12</f>
        <v>0.45058735219390211</v>
      </c>
      <c r="EX182" s="21">
        <f>EXP(-LN(2)/2)*EX181+(1-EXP(-LN(2)/2))/(LN(2)/2)*ER182*EU182*VLOOKUP('Données projet'!$B$15,Paramètres!$A$1:$I$89,3,0)*0.475*44/12</f>
        <v>2.023593353941807E-15</v>
      </c>
      <c r="EY182" s="22">
        <f t="shared" si="181"/>
        <v>7.974033839018241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-5.6843418860808015E-14</v>
      </c>
      <c r="FF182" s="17">
        <f>FE182*VLOOKUP('Données projet'!$B$16,Paramètres!$A$1:$I$89,3,0)*VLOOKUP('Données projet'!$B$16,Paramètres!$A$1:$I$89,5,0)</f>
        <v>-4.1677594708744434E-14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525.22234644068908</v>
      </c>
      <c r="FK182" s="59">
        <f t="shared" si="156"/>
        <v>311.5550296132094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39.956091657099172</v>
      </c>
      <c r="FR182" s="21">
        <f>EXP(-LN(2)/25)*FR181+(1-EXP(-LN(2)/25))/(LN(2)/25)*Calculateur!FM182*Calculateur!FO182*VLOOKUP('Données projet'!$B$16,Paramètres!$A$1:$I$89,3,0)*0.475*44/12</f>
        <v>6.5658316677544493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46.521923324853624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-1.7053025658242404E-13</v>
      </c>
      <c r="GA182" s="17">
        <f>FZ182*VLOOKUP('Données projet'!$B$17,Paramètres!$A$1:$I$89,3,0)*VLOOKUP('Données projet'!$B$17,Paramètres!$A$1:$I$89,5,0)</f>
        <v>-1.1173142411280423E-13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298.45881427802874</v>
      </c>
      <c r="GF182" s="59">
        <f t="shared" si="158"/>
        <v>287.00279305562356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9.7234731825917464</v>
      </c>
      <c r="GM182" s="21">
        <f>EXP(-LN(2)/25)*GM181+(1-EXP(-LN(2)/25))/(LN(2)/25)*Calculateur!GH182*Calculateur!GJ182*VLOOKUP('Données projet'!$B$17,Paramètres!$A$1:$I$89,3,0)*0.475*44/12</f>
        <v>0.12173552088349392</v>
      </c>
      <c r="GN182" s="21">
        <f>EXP(-LN(2)/2)*GN181+(1-EXP(-LN(2)/2))/(LN(2)/2)*GH182*GK182*VLOOKUP('Données projet'!$B$17,Paramètres!$A$1:$I$89,3,0)*0.475*44/12</f>
        <v>4.3045183632838632E-14</v>
      </c>
      <c r="GO182" s="21">
        <f t="shared" si="187"/>
        <v>9.8452087034752829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135.66666666666666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-7.9580786405131221E-13</v>
      </c>
      <c r="O183" s="13">
        <f>N183*VLOOKUP('Données projet'!$B$9,Paramètres!$A$1:$I$89,3,0)*VLOOKUP('Données projet'!$B$9,Paramètres!$A$1:$I$89,5,0)</f>
        <v>-7.2004695539362725E-13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600.52384738314299</v>
      </c>
      <c r="T183" s="59">
        <f t="shared" si="142"/>
        <v>314.84650287986256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109.04408106070206</v>
      </c>
      <c r="AA183" s="21">
        <f>EXP(-LN(2)/25)*AA182+(1-EXP(-LN(2)/25))/(LN(2)/25)*Calculateur!V183*Calculateur!X183*VLOOKUP('Données projet'!$B$9,Paramètres!$A$1:$I$89,3,0)*0.475*44/12</f>
        <v>14.981075329536786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124.02515639023883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-1.4897523215040567E-13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436.77894860279537</v>
      </c>
      <c r="AO183" s="59">
        <f t="shared" si="144"/>
        <v>398.63561969573072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24.502381978631629</v>
      </c>
      <c r="AV183" s="21">
        <f>EXP(-LN(2)/25)*AV182+(1-EXP(-LN(2)/25))/(LN(2)/25)*Calculateur!AQ183*Calculateur!AS183*VLOOKUP('Données projet'!$B$10,Paramètres!$A$1:$I$89,3,0)*0.475*44/12</f>
        <v>2.0824405955784551</v>
      </c>
      <c r="AW183" s="21">
        <f>EXP(-LN(2)/2)*AW182+(1-EXP(-LN(2)/2))/(LN(2)/2)*AQ183*AT183*VLOOKUP('Données projet'!$B$10,Paramètres!$A$1:$I$89,3,0)*0.475*44/12</f>
        <v>4.1801290356621371E-23</v>
      </c>
      <c r="AX183" s="21">
        <f t="shared" si="166"/>
        <v>26.584822574210083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-1.3567387213697657E-13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344.97546176735341</v>
      </c>
      <c r="BJ183" s="59">
        <f t="shared" si="146"/>
        <v>331.15461126257492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14.267532268433467</v>
      </c>
      <c r="BQ183" s="21">
        <f>EXP(-LN(2)/25)*BQ182+(1-EXP(-LN(2)/25))/(LN(2)/25)*Calculateur!BL183*Calculateur!BN183*VLOOKUP('Données projet'!$B$11,Paramètres!$A$1:$I$89,3,0)*0.475*44/12</f>
        <v>0.17721660739782544</v>
      </c>
      <c r="BR183" s="21">
        <f>EXP(-LN(2)/2)*BR182+(1-EXP(-LN(2)/2))/(LN(2)/2)*BL183*BO183*VLOOKUP('Données projet'!$B$11,Paramètres!$A$1:$I$89,3,0)*0.475*44/12</f>
        <v>3.6959871510814768E-14</v>
      </c>
      <c r="BS183" s="22">
        <f t="shared" si="169"/>
        <v>14.44474887583133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-1.7053025658242404E-13</v>
      </c>
      <c r="BZ183" s="13">
        <f>BY183*VLOOKUP('Données projet'!$B$12,Paramètres!$A$1:$I$89,3,0)*VLOOKUP('Données projet'!$B$12,Paramètres!$A$1:$I$89,5,0)</f>
        <v>-1.3567387213697657E-13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344.97546176735341</v>
      </c>
      <c r="CE183" s="59">
        <f t="shared" si="148"/>
        <v>331.15461126257492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14.267532268433467</v>
      </c>
      <c r="CL183" s="21">
        <f>EXP(-LN(2)/25)*CL182+(1-EXP(-LN(2)/25))/(LN(2)/25)*Calculateur!CG183*Calculateur!CI183*VLOOKUP('Données projet'!$B$12,Paramètres!$A$1:$I$89,3,0)*0.475*44/12</f>
        <v>0.17721660739782544</v>
      </c>
      <c r="CM183" s="21">
        <f>EXP(-LN(2)/2)*CM182+(1-EXP(-LN(2)/2))/(LN(2)/2)*CG183*CJ183*VLOOKUP('Données projet'!$B$12,Paramètres!$A$1:$I$89,3,0)*0.475*44/12</f>
        <v>3.6959871510814768E-14</v>
      </c>
      <c r="CN183" s="22">
        <f t="shared" si="172"/>
        <v>14.44474887583133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227.19465047672969</v>
      </c>
      <c r="CZ183" s="59">
        <f t="shared" si="150"/>
        <v>529.77979244134417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5.0503329334002247</v>
      </c>
      <c r="DG183" s="21">
        <f>EXP(-LN(2)/25)*DG182+(1-EXP(-LN(2)/25))/(LN(2)/25)*Calculateur!DB183*Calculateur!DD183*VLOOKUP('Données projet'!$B$13,Paramètres!$A$1:$I$89,3,0)*0.475*44/12</f>
        <v>0.4950768327135428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5.5454097661137673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240.09151195692266</v>
      </c>
      <c r="DU183" s="59">
        <f t="shared" si="152"/>
        <v>559.47775134103165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5.3804200532303019</v>
      </c>
      <c r="EB183" s="21">
        <f>EXP(-LN(2)/25)*EB182+(1-EXP(-LN(2)/25))/(LN(2)/25)*Calculateur!DW183*Calculateur!DY183*VLOOKUP('Données projet'!$B$14,Paramètres!$A$1:$I$89,3,0)*0.475*44/12</f>
        <v>0.52743479563599716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5.9078548488662994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5.6843418860808015E-14</v>
      </c>
      <c r="EK183" s="17">
        <f>EJ183*VLOOKUP('Données projet'!$B$15,Paramètres!$A$1:$I$89,3,0)*VLOOKUP('Données projet'!$B$15,Paramètres!$A$1:$I$89,5,0)</f>
        <v>4.4337866711430253E-14</v>
      </c>
      <c r="EL183" s="13">
        <f t="shared" si="179"/>
        <v>7.3222115536967035E-13</v>
      </c>
      <c r="EM183" s="20">
        <f t="shared" si="180"/>
        <v>1.3525069634579169E-12</v>
      </c>
      <c r="EN183" s="59">
        <f t="shared" si="128"/>
        <v>287.36260365652709</v>
      </c>
      <c r="EO183" s="59">
        <f ca="1">AVERAGE(OFFSET($EN$3,0,0,'Données projet'!$E$15+1,1))-AVERAGE(OFFSET($H$3,0,0,'Données projet'!$E$15+1,1))</f>
        <v>328.79469965518484</v>
      </c>
      <c r="EP183" s="59">
        <f t="shared" si="154"/>
        <v>322.06400652269735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7.3759162900669573</v>
      </c>
      <c r="EW183" s="21">
        <f>EXP(-LN(2)/25)*EW182+(1-EXP(-LN(2)/25))/(LN(2)/25)*Calculateur!ER183*Calculateur!ET183*VLOOKUP('Données projet'!$B$15,Paramètres!$A$1:$I$89,3,0)*0.475*44/12</f>
        <v>0.43826601735280085</v>
      </c>
      <c r="EX183" s="21">
        <f>EXP(-LN(2)/2)*EX182+(1-EXP(-LN(2)/2))/(LN(2)/2)*ER183*EU183*VLOOKUP('Données projet'!$B$15,Paramètres!$A$1:$I$89,3,0)*0.475*44/12</f>
        <v>1.4308965829362812E-15</v>
      </c>
      <c r="EY183" s="22">
        <f t="shared" si="181"/>
        <v>7.8141823074197596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-5.6843418860808015E-14</v>
      </c>
      <c r="FF183" s="17">
        <f>FE183*VLOOKUP('Données projet'!$B$16,Paramètres!$A$1:$I$89,3,0)*VLOOKUP('Données projet'!$B$16,Paramètres!$A$1:$I$89,5,0)</f>
        <v>-4.1677594708744434E-14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525.22234644068908</v>
      </c>
      <c r="FK183" s="59">
        <f t="shared" si="156"/>
        <v>311.5550296132094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39.172577070512951</v>
      </c>
      <c r="FR183" s="21">
        <f>EXP(-LN(2)/25)*FR182+(1-EXP(-LN(2)/25))/(LN(2)/25)*Calculateur!FM183*Calculateur!FO183*VLOOKUP('Données projet'!$B$16,Paramètres!$A$1:$I$89,3,0)*0.475*44/12</f>
        <v>6.3862886555176228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45.558865726030575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-1.7053025658242404E-13</v>
      </c>
      <c r="GA183" s="17">
        <f>FZ183*VLOOKUP('Données projet'!$B$17,Paramètres!$A$1:$I$89,3,0)*VLOOKUP('Données projet'!$B$17,Paramètres!$A$1:$I$89,5,0)</f>
        <v>-1.1173142411280423E-13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298.45881427802874</v>
      </c>
      <c r="GF183" s="59">
        <f t="shared" si="158"/>
        <v>287.00279305562356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9.5328018042141522</v>
      </c>
      <c r="GM183" s="21">
        <f>EXP(-LN(2)/25)*GM182+(1-EXP(-LN(2)/25))/(LN(2)/25)*Calculateur!GH183*Calculateur!GJ183*VLOOKUP('Données projet'!$B$17,Paramètres!$A$1:$I$89,3,0)*0.475*44/12</f>
        <v>0.11840665666314196</v>
      </c>
      <c r="GN183" s="21">
        <f>EXP(-LN(2)/2)*GN182+(1-EXP(-LN(2)/2))/(LN(2)/2)*GH183*GK183*VLOOKUP('Données projet'!$B$17,Paramètres!$A$1:$I$89,3,0)*0.475*44/12</f>
        <v>3.0437541244200383E-14</v>
      </c>
      <c r="GO183" s="21">
        <f t="shared" si="187"/>
        <v>9.6512084608773243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135.66666666666666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-7.9580786405131221E-13</v>
      </c>
      <c r="O184" s="13">
        <f>N184*VLOOKUP('Données projet'!$B$9,Paramètres!$A$1:$I$89,3,0)*VLOOKUP('Données projet'!$B$9,Paramètres!$A$1:$I$89,5,0)</f>
        <v>-7.2004695539362725E-13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600.52384738314299</v>
      </c>
      <c r="T184" s="59">
        <f t="shared" si="142"/>
        <v>314.84650287986256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106.90579314142379</v>
      </c>
      <c r="AA184" s="21">
        <f>EXP(-LN(2)/25)*AA183+(1-EXP(-LN(2)/25))/(LN(2)/25)*Calculateur!V184*Calculateur!X184*VLOOKUP('Données projet'!$B$9,Paramètres!$A$1:$I$89,3,0)*0.475*44/12</f>
        <v>14.571417036830091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121.47721017825387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-1.4897523215040567E-13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436.77894860279537</v>
      </c>
      <c r="AO184" s="59">
        <f t="shared" si="144"/>
        <v>398.63561969573072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24.021905213007976</v>
      </c>
      <c r="AV184" s="21">
        <f>EXP(-LN(2)/25)*AV183+(1-EXP(-LN(2)/25))/(LN(2)/25)*Calculateur!AQ184*Calculateur!AS184*VLOOKUP('Données projet'!$B$10,Paramètres!$A$1:$I$89,3,0)*0.475*44/12</f>
        <v>2.025496147981571</v>
      </c>
      <c r="AW184" s="21">
        <f>EXP(-LN(2)/2)*AW183+(1-EXP(-LN(2)/2))/(LN(2)/2)*AQ184*AT184*VLOOKUP('Données projet'!$B$10,Paramètres!$A$1:$I$89,3,0)*0.475*44/12</f>
        <v>2.9557975873514807E-23</v>
      </c>
      <c r="AX184" s="21">
        <f t="shared" si="166"/>
        <v>26.047401360989547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-1.3567387213697657E-13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344.97546176735341</v>
      </c>
      <c r="BJ184" s="59">
        <f t="shared" si="146"/>
        <v>331.15461126257492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13.987754662984885</v>
      </c>
      <c r="BQ184" s="21">
        <f>EXP(-LN(2)/25)*BQ183+(1-EXP(-LN(2)/25))/(LN(2)/25)*Calculateur!BL184*Calculateur!BN184*VLOOKUP('Données projet'!$B$11,Paramètres!$A$1:$I$89,3,0)*0.475*44/12</f>
        <v>0.17237060994911554</v>
      </c>
      <c r="BR184" s="21">
        <f>EXP(-LN(2)/2)*BR183+(1-EXP(-LN(2)/2))/(LN(2)/2)*BL184*BO184*VLOOKUP('Données projet'!$B$11,Paramètres!$A$1:$I$89,3,0)*0.475*44/12</f>
        <v>2.613457577708061E-14</v>
      </c>
      <c r="BS184" s="22">
        <f t="shared" si="169"/>
        <v>14.160125272934028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-1.7053025658242404E-13</v>
      </c>
      <c r="BZ184" s="13">
        <f>BY184*VLOOKUP('Données projet'!$B$12,Paramètres!$A$1:$I$89,3,0)*VLOOKUP('Données projet'!$B$12,Paramètres!$A$1:$I$89,5,0)</f>
        <v>-1.3567387213697657E-13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344.97546176735341</v>
      </c>
      <c r="CE184" s="59">
        <f t="shared" si="148"/>
        <v>331.15461126257492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13.987754662984885</v>
      </c>
      <c r="CL184" s="21">
        <f>EXP(-LN(2)/25)*CL183+(1-EXP(-LN(2)/25))/(LN(2)/25)*Calculateur!CG184*Calculateur!CI184*VLOOKUP('Données projet'!$B$12,Paramètres!$A$1:$I$89,3,0)*0.475*44/12</f>
        <v>0.17237060994911554</v>
      </c>
      <c r="CM184" s="21">
        <f>EXP(-LN(2)/2)*CM183+(1-EXP(-LN(2)/2))/(LN(2)/2)*CG184*CJ184*VLOOKUP('Données projet'!$B$12,Paramètres!$A$1:$I$89,3,0)*0.475*44/12</f>
        <v>2.613457577708061E-14</v>
      </c>
      <c r="CN184" s="22">
        <f t="shared" si="172"/>
        <v>14.160125272934028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227.19465047672969</v>
      </c>
      <c r="CZ184" s="59">
        <f t="shared" si="150"/>
        <v>529.77979244134417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4.9512989849751712</v>
      </c>
      <c r="DG184" s="21">
        <f>EXP(-LN(2)/25)*DG183+(1-EXP(-LN(2)/25))/(LN(2)/25)*Calculateur!DB184*Calculateur!DD184*VLOOKUP('Données projet'!$B$13,Paramètres!$A$1:$I$89,3,0)*0.475*44/12</f>
        <v>0.48153893068803183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5.4328379156632032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240.09151195692266</v>
      </c>
      <c r="DU184" s="59">
        <f t="shared" si="152"/>
        <v>559.47775134103165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5.2749132977186441</v>
      </c>
      <c r="EB184" s="21">
        <f>EXP(-LN(2)/25)*EB183+(1-EXP(-LN(2)/25))/(LN(2)/25)*Calculateur!DW184*Calculateur!DY184*VLOOKUP('Données projet'!$B$14,Paramètres!$A$1:$I$89,3,0)*0.475*44/12</f>
        <v>0.51301206341274042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5.7879253611313848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5.6843418860808015E-14</v>
      </c>
      <c r="EK184" s="17">
        <f>EJ184*VLOOKUP('Données projet'!$B$15,Paramètres!$A$1:$I$89,3,0)*VLOOKUP('Données projet'!$B$15,Paramètres!$A$1:$I$89,5,0)</f>
        <v>4.4337866711430253E-14</v>
      </c>
      <c r="EL184" s="13">
        <f t="shared" si="179"/>
        <v>7.3222115536967035E-13</v>
      </c>
      <c r="EM184" s="20">
        <f t="shared" si="180"/>
        <v>1.3525069634579169E-12</v>
      </c>
      <c r="EN184" s="59">
        <f t="shared" si="128"/>
        <v>287.4661824678679</v>
      </c>
      <c r="EO184" s="59">
        <f ca="1">AVERAGE(OFFSET($EN$3,0,0,'Données projet'!$E$15+1,1))-AVERAGE(OFFSET($H$3,0,0,'Données projet'!$E$15+1,1))</f>
        <v>328.79469965518484</v>
      </c>
      <c r="EP184" s="59">
        <f t="shared" si="154"/>
        <v>322.06400652269735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7.2312790704834553</v>
      </c>
      <c r="EW184" s="21">
        <f>EXP(-LN(2)/25)*EW183+(1-EXP(-LN(2)/25))/(LN(2)/25)*Calculateur!ER184*Calculateur!ET184*VLOOKUP('Données projet'!$B$15,Paramètres!$A$1:$I$89,3,0)*0.475*44/12</f>
        <v>0.42628161006088033</v>
      </c>
      <c r="EX184" s="21">
        <f>EXP(-LN(2)/2)*EX183+(1-EXP(-LN(2)/2))/(LN(2)/2)*ER184*EU184*VLOOKUP('Données projet'!$B$15,Paramètres!$A$1:$I$89,3,0)*0.475*44/12</f>
        <v>1.0117966769709035E-15</v>
      </c>
      <c r="EY184" s="22">
        <f t="shared" si="181"/>
        <v>7.6575606805443366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-5.6843418860808015E-14</v>
      </c>
      <c r="FF184" s="17">
        <f>FE184*VLOOKUP('Données projet'!$B$16,Paramètres!$A$1:$I$89,3,0)*VLOOKUP('Données projet'!$B$16,Paramètres!$A$1:$I$89,5,0)</f>
        <v>-4.1677594708744434E-14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525.22234644068908</v>
      </c>
      <c r="FK184" s="59">
        <f t="shared" si="156"/>
        <v>311.5550296132094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38.404426727072973</v>
      </c>
      <c r="FR184" s="21">
        <f>EXP(-LN(2)/25)*FR183+(1-EXP(-LN(2)/25))/(LN(2)/25)*Calculateur!FM184*Calculateur!FO184*VLOOKUP('Données projet'!$B$16,Paramètres!$A$1:$I$89,3,0)*0.475*44/12</f>
        <v>6.2116552563921692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44.616081983465143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-1.7053025658242404E-13</v>
      </c>
      <c r="GA184" s="17">
        <f>FZ184*VLOOKUP('Données projet'!$B$17,Paramètres!$A$1:$I$89,3,0)*VLOOKUP('Données projet'!$B$17,Paramètres!$A$1:$I$89,5,0)</f>
        <v>-1.1173142411280423E-13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298.45881427802874</v>
      </c>
      <c r="GF184" s="59">
        <f t="shared" si="158"/>
        <v>287.00279305562356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9.3458693752684852</v>
      </c>
      <c r="GM184" s="21">
        <f>EXP(-LN(2)/25)*GM183+(1-EXP(-LN(2)/25))/(LN(2)/25)*Calculateur!GH184*Calculateur!GJ184*VLOOKUP('Données projet'!$B$17,Paramètres!$A$1:$I$89,3,0)*0.475*44/12</f>
        <v>0.11516882040995288</v>
      </c>
      <c r="GN184" s="21">
        <f>EXP(-LN(2)/2)*GN183+(1-EXP(-LN(2)/2))/(LN(2)/2)*GH184*GK184*VLOOKUP('Données projet'!$B$17,Paramètres!$A$1:$I$89,3,0)*0.475*44/12</f>
        <v>2.1522591816419316E-14</v>
      </c>
      <c r="GO184" s="21">
        <f t="shared" si="187"/>
        <v>9.4610381956784586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135.66666666666666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-7.9580786405131221E-13</v>
      </c>
      <c r="O185" s="13">
        <f>N185*VLOOKUP('Données projet'!$B$9,Paramètres!$A$1:$I$89,3,0)*VLOOKUP('Données projet'!$B$9,Paramètres!$A$1:$I$89,5,0)</f>
        <v>-7.2004695539362725E-13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600.52384738314299</v>
      </c>
      <c r="T185" s="59">
        <f t="shared" si="142"/>
        <v>314.84650287986256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104.80943574401572</v>
      </c>
      <c r="AA185" s="21">
        <f>EXP(-LN(2)/25)*AA184+(1-EXP(-LN(2)/25))/(LN(2)/25)*Calculateur!V185*Calculateur!X185*VLOOKUP('Données projet'!$B$9,Paramètres!$A$1:$I$89,3,0)*0.475*44/12</f>
        <v>14.172960871680454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118.98239661569617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-1.4897523215040567E-13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436.77894860279537</v>
      </c>
      <c r="AO185" s="59">
        <f t="shared" si="144"/>
        <v>398.63561969573072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23.550850303696311</v>
      </c>
      <c r="AV185" s="21">
        <f>EXP(-LN(2)/25)*AV184+(1-EXP(-LN(2)/25))/(LN(2)/25)*Calculateur!AQ185*Calculateur!AS185*VLOOKUP('Données projet'!$B$10,Paramètres!$A$1:$I$89,3,0)*0.475*44/12</f>
        <v>1.9701088492988019</v>
      </c>
      <c r="AW185" s="21">
        <f>EXP(-LN(2)/2)*AW184+(1-EXP(-LN(2)/2))/(LN(2)/2)*AQ185*AT185*VLOOKUP('Données projet'!$B$10,Paramètres!$A$1:$I$89,3,0)*0.475*44/12</f>
        <v>2.0900645178310685E-23</v>
      </c>
      <c r="AX185" s="21">
        <f t="shared" si="166"/>
        <v>25.520959152995115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-1.3567387213697657E-13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344.97546176735341</v>
      </c>
      <c r="BJ185" s="59">
        <f t="shared" si="146"/>
        <v>331.15461126257492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13.713463325731663</v>
      </c>
      <c r="BQ185" s="21">
        <f>EXP(-LN(2)/25)*BQ184+(1-EXP(-LN(2)/25))/(LN(2)/25)*Calculateur!BL185*Calculateur!BN185*VLOOKUP('Données projet'!$B$11,Paramètres!$A$1:$I$89,3,0)*0.475*44/12</f>
        <v>0.16765712655548057</v>
      </c>
      <c r="BR185" s="21">
        <f>EXP(-LN(2)/2)*BR184+(1-EXP(-LN(2)/2))/(LN(2)/2)*BL185*BO185*VLOOKUP('Données projet'!$B$11,Paramètres!$A$1:$I$89,3,0)*0.475*44/12</f>
        <v>1.8479935755407384E-14</v>
      </c>
      <c r="BS185" s="22">
        <f t="shared" si="169"/>
        <v>13.881120452287162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-1.7053025658242404E-13</v>
      </c>
      <c r="BZ185" s="13">
        <f>BY185*VLOOKUP('Données projet'!$B$12,Paramètres!$A$1:$I$89,3,0)*VLOOKUP('Données projet'!$B$12,Paramètres!$A$1:$I$89,5,0)</f>
        <v>-1.3567387213697657E-13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344.97546176735341</v>
      </c>
      <c r="CE185" s="59">
        <f t="shared" si="148"/>
        <v>331.15461126257492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13.713463325731663</v>
      </c>
      <c r="CL185" s="21">
        <f>EXP(-LN(2)/25)*CL184+(1-EXP(-LN(2)/25))/(LN(2)/25)*Calculateur!CG185*Calculateur!CI185*VLOOKUP('Données projet'!$B$12,Paramètres!$A$1:$I$89,3,0)*0.475*44/12</f>
        <v>0.16765712655548057</v>
      </c>
      <c r="CM185" s="21">
        <f>EXP(-LN(2)/2)*CM184+(1-EXP(-LN(2)/2))/(LN(2)/2)*CG185*CJ185*VLOOKUP('Données projet'!$B$12,Paramètres!$A$1:$I$89,3,0)*0.475*44/12</f>
        <v>1.8479935755407384E-14</v>
      </c>
      <c r="CN185" s="22">
        <f t="shared" si="172"/>
        <v>13.881120452287162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227.19465047672969</v>
      </c>
      <c r="CZ185" s="59">
        <f t="shared" si="150"/>
        <v>529.77979244134417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4.8542070318739894</v>
      </c>
      <c r="DG185" s="21">
        <f>EXP(-LN(2)/25)*DG184+(1-EXP(-LN(2)/25))/(LN(2)/25)*Calculateur!DB185*Calculateur!DD185*VLOOKUP('Données projet'!$B$13,Paramètres!$A$1:$I$89,3,0)*0.475*44/12</f>
        <v>0.46837122330533582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5.3225782551793248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240.09151195692266</v>
      </c>
      <c r="DU185" s="59">
        <f t="shared" si="152"/>
        <v>559.47775134103165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5.1714754653298032</v>
      </c>
      <c r="EB185" s="21">
        <f>EXP(-LN(2)/25)*EB184+(1-EXP(-LN(2)/25))/(LN(2)/25)*Calculateur!DW185*Calculateur!DY185*VLOOKUP('Données projet'!$B$14,Paramètres!$A$1:$I$89,3,0)*0.475*44/12</f>
        <v>0.49898372156058712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5.6704591868903904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5.6843418860808015E-14</v>
      </c>
      <c r="EK185" s="17">
        <f>EJ185*VLOOKUP('Données projet'!$B$15,Paramètres!$A$1:$I$89,3,0)*VLOOKUP('Données projet'!$B$15,Paramètres!$A$1:$I$89,5,0)</f>
        <v>4.4337866711430253E-14</v>
      </c>
      <c r="EL185" s="13">
        <f t="shared" si="179"/>
        <v>7.3222115536967035E-13</v>
      </c>
      <c r="EM185" s="20">
        <f t="shared" si="180"/>
        <v>1.3525069634579169E-12</v>
      </c>
      <c r="EN185" s="59">
        <f t="shared" si="128"/>
        <v>287.56796441839947</v>
      </c>
      <c r="EO185" s="59">
        <f ca="1">AVERAGE(OFFSET($EN$3,0,0,'Données projet'!$E$15+1,1))-AVERAGE(OFFSET($H$3,0,0,'Données projet'!$E$15+1,1))</f>
        <v>328.79469965518484</v>
      </c>
      <c r="EP185" s="59">
        <f t="shared" si="154"/>
        <v>322.06400652269735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7.0894780985559924</v>
      </c>
      <c r="EW185" s="21">
        <f>EXP(-LN(2)/25)*EW184+(1-EXP(-LN(2)/25))/(LN(2)/25)*Calculateur!ER185*Calculateur!ET185*VLOOKUP('Données projet'!$B$15,Paramètres!$A$1:$I$89,3,0)*0.475*44/12</f>
        <v>0.41462491701658999</v>
      </c>
      <c r="EX185" s="21">
        <f>EXP(-LN(2)/2)*EX184+(1-EXP(-LN(2)/2))/(LN(2)/2)*ER185*EU185*VLOOKUP('Données projet'!$B$15,Paramètres!$A$1:$I$89,3,0)*0.475*44/12</f>
        <v>7.1544829146814058E-16</v>
      </c>
      <c r="EY185" s="22">
        <f t="shared" si="181"/>
        <v>7.504103015572583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-5.6843418860808015E-14</v>
      </c>
      <c r="FF185" s="17">
        <f>FE185*VLOOKUP('Données projet'!$B$16,Paramètres!$A$1:$I$89,3,0)*VLOOKUP('Données projet'!$B$16,Paramètres!$A$1:$I$89,5,0)</f>
        <v>-4.1677594708744434E-14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525.22234644068908</v>
      </c>
      <c r="FK185" s="59">
        <f t="shared" si="156"/>
        <v>311.5550296132094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37.651339343342407</v>
      </c>
      <c r="FR185" s="21">
        <f>EXP(-LN(2)/25)*FR184+(1-EXP(-LN(2)/25))/(LN(2)/25)*Calculateur!FM185*Calculateur!FO185*VLOOKUP('Données projet'!$B$16,Paramètres!$A$1:$I$89,3,0)*0.475*44/12</f>
        <v>6.0417972167493721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43.69313656009178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-1.7053025658242404E-13</v>
      </c>
      <c r="GA185" s="17">
        <f>FZ185*VLOOKUP('Données projet'!$B$17,Paramètres!$A$1:$I$89,3,0)*VLOOKUP('Données projet'!$B$17,Paramètres!$A$1:$I$89,5,0)</f>
        <v>-1.1173142411280423E-13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298.45881427802874</v>
      </c>
      <c r="GF185" s="59">
        <f t="shared" si="158"/>
        <v>287.00279305562356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9.1626025772369193</v>
      </c>
      <c r="GM185" s="21">
        <f>EXP(-LN(2)/25)*GM184+(1-EXP(-LN(2)/25))/(LN(2)/25)*Calculateur!GH185*Calculateur!GJ185*VLOOKUP('Données projet'!$B$17,Paramètres!$A$1:$I$89,3,0)*0.475*44/12</f>
        <v>0.11201952295937767</v>
      </c>
      <c r="GN185" s="21">
        <f>EXP(-LN(2)/2)*GN184+(1-EXP(-LN(2)/2))/(LN(2)/2)*GH185*GK185*VLOOKUP('Données projet'!$B$17,Paramètres!$A$1:$I$89,3,0)*0.475*44/12</f>
        <v>1.5218770622100192E-14</v>
      </c>
      <c r="GO185" s="21">
        <f t="shared" si="187"/>
        <v>9.2746221001963125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135.66666666666666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-7.9580786405131221E-13</v>
      </c>
      <c r="O186" s="13">
        <f>N186*VLOOKUP('Données projet'!$B$9,Paramètres!$A$1:$I$89,3,0)*VLOOKUP('Données projet'!$B$9,Paramètres!$A$1:$I$89,5,0)</f>
        <v>-7.2004695539362725E-13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600.52384738314299</v>
      </c>
      <c r="T186" s="59">
        <f t="shared" si="142"/>
        <v>314.84650287986256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102.75418663651907</v>
      </c>
      <c r="AA186" s="21">
        <f>EXP(-LN(2)/25)*AA185+(1-EXP(-LN(2)/25))/(LN(2)/25)*Calculateur!V186*Calculateur!X186*VLOOKUP('Données projet'!$B$9,Paramètres!$A$1:$I$89,3,0)*0.475*44/12</f>
        <v>13.785400511320733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116.5395871478398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-1.4897523215040567E-13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436.77894860279537</v>
      </c>
      <c r="AO186" s="59">
        <f t="shared" si="144"/>
        <v>398.63561969573072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23.089032493841124</v>
      </c>
      <c r="AV186" s="21">
        <f>EXP(-LN(2)/25)*AV185+(1-EXP(-LN(2)/25))/(LN(2)/25)*Calculateur!AQ186*Calculateur!AS186*VLOOKUP('Données projet'!$B$10,Paramètres!$A$1:$I$89,3,0)*0.475*44/12</f>
        <v>1.9162361192112045</v>
      </c>
      <c r="AW186" s="21">
        <f>EXP(-LN(2)/2)*AW185+(1-EXP(-LN(2)/2))/(LN(2)/2)*AQ186*AT186*VLOOKUP('Données projet'!$B$10,Paramètres!$A$1:$I$89,3,0)*0.475*44/12</f>
        <v>1.4778987936757403E-23</v>
      </c>
      <c r="AX186" s="21">
        <f t="shared" si="166"/>
        <v>25.00526861305233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-1.3567387213697657E-13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344.97546176735341</v>
      </c>
      <c r="BJ186" s="59">
        <f t="shared" si="146"/>
        <v>331.15461126257492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13.444550674300778</v>
      </c>
      <c r="BQ186" s="21">
        <f>EXP(-LN(2)/25)*BQ185+(1-EXP(-LN(2)/25))/(LN(2)/25)*Calculateur!BL186*Calculateur!BN186*VLOOKUP('Données projet'!$B$11,Paramètres!$A$1:$I$89,3,0)*0.475*44/12</f>
        <v>0.16307253361311586</v>
      </c>
      <c r="BR186" s="21">
        <f>EXP(-LN(2)/2)*BR185+(1-EXP(-LN(2)/2))/(LN(2)/2)*BL186*BO186*VLOOKUP('Données projet'!$B$11,Paramètres!$A$1:$I$89,3,0)*0.475*44/12</f>
        <v>1.3067287888540305E-14</v>
      </c>
      <c r="BS186" s="22">
        <f t="shared" si="169"/>
        <v>13.607623207913907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-1.7053025658242404E-13</v>
      </c>
      <c r="BZ186" s="13">
        <f>BY186*VLOOKUP('Données projet'!$B$12,Paramètres!$A$1:$I$89,3,0)*VLOOKUP('Données projet'!$B$12,Paramètres!$A$1:$I$89,5,0)</f>
        <v>-1.3567387213697657E-13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344.97546176735341</v>
      </c>
      <c r="CE186" s="59">
        <f t="shared" si="148"/>
        <v>331.15461126257492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13.444550674300778</v>
      </c>
      <c r="CL186" s="21">
        <f>EXP(-LN(2)/25)*CL185+(1-EXP(-LN(2)/25))/(LN(2)/25)*Calculateur!CG186*Calculateur!CI186*VLOOKUP('Données projet'!$B$12,Paramètres!$A$1:$I$89,3,0)*0.475*44/12</f>
        <v>0.16307253361311586</v>
      </c>
      <c r="CM186" s="21">
        <f>EXP(-LN(2)/2)*CM185+(1-EXP(-LN(2)/2))/(LN(2)/2)*CG186*CJ186*VLOOKUP('Données projet'!$B$12,Paramètres!$A$1:$I$89,3,0)*0.475*44/12</f>
        <v>1.3067287888540305E-14</v>
      </c>
      <c r="CN186" s="22">
        <f t="shared" si="172"/>
        <v>13.607623207913907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227.19465047672969</v>
      </c>
      <c r="CZ186" s="59">
        <f t="shared" si="150"/>
        <v>529.77979244134417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4.7590189927528774</v>
      </c>
      <c r="DG186" s="21">
        <f>EXP(-LN(2)/25)*DG185+(1-EXP(-LN(2)/25))/(LN(2)/25)*Calculateur!DB186*Calculateur!DD186*VLOOKUP('Données projet'!$B$13,Paramètres!$A$1:$I$89,3,0)*0.475*44/12</f>
        <v>0.45556358757347926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5.2145825803263568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240.09151195692266</v>
      </c>
      <c r="DU186" s="59">
        <f t="shared" si="152"/>
        <v>559.47775134103165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5.0700659857432591</v>
      </c>
      <c r="EB186" s="21">
        <f>EXP(-LN(2)/25)*EB185+(1-EXP(-LN(2)/25))/(LN(2)/25)*Calculateur!DW186*Calculateur!DY186*VLOOKUP('Données projet'!$B$14,Paramètres!$A$1:$I$89,3,0)*0.475*44/12</f>
        <v>0.48533898545409937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5.5554049711973583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5.6843418860808015E-14</v>
      </c>
      <c r="EK186" s="17">
        <f>EJ186*VLOOKUP('Données projet'!$B$15,Paramètres!$A$1:$I$89,3,0)*VLOOKUP('Données projet'!$B$15,Paramètres!$A$1:$I$89,5,0)</f>
        <v>4.4337866711430253E-14</v>
      </c>
      <c r="EL186" s="13">
        <f t="shared" si="179"/>
        <v>7.3222115536967035E-13</v>
      </c>
      <c r="EM186" s="20">
        <f t="shared" si="180"/>
        <v>1.3525069634579169E-12</v>
      </c>
      <c r="EN186" s="59">
        <f t="shared" si="128"/>
        <v>287.6679806796397</v>
      </c>
      <c r="EO186" s="59">
        <f ca="1">AVERAGE(OFFSET($EN$3,0,0,'Données projet'!$E$15+1,1))-AVERAGE(OFFSET($H$3,0,0,'Données projet'!$E$15+1,1))</f>
        <v>328.79469965518484</v>
      </c>
      <c r="EP186" s="59">
        <f t="shared" si="154"/>
        <v>322.06400652269735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6.9504577571979747</v>
      </c>
      <c r="EW186" s="21">
        <f>EXP(-LN(2)/25)*EW185+(1-EXP(-LN(2)/25))/(LN(2)/25)*Calculateur!ER186*Calculateur!ET186*VLOOKUP('Données projet'!$B$15,Paramètres!$A$1:$I$89,3,0)*0.475*44/12</f>
        <v>0.40328697685659459</v>
      </c>
      <c r="EX186" s="21">
        <f>EXP(-LN(2)/2)*EX185+(1-EXP(-LN(2)/2))/(LN(2)/2)*ER186*EU186*VLOOKUP('Données projet'!$B$15,Paramètres!$A$1:$I$89,3,0)*0.475*44/12</f>
        <v>5.0589833848545175E-16</v>
      </c>
      <c r="EY186" s="22">
        <f t="shared" si="181"/>
        <v>7.3537447340545699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-5.6843418860808015E-14</v>
      </c>
      <c r="FF186" s="17">
        <f>FE186*VLOOKUP('Données projet'!$B$16,Paramètres!$A$1:$I$89,3,0)*VLOOKUP('Données projet'!$B$16,Paramètres!$A$1:$I$89,5,0)</f>
        <v>-4.1677594708744434E-14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525.22234644068908</v>
      </c>
      <c r="FK186" s="59">
        <f t="shared" si="156"/>
        <v>311.5550296132094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36.913019543868849</v>
      </c>
      <c r="FR186" s="21">
        <f>EXP(-LN(2)/25)*FR185+(1-EXP(-LN(2)/25))/(LN(2)/25)*Calculateur!FM186*Calculateur!FO186*VLOOKUP('Données projet'!$B$16,Paramètres!$A$1:$I$89,3,0)*0.475*44/12</f>
        <v>5.8765839541330536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42.789603498001902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-1.7053025658242404E-13</v>
      </c>
      <c r="GA186" s="17">
        <f>FZ186*VLOOKUP('Données projet'!$B$17,Paramètres!$A$1:$I$89,3,0)*VLOOKUP('Données projet'!$B$17,Paramètres!$A$1:$I$89,5,0)</f>
        <v>-1.1173142411280423E-13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298.45881427802874</v>
      </c>
      <c r="GF186" s="59">
        <f t="shared" si="158"/>
        <v>287.00279305562356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8.9829295293330436</v>
      </c>
      <c r="GM186" s="21">
        <f>EXP(-LN(2)/25)*GM185+(1-EXP(-LN(2)/25))/(LN(2)/25)*Calculateur!GH186*Calculateur!GJ186*VLOOKUP('Données projet'!$B$17,Paramètres!$A$1:$I$89,3,0)*0.475*44/12</f>
        <v>0.1089563432132028</v>
      </c>
      <c r="GN186" s="21">
        <f>EXP(-LN(2)/2)*GN185+(1-EXP(-LN(2)/2))/(LN(2)/2)*GH186*GK186*VLOOKUP('Données projet'!$B$17,Paramètres!$A$1:$I$89,3,0)*0.475*44/12</f>
        <v>1.0761295908209658E-14</v>
      </c>
      <c r="GO186" s="21">
        <f t="shared" si="187"/>
        <v>9.091885872546257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135.66666666666666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-7.9580786405131221E-13</v>
      </c>
      <c r="O187" s="13">
        <f>N187*VLOOKUP('Données projet'!$B$9,Paramètres!$A$1:$I$89,3,0)*VLOOKUP('Données projet'!$B$9,Paramètres!$A$1:$I$89,5,0)</f>
        <v>-7.2004695539362725E-13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600.52384738314299</v>
      </c>
      <c r="T187" s="59">
        <f t="shared" si="142"/>
        <v>314.84650287986256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100.73923971044225</v>
      </c>
      <c r="AA187" s="21">
        <f>EXP(-LN(2)/25)*AA186+(1-EXP(-LN(2)/25))/(LN(2)/25)*Calculateur!V187*Calculateur!X187*VLOOKUP('Données projet'!$B$9,Paramètres!$A$1:$I$89,3,0)*0.475*44/12</f>
        <v>13.408438009395962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114.14767771983821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-1.4897523215040567E-13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436.77894860279537</v>
      </c>
      <c r="AO187" s="59">
        <f t="shared" si="144"/>
        <v>398.63561969573072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22.636270649556149</v>
      </c>
      <c r="AV187" s="21">
        <f>EXP(-LN(2)/25)*AV186+(1-EXP(-LN(2)/25))/(LN(2)/25)*Calculateur!AQ187*Calculateur!AS187*VLOOKUP('Données projet'!$B$10,Paramètres!$A$1:$I$89,3,0)*0.475*44/12</f>
        <v>1.8638365417608962</v>
      </c>
      <c r="AW187" s="21">
        <f>EXP(-LN(2)/2)*AW186+(1-EXP(-LN(2)/2))/(LN(2)/2)*AQ187*AT187*VLOOKUP('Données projet'!$B$10,Paramètres!$A$1:$I$89,3,0)*0.475*44/12</f>
        <v>1.0450322589155343E-23</v>
      </c>
      <c r="AX187" s="21">
        <f t="shared" si="166"/>
        <v>24.500107191317046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-1.3567387213697657E-13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344.97546176735341</v>
      </c>
      <c r="BJ187" s="59">
        <f t="shared" si="146"/>
        <v>331.15461126257492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13.180911235943933</v>
      </c>
      <c r="BQ187" s="21">
        <f>EXP(-LN(2)/25)*BQ186+(1-EXP(-LN(2)/25))/(LN(2)/25)*Calculateur!BL187*Calculateur!BN187*VLOOKUP('Données projet'!$B$11,Paramètres!$A$1:$I$89,3,0)*0.475*44/12</f>
        <v>0.15861330660585338</v>
      </c>
      <c r="BR187" s="21">
        <f>EXP(-LN(2)/2)*BR186+(1-EXP(-LN(2)/2))/(LN(2)/2)*BL187*BO187*VLOOKUP('Données projet'!$B$11,Paramètres!$A$1:$I$89,3,0)*0.475*44/12</f>
        <v>9.2399678777036919E-15</v>
      </c>
      <c r="BS187" s="22">
        <f t="shared" si="169"/>
        <v>13.339524542549794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-1.7053025658242404E-13</v>
      </c>
      <c r="BZ187" s="13">
        <f>BY187*VLOOKUP('Données projet'!$B$12,Paramètres!$A$1:$I$89,3,0)*VLOOKUP('Données projet'!$B$12,Paramètres!$A$1:$I$89,5,0)</f>
        <v>-1.3567387213697657E-13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344.97546176735341</v>
      </c>
      <c r="CE187" s="59">
        <f t="shared" si="148"/>
        <v>331.15461126257492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13.180911235943933</v>
      </c>
      <c r="CL187" s="21">
        <f>EXP(-LN(2)/25)*CL186+(1-EXP(-LN(2)/25))/(LN(2)/25)*Calculateur!CG187*Calculateur!CI187*VLOOKUP('Données projet'!$B$12,Paramètres!$A$1:$I$89,3,0)*0.475*44/12</f>
        <v>0.15861330660585338</v>
      </c>
      <c r="CM187" s="21">
        <f>EXP(-LN(2)/2)*CM186+(1-EXP(-LN(2)/2))/(LN(2)/2)*CG187*CJ187*VLOOKUP('Données projet'!$B$12,Paramètres!$A$1:$I$89,3,0)*0.475*44/12</f>
        <v>9.2399678777036919E-15</v>
      </c>
      <c r="CN187" s="22">
        <f t="shared" si="172"/>
        <v>13.339524542549794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227.19465047672969</v>
      </c>
      <c r="CZ187" s="59">
        <f t="shared" si="150"/>
        <v>529.77979244134417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4.6656975330199595</v>
      </c>
      <c r="DG187" s="21">
        <f>EXP(-LN(2)/25)*DG186+(1-EXP(-LN(2)/25))/(LN(2)/25)*Calculateur!DB187*Calculateur!DD187*VLOOKUP('Données projet'!$B$13,Paramètres!$A$1:$I$89,3,0)*0.475*44/12</f>
        <v>0.44310617731423457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5.1088037103341941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240.09151195692266</v>
      </c>
      <c r="DU187" s="59">
        <f t="shared" si="152"/>
        <v>559.47775134103165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4.9706450841977325</v>
      </c>
      <c r="EB187" s="21">
        <f>EXP(-LN(2)/25)*EB186+(1-EXP(-LN(2)/25))/(LN(2)/25)*Calculateur!DW187*Calculateur!DY187*VLOOKUP('Données projet'!$B$14,Paramètres!$A$1:$I$89,3,0)*0.475*44/12</f>
        <v>0.47206736537398902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5.4427124495717214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5.6843418860808015E-14</v>
      </c>
      <c r="EK187" s="17">
        <f>EJ187*VLOOKUP('Données projet'!$B$15,Paramètres!$A$1:$I$89,3,0)*VLOOKUP('Données projet'!$B$15,Paramètres!$A$1:$I$89,5,0)</f>
        <v>4.4337866711430253E-14</v>
      </c>
      <c r="EL187" s="13">
        <f t="shared" si="179"/>
        <v>7.3222115536967035E-13</v>
      </c>
      <c r="EM187" s="20">
        <f t="shared" si="180"/>
        <v>1.3525069634579169E-12</v>
      </c>
      <c r="EN187" s="59">
        <f t="shared" si="128"/>
        <v>287.76626188235019</v>
      </c>
      <c r="EO187" s="59">
        <f ca="1">AVERAGE(OFFSET($EN$3,0,0,'Données projet'!$E$15+1,1))-AVERAGE(OFFSET($H$3,0,0,'Données projet'!$E$15+1,1))</f>
        <v>328.79469965518484</v>
      </c>
      <c r="EP187" s="59">
        <f t="shared" si="154"/>
        <v>322.06400652269735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6.8141635199399522</v>
      </c>
      <c r="EW187" s="21">
        <f>EXP(-LN(2)/25)*EW186+(1-EXP(-LN(2)/25))/(LN(2)/25)*Calculateur!ER187*Calculateur!ET187*VLOOKUP('Données projet'!$B$15,Paramètres!$A$1:$I$89,3,0)*0.475*44/12</f>
        <v>0.39225907326651061</v>
      </c>
      <c r="EX187" s="21">
        <f>EXP(-LN(2)/2)*EX186+(1-EXP(-LN(2)/2))/(LN(2)/2)*ER187*EU187*VLOOKUP('Données projet'!$B$15,Paramètres!$A$1:$I$89,3,0)*0.475*44/12</f>
        <v>3.5772414573407029E-16</v>
      </c>
      <c r="EY187" s="22">
        <f t="shared" si="181"/>
        <v>7.2064225932064625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-5.6843418860808015E-14</v>
      </c>
      <c r="FF187" s="17">
        <f>FE187*VLOOKUP('Données projet'!$B$16,Paramètres!$A$1:$I$89,3,0)*VLOOKUP('Données projet'!$B$16,Paramètres!$A$1:$I$89,5,0)</f>
        <v>-4.1677594708744434E-14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525.22234644068908</v>
      </c>
      <c r="FK187" s="59">
        <f t="shared" si="156"/>
        <v>311.5550296132094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36.189177745332358</v>
      </c>
      <c r="FR187" s="21">
        <f>EXP(-LN(2)/25)*FR186+(1-EXP(-LN(2)/25))/(LN(2)/25)*Calculateur!FM187*Calculateur!FO187*VLOOKUP('Données projet'!$B$16,Paramètres!$A$1:$I$89,3,0)*0.475*44/12</f>
        <v>5.7158884568711663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41.905066202203528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-1.7053025658242404E-13</v>
      </c>
      <c r="GA187" s="17">
        <f>FZ187*VLOOKUP('Données projet'!$B$17,Paramètres!$A$1:$I$89,3,0)*VLOOKUP('Données projet'!$B$17,Paramètres!$A$1:$I$89,5,0)</f>
        <v>-1.1173142411280423E-13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298.45881427802874</v>
      </c>
      <c r="GF187" s="59">
        <f t="shared" si="158"/>
        <v>287.00279305562356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8.8067797603088245</v>
      </c>
      <c r="GM187" s="21">
        <f>EXP(-LN(2)/25)*GM186+(1-EXP(-LN(2)/25))/(LN(2)/25)*Calculateur!GH187*Calculateur!GJ187*VLOOKUP('Données projet'!$B$17,Paramètres!$A$1:$I$89,3,0)*0.475*44/12</f>
        <v>0.10597692627827271</v>
      </c>
      <c r="GN187" s="21">
        <f>EXP(-LN(2)/2)*GN186+(1-EXP(-LN(2)/2))/(LN(2)/2)*GH187*GK187*VLOOKUP('Données projet'!$B$17,Paramètres!$A$1:$I$89,3,0)*0.475*44/12</f>
        <v>7.6093853110500958E-15</v>
      </c>
      <c r="GO187" s="21">
        <f t="shared" si="187"/>
        <v>8.9127566865871035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135.66666666666666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-7.9580786405131221E-13</v>
      </c>
      <c r="O188" s="13">
        <f>N188*VLOOKUP('Données projet'!$B$9,Paramètres!$A$1:$I$89,3,0)*VLOOKUP('Données projet'!$B$9,Paramètres!$A$1:$I$89,5,0)</f>
        <v>-7.2004695539362725E-13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600.52384738314299</v>
      </c>
      <c r="T188" s="59">
        <f t="shared" si="142"/>
        <v>314.84650287986256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98.763804664589529</v>
      </c>
      <c r="AA188" s="21">
        <f>EXP(-LN(2)/25)*AA187+(1-EXP(-LN(2)/25))/(LN(2)/25)*Calculateur!V188*Calculateur!X188*VLOOKUP('Données projet'!$B$9,Paramètres!$A$1:$I$89,3,0)*0.475*44/12</f>
        <v>13.041783566909919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111.80558823149944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-1.4897523215040567E-13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436.77894860279537</v>
      </c>
      <c r="AO188" s="59">
        <f t="shared" si="144"/>
        <v>398.63561969573072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22.192387188880144</v>
      </c>
      <c r="AV188" s="21">
        <f>EXP(-LN(2)/25)*AV187+(1-EXP(-LN(2)/25))/(LN(2)/25)*Calculateur!AQ188*Calculateur!AS188*VLOOKUP('Données projet'!$B$10,Paramètres!$A$1:$I$89,3,0)*0.475*44/12</f>
        <v>1.8128698335115405</v>
      </c>
      <c r="AW188" s="21">
        <f>EXP(-LN(2)/2)*AW187+(1-EXP(-LN(2)/2))/(LN(2)/2)*AQ188*AT188*VLOOKUP('Données projet'!$B$10,Paramètres!$A$1:$I$89,3,0)*0.475*44/12</f>
        <v>7.3894939683787016E-24</v>
      </c>
      <c r="AX188" s="21">
        <f t="shared" si="166"/>
        <v>24.005257022391685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-1.3567387213697657E-13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344.97546176735341</v>
      </c>
      <c r="BJ188" s="59">
        <f t="shared" si="146"/>
        <v>331.15461126257492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12.922441606169086</v>
      </c>
      <c r="BQ188" s="21">
        <f>EXP(-LN(2)/25)*BQ187+(1-EXP(-LN(2)/25))/(LN(2)/25)*Calculateur!BL188*Calculateur!BN188*VLOOKUP('Données projet'!$B$11,Paramètres!$A$1:$I$89,3,0)*0.475*44/12</f>
        <v>0.15427601739560504</v>
      </c>
      <c r="BR188" s="21">
        <f>EXP(-LN(2)/2)*BR187+(1-EXP(-LN(2)/2))/(LN(2)/2)*BL188*BO188*VLOOKUP('Données projet'!$B$11,Paramètres!$A$1:$I$89,3,0)*0.475*44/12</f>
        <v>6.5336439442701525E-15</v>
      </c>
      <c r="BS188" s="22">
        <f t="shared" si="169"/>
        <v>13.076717623564697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-1.7053025658242404E-13</v>
      </c>
      <c r="BZ188" s="13">
        <f>BY188*VLOOKUP('Données projet'!$B$12,Paramètres!$A$1:$I$89,3,0)*VLOOKUP('Données projet'!$B$12,Paramètres!$A$1:$I$89,5,0)</f>
        <v>-1.3567387213697657E-13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344.97546176735341</v>
      </c>
      <c r="CE188" s="59">
        <f t="shared" si="148"/>
        <v>331.15461126257492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12.922441606169086</v>
      </c>
      <c r="CL188" s="21">
        <f>EXP(-LN(2)/25)*CL187+(1-EXP(-LN(2)/25))/(LN(2)/25)*Calculateur!CG188*Calculateur!CI188*VLOOKUP('Données projet'!$B$12,Paramètres!$A$1:$I$89,3,0)*0.475*44/12</f>
        <v>0.15427601739560504</v>
      </c>
      <c r="CM188" s="21">
        <f>EXP(-LN(2)/2)*CM187+(1-EXP(-LN(2)/2))/(LN(2)/2)*CG188*CJ188*VLOOKUP('Données projet'!$B$12,Paramètres!$A$1:$I$89,3,0)*0.475*44/12</f>
        <v>6.5336439442701525E-15</v>
      </c>
      <c r="CN188" s="22">
        <f t="shared" si="172"/>
        <v>13.076717623564697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227.19465047672969</v>
      </c>
      <c r="CZ188" s="59">
        <f t="shared" si="150"/>
        <v>529.77979244134417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4.5742060501919344</v>
      </c>
      <c r="DG188" s="21">
        <f>EXP(-LN(2)/25)*DG187+(1-EXP(-LN(2)/25))/(LN(2)/25)*Calculateur!DB188*Calculateur!DD188*VLOOKUP('Données projet'!$B$13,Paramètres!$A$1:$I$89,3,0)*0.475*44/12</f>
        <v>0.43098941559363568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5.0051954657855697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240.09151195692266</v>
      </c>
      <c r="DU188" s="59">
        <f t="shared" si="152"/>
        <v>559.47775134103165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4.8731737658907512</v>
      </c>
      <c r="EB188" s="21">
        <f>EXP(-LN(2)/25)*EB187+(1-EXP(-LN(2)/25))/(LN(2)/25)*Calculateur!DW188*Calculateur!DY188*VLOOKUP('Données projet'!$B$14,Paramètres!$A$1:$I$89,3,0)*0.475*44/12</f>
        <v>0.4591586584428935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5.3323324243336447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5.6843418860808015E-14</v>
      </c>
      <c r="EK188" s="17">
        <f>EJ188*VLOOKUP('Données projet'!$B$15,Paramètres!$A$1:$I$89,3,0)*VLOOKUP('Données projet'!$B$15,Paramètres!$A$1:$I$89,5,0)</f>
        <v>4.4337866711430253E-14</v>
      </c>
      <c r="EL188" s="13">
        <f t="shared" si="179"/>
        <v>7.3222115536967035E-13</v>
      </c>
      <c r="EM188" s="20">
        <f t="shared" si="180"/>
        <v>1.3525069634579169E-12</v>
      </c>
      <c r="EN188" s="59">
        <f t="shared" si="128"/>
        <v>287.86283812591762</v>
      </c>
      <c r="EO188" s="59">
        <f ca="1">AVERAGE(OFFSET($EN$3,0,0,'Données projet'!$E$15+1,1))-AVERAGE(OFFSET($H$3,0,0,'Données projet'!$E$15+1,1))</f>
        <v>328.79469965518484</v>
      </c>
      <c r="EP188" s="59">
        <f t="shared" si="154"/>
        <v>322.06400652269735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6.6805419295432831</v>
      </c>
      <c r="EW188" s="21">
        <f>EXP(-LN(2)/25)*EW187+(1-EXP(-LN(2)/25))/(LN(2)/25)*Calculateur!ER188*Calculateur!ET188*VLOOKUP('Données projet'!$B$15,Paramètres!$A$1:$I$89,3,0)*0.475*44/12</f>
        <v>0.38153272828002971</v>
      </c>
      <c r="EX188" s="21">
        <f>EXP(-LN(2)/2)*EX187+(1-EXP(-LN(2)/2))/(LN(2)/2)*ER188*EU188*VLOOKUP('Données projet'!$B$15,Paramètres!$A$1:$I$89,3,0)*0.475*44/12</f>
        <v>2.5294916924272587E-16</v>
      </c>
      <c r="EY188" s="22">
        <f t="shared" si="181"/>
        <v>7.0620746578233131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-5.6843418860808015E-14</v>
      </c>
      <c r="FF188" s="17">
        <f>FE188*VLOOKUP('Données projet'!$B$16,Paramètres!$A$1:$I$89,3,0)*VLOOKUP('Données projet'!$B$16,Paramètres!$A$1:$I$89,5,0)</f>
        <v>-4.1677594708744434E-14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525.22234644068908</v>
      </c>
      <c r="FK188" s="59">
        <f t="shared" si="156"/>
        <v>311.5550296132094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35.479530042965266</v>
      </c>
      <c r="FR188" s="21">
        <f>EXP(-LN(2)/25)*FR187+(1-EXP(-LN(2)/25))/(LN(2)/25)*Calculateur!FM188*Calculateur!FO188*VLOOKUP('Données projet'!$B$16,Paramètres!$A$1:$I$89,3,0)*0.475*44/12</f>
        <v>5.5595871864325144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41.039117229397782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-1.7053025658242404E-13</v>
      </c>
      <c r="GA188" s="17">
        <f>FZ188*VLOOKUP('Données projet'!$B$17,Paramètres!$A$1:$I$89,3,0)*VLOOKUP('Données projet'!$B$17,Paramètres!$A$1:$I$89,5,0)</f>
        <v>-1.1173142411280423E-13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298.45881427802874</v>
      </c>
      <c r="GF188" s="59">
        <f t="shared" si="158"/>
        <v>287.00279305562356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8.6340841808144209</v>
      </c>
      <c r="GM188" s="21">
        <f>EXP(-LN(2)/25)*GM187+(1-EXP(-LN(2)/25))/(LN(2)/25)*Calculateur!GH188*Calculateur!GJ188*VLOOKUP('Données projet'!$B$17,Paramètres!$A$1:$I$89,3,0)*0.475*44/12</f>
        <v>0.103078981656109</v>
      </c>
      <c r="GN188" s="21">
        <f>EXP(-LN(2)/2)*GN187+(1-EXP(-LN(2)/2))/(LN(2)/2)*GH188*GK188*VLOOKUP('Données projet'!$B$17,Paramètres!$A$1:$I$89,3,0)*0.475*44/12</f>
        <v>5.380647954104829E-15</v>
      </c>
      <c r="GO188" s="21">
        <f t="shared" si="187"/>
        <v>8.7371631624705355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135.66666666666666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-7.9580786405131221E-13</v>
      </c>
      <c r="O189" s="13">
        <f>N189*VLOOKUP('Données projet'!$B$9,Paramètres!$A$1:$I$89,3,0)*VLOOKUP('Données projet'!$B$9,Paramètres!$A$1:$I$89,5,0)</f>
        <v>-7.2004695539362725E-13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600.52384738314299</v>
      </c>
      <c r="T189" s="59">
        <f t="shared" si="142"/>
        <v>314.84650287986256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96.827106695089569</v>
      </c>
      <c r="AA189" s="21">
        <f>EXP(-LN(2)/25)*AA188+(1-EXP(-LN(2)/25))/(LN(2)/25)*Calculateur!V189*Calculateur!X189*VLOOKUP('Données projet'!$B$9,Paramètres!$A$1:$I$89,3,0)*0.475*44/12</f>
        <v>12.685155309435176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109.51226200452474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-1.4897523215040567E-13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436.77894860279537</v>
      </c>
      <c r="AO189" s="59">
        <f t="shared" si="144"/>
        <v>398.63561969573072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21.757208012125819</v>
      </c>
      <c r="AV189" s="21">
        <f>EXP(-LN(2)/25)*AV188+(1-EXP(-LN(2)/25))/(LN(2)/25)*Calculateur!AQ189*Calculateur!AS189*VLOOKUP('Données projet'!$B$10,Paramètres!$A$1:$I$89,3,0)*0.475*44/12</f>
        <v>1.7632968125794863</v>
      </c>
      <c r="AW189" s="21">
        <f>EXP(-LN(2)/2)*AW188+(1-EXP(-LN(2)/2))/(LN(2)/2)*AQ189*AT189*VLOOKUP('Données projet'!$B$10,Paramètres!$A$1:$I$89,3,0)*0.475*44/12</f>
        <v>5.2251612945776714E-24</v>
      </c>
      <c r="AX189" s="21">
        <f t="shared" si="166"/>
        <v>23.520504824705306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-1.3567387213697657E-13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344.97546176735341</v>
      </c>
      <c r="BJ189" s="59">
        <f t="shared" si="146"/>
        <v>331.15461126257492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12.669040408183216</v>
      </c>
      <c r="BQ189" s="21">
        <f>EXP(-LN(2)/25)*BQ188+(1-EXP(-LN(2)/25))/(LN(2)/25)*Calculateur!BL189*Calculateur!BN189*VLOOKUP('Données projet'!$B$11,Paramètres!$A$1:$I$89,3,0)*0.475*44/12</f>
        <v>0.15005733158689907</v>
      </c>
      <c r="BR189" s="21">
        <f>EXP(-LN(2)/2)*BR188+(1-EXP(-LN(2)/2))/(LN(2)/2)*BL189*BO189*VLOOKUP('Données projet'!$B$11,Paramètres!$A$1:$I$89,3,0)*0.475*44/12</f>
        <v>4.619983938851846E-15</v>
      </c>
      <c r="BS189" s="22">
        <f t="shared" si="169"/>
        <v>12.81909773977012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-1.7053025658242404E-13</v>
      </c>
      <c r="BZ189" s="13">
        <f>BY189*VLOOKUP('Données projet'!$B$12,Paramètres!$A$1:$I$89,3,0)*VLOOKUP('Données projet'!$B$12,Paramètres!$A$1:$I$89,5,0)</f>
        <v>-1.3567387213697657E-13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344.97546176735341</v>
      </c>
      <c r="CE189" s="59">
        <f t="shared" si="148"/>
        <v>331.15461126257492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12.669040408183216</v>
      </c>
      <c r="CL189" s="21">
        <f>EXP(-LN(2)/25)*CL188+(1-EXP(-LN(2)/25))/(LN(2)/25)*Calculateur!CG189*Calculateur!CI189*VLOOKUP('Données projet'!$B$12,Paramètres!$A$1:$I$89,3,0)*0.475*44/12</f>
        <v>0.15005733158689907</v>
      </c>
      <c r="CM189" s="21">
        <f>EXP(-LN(2)/2)*CM188+(1-EXP(-LN(2)/2))/(LN(2)/2)*CG189*CJ189*VLOOKUP('Données projet'!$B$12,Paramètres!$A$1:$I$89,3,0)*0.475*44/12</f>
        <v>4.619983938851846E-15</v>
      </c>
      <c r="CN189" s="22">
        <f t="shared" si="172"/>
        <v>12.81909773977012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227.19465047672969</v>
      </c>
      <c r="CZ189" s="59">
        <f t="shared" si="150"/>
        <v>529.77979244134417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4.4845086595378723</v>
      </c>
      <c r="DG189" s="21">
        <f>EXP(-LN(2)/25)*DG188+(1-EXP(-LN(2)/25))/(LN(2)/25)*Calculateur!DB189*Calculateur!DD189*VLOOKUP('Données projet'!$B$13,Paramètres!$A$1:$I$89,3,0)*0.475*44/12</f>
        <v>0.41920398735947939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4.9037126468973513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240.09151195692266</v>
      </c>
      <c r="DU189" s="59">
        <f t="shared" si="152"/>
        <v>559.47775134103165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4.7776138006841364</v>
      </c>
      <c r="EB189" s="21">
        <f>EXP(-LN(2)/25)*EB188+(1-EXP(-LN(2)/25))/(LN(2)/25)*Calculateur!DW189*Calculateur!DY189*VLOOKUP('Données projet'!$B$14,Paramètres!$A$1:$I$89,3,0)*0.475*44/12</f>
        <v>0.44660294078166812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5.2242167414658045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5.6843418860808015E-14</v>
      </c>
      <c r="EK189" s="17">
        <f>EJ189*VLOOKUP('Données projet'!$B$15,Paramètres!$A$1:$I$89,3,0)*VLOOKUP('Données projet'!$B$15,Paramètres!$A$1:$I$89,5,0)</f>
        <v>4.4337866711430253E-14</v>
      </c>
      <c r="EL189" s="13">
        <f t="shared" si="179"/>
        <v>7.3222115536967035E-13</v>
      </c>
      <c r="EM189" s="20">
        <f t="shared" si="180"/>
        <v>1.3525069634579169E-12</v>
      </c>
      <c r="EN189" s="59">
        <f t="shared" si="128"/>
        <v>287.95773898757119</v>
      </c>
      <c r="EO189" s="59">
        <f ca="1">AVERAGE(OFFSET($EN$3,0,0,'Données projet'!$E$15+1,1))-AVERAGE(OFFSET($H$3,0,0,'Données projet'!$E$15+1,1))</f>
        <v>328.79469965518484</v>
      </c>
      <c r="EP189" s="59">
        <f t="shared" si="154"/>
        <v>322.06400652269735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6.5495405770331701</v>
      </c>
      <c r="EW189" s="21">
        <f>EXP(-LN(2)/25)*EW188+(1-EXP(-LN(2)/25))/(LN(2)/25)*Calculateur!ER189*Calculateur!ET189*VLOOKUP('Données projet'!$B$15,Paramètres!$A$1:$I$89,3,0)*0.475*44/12</f>
        <v>0.3710996957612781</v>
      </c>
      <c r="EX189" s="21">
        <f>EXP(-LN(2)/2)*EX188+(1-EXP(-LN(2)/2))/(LN(2)/2)*ER189*EU189*VLOOKUP('Données projet'!$B$15,Paramètres!$A$1:$I$89,3,0)*0.475*44/12</f>
        <v>1.7886207286703515E-16</v>
      </c>
      <c r="EY189" s="22">
        <f t="shared" si="181"/>
        <v>6.920640272794448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-5.6843418860808015E-14</v>
      </c>
      <c r="FF189" s="17">
        <f>FE189*VLOOKUP('Données projet'!$B$16,Paramètres!$A$1:$I$89,3,0)*VLOOKUP('Données projet'!$B$16,Paramètres!$A$1:$I$89,5,0)</f>
        <v>-4.1677594708744434E-14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525.22234644068908</v>
      </c>
      <c r="FK189" s="59">
        <f t="shared" si="156"/>
        <v>311.5550296132094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34.783798099199231</v>
      </c>
      <c r="FR189" s="21">
        <f>EXP(-LN(2)/25)*FR188+(1-EXP(-LN(2)/25))/(LN(2)/25)*Calculateur!FM189*Calculateur!FO189*VLOOKUP('Données projet'!$B$16,Paramètres!$A$1:$I$89,3,0)*0.475*44/12</f>
        <v>5.4075599824535336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40.191358081652766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-1.7053025658242404E-13</v>
      </c>
      <c r="GA189" s="17">
        <f>FZ189*VLOOKUP('Données projet'!$B$17,Paramètres!$A$1:$I$89,3,0)*VLOOKUP('Données projet'!$B$17,Paramètres!$A$1:$I$89,5,0)</f>
        <v>-1.1173142411280423E-13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298.45881427802874</v>
      </c>
      <c r="GF189" s="59">
        <f t="shared" si="158"/>
        <v>287.00279305562356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8.4647750562999988</v>
      </c>
      <c r="GM189" s="21">
        <f>EXP(-LN(2)/25)*GM188+(1-EXP(-LN(2)/25))/(LN(2)/25)*Calculateur!GH189*Calculateur!GJ189*VLOOKUP('Données projet'!$B$17,Paramètres!$A$1:$I$89,3,0)*0.475*44/12</f>
        <v>0.10026028148203464</v>
      </c>
      <c r="GN189" s="21">
        <f>EXP(-LN(2)/2)*GN188+(1-EXP(-LN(2)/2))/(LN(2)/2)*GH189*GK189*VLOOKUP('Données projet'!$B$17,Paramètres!$A$1:$I$89,3,0)*0.475*44/12</f>
        <v>3.8046926555250479E-15</v>
      </c>
      <c r="GO189" s="21">
        <f t="shared" si="187"/>
        <v>8.565035337782037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135.66666666666666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-7.9580786405131221E-13</v>
      </c>
      <c r="O190" s="13">
        <f>N190*VLOOKUP('Données projet'!$B$9,Paramètres!$A$1:$I$89,3,0)*VLOOKUP('Données projet'!$B$9,Paramètres!$A$1:$I$89,5,0)</f>
        <v>-7.2004695539362725E-13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600.52384738314299</v>
      </c>
      <c r="T190" s="59">
        <f t="shared" si="142"/>
        <v>314.84650287986256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94.928386191502383</v>
      </c>
      <c r="AA190" s="21">
        <f>EXP(-LN(2)/25)*AA189+(1-EXP(-LN(2)/25))/(LN(2)/25)*Calculateur!V190*Calculateur!X190*VLOOKUP('Données projet'!$B$9,Paramètres!$A$1:$I$89,3,0)*0.475*44/12</f>
        <v>12.338279070415346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107.26666526191772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-1.4897523215040567E-13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436.77894860279537</v>
      </c>
      <c r="AO190" s="59">
        <f t="shared" si="144"/>
        <v>398.63561969573072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21.330562433594558</v>
      </c>
      <c r="AV190" s="21">
        <f>EXP(-LN(2)/25)*AV189+(1-EXP(-LN(2)/25))/(LN(2)/25)*Calculateur!AQ190*Calculateur!AS190*VLOOKUP('Données projet'!$B$10,Paramètres!$A$1:$I$89,3,0)*0.475*44/12</f>
        <v>1.7150793685117509</v>
      </c>
      <c r="AW190" s="21">
        <f>EXP(-LN(2)/2)*AW189+(1-EXP(-LN(2)/2))/(LN(2)/2)*AQ190*AT190*VLOOKUP('Données projet'!$B$10,Paramètres!$A$1:$I$89,3,0)*0.475*44/12</f>
        <v>3.6947469841893508E-24</v>
      </c>
      <c r="AX190" s="21">
        <f t="shared" si="166"/>
        <v>23.04564180210631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-1.3567387213697657E-13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344.97546176735341</v>
      </c>
      <c r="BJ190" s="59">
        <f t="shared" si="146"/>
        <v>331.15461126257492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12.42060825313038</v>
      </c>
      <c r="BQ190" s="21">
        <f>EXP(-LN(2)/25)*BQ189+(1-EXP(-LN(2)/25))/(LN(2)/25)*Calculateur!BL190*Calculateur!BN190*VLOOKUP('Données projet'!$B$11,Paramètres!$A$1:$I$89,3,0)*0.475*44/12</f>
        <v>0.14595400596348321</v>
      </c>
      <c r="BR190" s="21">
        <f>EXP(-LN(2)/2)*BR189+(1-EXP(-LN(2)/2))/(LN(2)/2)*BL190*BO190*VLOOKUP('Données projet'!$B$11,Paramètres!$A$1:$I$89,3,0)*0.475*44/12</f>
        <v>3.2668219721350762E-15</v>
      </c>
      <c r="BS190" s="22">
        <f t="shared" si="169"/>
        <v>12.566562259093867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-1.7053025658242404E-13</v>
      </c>
      <c r="BZ190" s="13">
        <f>BY190*VLOOKUP('Données projet'!$B$12,Paramètres!$A$1:$I$89,3,0)*VLOOKUP('Données projet'!$B$12,Paramètres!$A$1:$I$89,5,0)</f>
        <v>-1.3567387213697657E-13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344.97546176735341</v>
      </c>
      <c r="CE190" s="59">
        <f t="shared" si="148"/>
        <v>331.15461126257492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12.42060825313038</v>
      </c>
      <c r="CL190" s="21">
        <f>EXP(-LN(2)/25)*CL189+(1-EXP(-LN(2)/25))/(LN(2)/25)*Calculateur!CG190*Calculateur!CI190*VLOOKUP('Données projet'!$B$12,Paramètres!$A$1:$I$89,3,0)*0.475*44/12</f>
        <v>0.14595400596348321</v>
      </c>
      <c r="CM190" s="21">
        <f>EXP(-LN(2)/2)*CM189+(1-EXP(-LN(2)/2))/(LN(2)/2)*CG190*CJ190*VLOOKUP('Données projet'!$B$12,Paramètres!$A$1:$I$89,3,0)*0.475*44/12</f>
        <v>3.2668219721350762E-15</v>
      </c>
      <c r="CN190" s="22">
        <f t="shared" si="172"/>
        <v>12.566562259093867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227.19465047672969</v>
      </c>
      <c r="CZ190" s="59">
        <f t="shared" si="150"/>
        <v>529.77979244134417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4.39657018000453</v>
      </c>
      <c r="DG190" s="21">
        <f>EXP(-LN(2)/25)*DG189+(1-EXP(-LN(2)/25))/(LN(2)/25)*Calculateur!DB190*Calculateur!DD190*VLOOKUP('Données projet'!$B$13,Paramètres!$A$1:$I$89,3,0)*0.475*44/12</f>
        <v>0.40774083228015484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4.8043110122846846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240.09151195692266</v>
      </c>
      <c r="DU190" s="59">
        <f t="shared" si="152"/>
        <v>559.47775134103165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4.6839277081094002</v>
      </c>
      <c r="EB190" s="21">
        <f>EXP(-LN(2)/25)*EB189+(1-EXP(-LN(2)/25))/(LN(2)/25)*Calculateur!DW190*Calculateur!DY190*VLOOKUP('Données projet'!$B$14,Paramètres!$A$1:$I$89,3,0)*0.475*44/12</f>
        <v>0.43439055988016545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5.118318267989566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5.6843418860808015E-14</v>
      </c>
      <c r="EK190" s="17">
        <f>EJ190*VLOOKUP('Données projet'!$B$15,Paramètres!$A$1:$I$89,3,0)*VLOOKUP('Données projet'!$B$15,Paramètres!$A$1:$I$89,5,0)</f>
        <v>4.4337866711430253E-14</v>
      </c>
      <c r="EL190" s="13">
        <f t="shared" si="179"/>
        <v>7.3222115536967035E-13</v>
      </c>
      <c r="EM190" s="20">
        <f t="shared" si="180"/>
        <v>1.3525069634579169E-12</v>
      </c>
      <c r="EN190" s="59">
        <f t="shared" si="128"/>
        <v>288.05099353144175</v>
      </c>
      <c r="EO190" s="59">
        <f ca="1">AVERAGE(OFFSET($EN$3,0,0,'Données projet'!$E$15+1,1))-AVERAGE(OFFSET($H$3,0,0,'Données projet'!$E$15+1,1))</f>
        <v>328.79469965518484</v>
      </c>
      <c r="EP190" s="59">
        <f t="shared" si="154"/>
        <v>322.06400652269735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6.4211080811428456</v>
      </c>
      <c r="EW190" s="21">
        <f>EXP(-LN(2)/25)*EW189+(1-EXP(-LN(2)/25))/(LN(2)/25)*Calculateur!ER190*Calculateur!ET190*VLOOKUP('Données projet'!$B$15,Paramètres!$A$1:$I$89,3,0)*0.475*44/12</f>
        <v>0.36095195506540112</v>
      </c>
      <c r="EX190" s="21">
        <f>EXP(-LN(2)/2)*EX189+(1-EXP(-LN(2)/2))/(LN(2)/2)*ER190*EU190*VLOOKUP('Données projet'!$B$15,Paramètres!$A$1:$I$89,3,0)*0.475*44/12</f>
        <v>1.2647458462136294E-16</v>
      </c>
      <c r="EY190" s="22">
        <f t="shared" si="181"/>
        <v>6.7820600362082466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-5.6843418860808015E-14</v>
      </c>
      <c r="FF190" s="17">
        <f>FE190*VLOOKUP('Données projet'!$B$16,Paramètres!$A$1:$I$89,3,0)*VLOOKUP('Données projet'!$B$16,Paramètres!$A$1:$I$89,5,0)</f>
        <v>-4.1677594708744434E-14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525.22234644068908</v>
      </c>
      <c r="FK190" s="59">
        <f t="shared" si="156"/>
        <v>311.5550296132094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34.101709034495869</v>
      </c>
      <c r="FR190" s="21">
        <f>EXP(-LN(2)/25)*FR189+(1-EXP(-LN(2)/25))/(LN(2)/25)*Calculateur!FM190*Calculateur!FO190*VLOOKUP('Données projet'!$B$16,Paramètres!$A$1:$I$89,3,0)*0.475*44/12</f>
        <v>5.2596899703621212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39.361399004857986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-1.7053025658242404E-13</v>
      </c>
      <c r="GA190" s="17">
        <f>FZ190*VLOOKUP('Données projet'!$B$17,Paramètres!$A$1:$I$89,3,0)*VLOOKUP('Données projet'!$B$17,Paramètres!$A$1:$I$89,5,0)</f>
        <v>-1.1173142411280423E-13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298.45881427802874</v>
      </c>
      <c r="GF190" s="59">
        <f t="shared" si="158"/>
        <v>287.00279305562356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8.2987859804489368</v>
      </c>
      <c r="GM190" s="21">
        <f>EXP(-LN(2)/25)*GM189+(1-EXP(-LN(2)/25))/(LN(2)/25)*Calculateur!GH190*Calculateur!GJ190*VLOOKUP('Données projet'!$B$17,Paramètres!$A$1:$I$89,3,0)*0.475*44/12</f>
        <v>9.7518658812449352E-2</v>
      </c>
      <c r="GN190" s="21">
        <f>EXP(-LN(2)/2)*GN189+(1-EXP(-LN(2)/2))/(LN(2)/2)*GH190*GK190*VLOOKUP('Données projet'!$B$17,Paramètres!$A$1:$I$89,3,0)*0.475*44/12</f>
        <v>2.6903239770524145E-15</v>
      </c>
      <c r="GO190" s="21">
        <f t="shared" si="187"/>
        <v>8.3963046392613894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135.66666666666666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-7.9580786405131221E-13</v>
      </c>
      <c r="O191" s="13">
        <f>N191*VLOOKUP('Données projet'!$B$9,Paramètres!$A$1:$I$89,3,0)*VLOOKUP('Données projet'!$B$9,Paramètres!$A$1:$I$89,5,0)</f>
        <v>-7.2004695539362725E-13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600.52384738314299</v>
      </c>
      <c r="T191" s="59">
        <f t="shared" si="142"/>
        <v>314.84650287986256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93.066898438885389</v>
      </c>
      <c r="AA191" s="21">
        <f>EXP(-LN(2)/25)*AA190+(1-EXP(-LN(2)/25))/(LN(2)/25)*Calculateur!V191*Calculateur!X191*VLOOKUP('Données projet'!$B$9,Paramètres!$A$1:$I$89,3,0)*0.475*44/12</f>
        <v>12.000888180392941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105.06778661927834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-1.4897523215040567E-13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436.77894860279537</v>
      </c>
      <c r="AO191" s="59">
        <f t="shared" si="144"/>
        <v>398.63561969573072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20.912283114630188</v>
      </c>
      <c r="AV191" s="21">
        <f>EXP(-LN(2)/25)*AV190+(1-EXP(-LN(2)/25))/(LN(2)/25)*Calculateur!AQ191*Calculateur!AS191*VLOOKUP('Données projet'!$B$10,Paramètres!$A$1:$I$89,3,0)*0.475*44/12</f>
        <v>1.668180432987693</v>
      </c>
      <c r="AW191" s="21">
        <f>EXP(-LN(2)/2)*AW190+(1-EXP(-LN(2)/2))/(LN(2)/2)*AQ191*AT191*VLOOKUP('Données projet'!$B$10,Paramètres!$A$1:$I$89,3,0)*0.475*44/12</f>
        <v>2.6125806472888357E-24</v>
      </c>
      <c r="AX191" s="21">
        <f t="shared" si="166"/>
        <v>22.580463547617882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-1.3567387213697657E-13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344.97546176735341</v>
      </c>
      <c r="BJ191" s="59">
        <f t="shared" si="146"/>
        <v>331.15461126257492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12.177047701109478</v>
      </c>
      <c r="BQ191" s="21">
        <f>EXP(-LN(2)/25)*BQ190+(1-EXP(-LN(2)/25))/(LN(2)/25)*Calculateur!BL191*Calculateur!BN191*VLOOKUP('Données projet'!$B$11,Paramètres!$A$1:$I$89,3,0)*0.475*44/12</f>
        <v>0.14196288599502416</v>
      </c>
      <c r="BR191" s="21">
        <f>EXP(-LN(2)/2)*BR190+(1-EXP(-LN(2)/2))/(LN(2)/2)*BL191*BO191*VLOOKUP('Données projet'!$B$11,Paramètres!$A$1:$I$89,3,0)*0.475*44/12</f>
        <v>2.309991969425923E-15</v>
      </c>
      <c r="BS191" s="22">
        <f t="shared" si="169"/>
        <v>12.319010587104504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-1.7053025658242404E-13</v>
      </c>
      <c r="BZ191" s="13">
        <f>BY191*VLOOKUP('Données projet'!$B$12,Paramètres!$A$1:$I$89,3,0)*VLOOKUP('Données projet'!$B$12,Paramètres!$A$1:$I$89,5,0)</f>
        <v>-1.3567387213697657E-13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344.97546176735341</v>
      </c>
      <c r="CE191" s="59">
        <f t="shared" si="148"/>
        <v>331.15461126257492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12.177047701109478</v>
      </c>
      <c r="CL191" s="21">
        <f>EXP(-LN(2)/25)*CL190+(1-EXP(-LN(2)/25))/(LN(2)/25)*Calculateur!CG191*Calculateur!CI191*VLOOKUP('Données projet'!$B$12,Paramètres!$A$1:$I$89,3,0)*0.475*44/12</f>
        <v>0.14196288599502416</v>
      </c>
      <c r="CM191" s="21">
        <f>EXP(-LN(2)/2)*CM190+(1-EXP(-LN(2)/2))/(LN(2)/2)*CG191*CJ191*VLOOKUP('Données projet'!$B$12,Paramètres!$A$1:$I$89,3,0)*0.475*44/12</f>
        <v>2.309991969425923E-15</v>
      </c>
      <c r="CN191" s="22">
        <f t="shared" si="172"/>
        <v>12.319010587104504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227.19465047672969</v>
      </c>
      <c r="CZ191" s="59">
        <f t="shared" si="150"/>
        <v>529.77979244134417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4.3103561204176604</v>
      </c>
      <c r="DG191" s="21">
        <f>EXP(-LN(2)/25)*DG190+(1-EXP(-LN(2)/25))/(LN(2)/25)*Calculateur!DB191*Calculateur!DD191*VLOOKUP('Données projet'!$B$13,Paramètres!$A$1:$I$89,3,0)*0.475*44/12</f>
        <v>0.39659113777929555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4.7069472581969558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240.09151195692266</v>
      </c>
      <c r="DU191" s="59">
        <f t="shared" si="152"/>
        <v>559.47775134103165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4.5920787426671801</v>
      </c>
      <c r="EB191" s="21">
        <f>EXP(-LN(2)/25)*EB190+(1-EXP(-LN(2)/25))/(LN(2)/25)*Calculateur!DW191*Calculateur!DY191*VLOOKUP('Données projet'!$B$14,Paramètres!$A$1:$I$89,3,0)*0.475*44/12</f>
        <v>0.42251212717663561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5.0145908698438157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5.6843418860808015E-14</v>
      </c>
      <c r="EK191" s="17">
        <f>EJ191*VLOOKUP('Données projet'!$B$15,Paramètres!$A$1:$I$89,3,0)*VLOOKUP('Données projet'!$B$15,Paramètres!$A$1:$I$89,5,0)</f>
        <v>4.4337866711430253E-14</v>
      </c>
      <c r="EL191" s="13">
        <f t="shared" si="179"/>
        <v>7.3222115536967035E-13</v>
      </c>
      <c r="EM191" s="20">
        <f t="shared" si="180"/>
        <v>1.3525069634579169E-12</v>
      </c>
      <c r="EN191" s="59">
        <f t="shared" si="128"/>
        <v>288.14263031746196</v>
      </c>
      <c r="EO191" s="59">
        <f ca="1">AVERAGE(OFFSET($EN$3,0,0,'Données projet'!$E$15+1,1))-AVERAGE(OFFSET($H$3,0,0,'Données projet'!$E$15+1,1))</f>
        <v>328.79469965518484</v>
      </c>
      <c r="EP191" s="59">
        <f t="shared" si="154"/>
        <v>322.06400652269735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6.2951940681608427</v>
      </c>
      <c r="EW191" s="21">
        <f>EXP(-LN(2)/25)*EW190+(1-EXP(-LN(2)/25))/(LN(2)/25)*Calculateur!ER191*Calculateur!ET191*VLOOKUP('Données projet'!$B$15,Paramètres!$A$1:$I$89,3,0)*0.475*44/12</f>
        <v>0.3510817048724994</v>
      </c>
      <c r="EX191" s="21">
        <f>EXP(-LN(2)/2)*EX190+(1-EXP(-LN(2)/2))/(LN(2)/2)*ER191*EU191*VLOOKUP('Données projet'!$B$15,Paramètres!$A$1:$I$89,3,0)*0.475*44/12</f>
        <v>8.9431036433517573E-17</v>
      </c>
      <c r="EY191" s="22">
        <f t="shared" si="181"/>
        <v>6.6462757730333424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-5.6843418860808015E-14</v>
      </c>
      <c r="FF191" s="17">
        <f>FE191*VLOOKUP('Données projet'!$B$16,Paramètres!$A$1:$I$89,3,0)*VLOOKUP('Données projet'!$B$16,Paramètres!$A$1:$I$89,5,0)</f>
        <v>-4.1677594708744434E-14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525.22234644068908</v>
      </c>
      <c r="FK191" s="59">
        <f t="shared" si="156"/>
        <v>311.5550296132094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33.432995320318085</v>
      </c>
      <c r="FR191" s="21">
        <f>EXP(-LN(2)/25)*FR190+(1-EXP(-LN(2)/25))/(LN(2)/25)*Calculateur!FM191*Calculateur!FO191*VLOOKUP('Données projet'!$B$16,Paramètres!$A$1:$I$89,3,0)*0.475*44/12</f>
        <v>5.1158634715274944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38.548858791845582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-1.7053025658242404E-13</v>
      </c>
      <c r="GA191" s="17">
        <f>FZ191*VLOOKUP('Données projet'!$B$17,Paramètres!$A$1:$I$89,3,0)*VLOOKUP('Données projet'!$B$17,Paramètres!$A$1:$I$89,5,0)</f>
        <v>-1.1173142411280423E-13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298.45881427802874</v>
      </c>
      <c r="GF191" s="59">
        <f t="shared" si="158"/>
        <v>287.00279305562356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8.1360518491319738</v>
      </c>
      <c r="GM191" s="21">
        <f>EXP(-LN(2)/25)*GM190+(1-EXP(-LN(2)/25))/(LN(2)/25)*Calculateur!GH191*Calculateur!GJ191*VLOOKUP('Données projet'!$B$17,Paramètres!$A$1:$I$89,3,0)*0.475*44/12</f>
        <v>9.4852005958939542E-2</v>
      </c>
      <c r="GN191" s="21">
        <f>EXP(-LN(2)/2)*GN190+(1-EXP(-LN(2)/2))/(LN(2)/2)*GH191*GK191*VLOOKUP('Données projet'!$B$17,Paramètres!$A$1:$I$89,3,0)*0.475*44/12</f>
        <v>1.9023463277625239E-15</v>
      </c>
      <c r="GO191" s="21">
        <f t="shared" si="187"/>
        <v>8.230903855090915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135.66666666666666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-7.9580786405131221E-13</v>
      </c>
      <c r="O192" s="13">
        <f>N192*VLOOKUP('Données projet'!$B$9,Paramètres!$A$1:$I$89,3,0)*VLOOKUP('Données projet'!$B$9,Paramètres!$A$1:$I$89,5,0)</f>
        <v>-7.2004695539362725E-13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600.52384738314299</v>
      </c>
      <c r="T192" s="59">
        <f t="shared" si="142"/>
        <v>314.84650287986256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91.241913325701802</v>
      </c>
      <c r="AA192" s="21">
        <f>EXP(-LN(2)/25)*AA191+(1-EXP(-LN(2)/25))/(LN(2)/25)*Calculateur!V192*Calculateur!X192*VLOOKUP('Données projet'!$B$9,Paramètres!$A$1:$I$89,3,0)*0.475*44/12</f>
        <v>11.672723262000815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102.91463658770262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-1.4897523215040567E-13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436.77894860279537</v>
      </c>
      <c r="AO192" s="59">
        <f t="shared" si="144"/>
        <v>398.63561969573072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20.502205997985516</v>
      </c>
      <c r="AV192" s="21">
        <f>EXP(-LN(2)/25)*AV191+(1-EXP(-LN(2)/25))/(LN(2)/25)*Calculateur!AQ192*Calculateur!AS192*VLOOKUP('Données projet'!$B$10,Paramètres!$A$1:$I$89,3,0)*0.475*44/12</f>
        <v>1.6225639513218482</v>
      </c>
      <c r="AW192" s="21">
        <f>EXP(-LN(2)/2)*AW191+(1-EXP(-LN(2)/2))/(LN(2)/2)*AQ192*AT192*VLOOKUP('Données projet'!$B$10,Paramètres!$A$1:$I$89,3,0)*0.475*44/12</f>
        <v>1.8473734920946754E-24</v>
      </c>
      <c r="AX192" s="21">
        <f t="shared" si="166"/>
        <v>22.124769949307364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-1.3567387213697657E-13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344.97546176735341</v>
      </c>
      <c r="BJ192" s="59">
        <f t="shared" si="146"/>
        <v>331.15461126257492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11.938263222956436</v>
      </c>
      <c r="BQ192" s="21">
        <f>EXP(-LN(2)/25)*BQ191+(1-EXP(-LN(2)/25))/(LN(2)/25)*Calculateur!BL192*Calculateur!BN192*VLOOKUP('Données projet'!$B$11,Paramètres!$A$1:$I$89,3,0)*0.475*44/12</f>
        <v>0.13808090341198651</v>
      </c>
      <c r="BR192" s="21">
        <f>EXP(-LN(2)/2)*BR191+(1-EXP(-LN(2)/2))/(LN(2)/2)*BL192*BO192*VLOOKUP('Données projet'!$B$11,Paramètres!$A$1:$I$89,3,0)*0.475*44/12</f>
        <v>1.6334109860675381E-15</v>
      </c>
      <c r="BS192" s="22">
        <f t="shared" si="169"/>
        <v>12.076344126368424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-1.7053025658242404E-13</v>
      </c>
      <c r="BZ192" s="13">
        <f>BY192*VLOOKUP('Données projet'!$B$12,Paramètres!$A$1:$I$89,3,0)*VLOOKUP('Données projet'!$B$12,Paramètres!$A$1:$I$89,5,0)</f>
        <v>-1.3567387213697657E-13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344.97546176735341</v>
      </c>
      <c r="CE192" s="59">
        <f t="shared" si="148"/>
        <v>331.15461126257492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11.938263222956436</v>
      </c>
      <c r="CL192" s="21">
        <f>EXP(-LN(2)/25)*CL191+(1-EXP(-LN(2)/25))/(LN(2)/25)*Calculateur!CG192*Calculateur!CI192*VLOOKUP('Données projet'!$B$12,Paramètres!$A$1:$I$89,3,0)*0.475*44/12</f>
        <v>0.13808090341198651</v>
      </c>
      <c r="CM192" s="21">
        <f>EXP(-LN(2)/2)*CM191+(1-EXP(-LN(2)/2))/(LN(2)/2)*CG192*CJ192*VLOOKUP('Données projet'!$B$12,Paramètres!$A$1:$I$89,3,0)*0.475*44/12</f>
        <v>1.6334109860675381E-15</v>
      </c>
      <c r="CN192" s="22">
        <f t="shared" si="172"/>
        <v>12.076344126368424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227.19465047672969</v>
      </c>
      <c r="CZ192" s="59">
        <f t="shared" si="150"/>
        <v>529.77979244134417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4.2258326659539058</v>
      </c>
      <c r="DG192" s="21">
        <f>EXP(-LN(2)/25)*DG191+(1-EXP(-LN(2)/25))/(LN(2)/25)*Calculateur!DB192*Calculateur!DD192*VLOOKUP('Données projet'!$B$13,Paramètres!$A$1:$I$89,3,0)*0.475*44/12</f>
        <v>0.38574633226089922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4.6115789982148048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240.09151195692266</v>
      </c>
      <c r="DU192" s="59">
        <f t="shared" si="152"/>
        <v>559.47775134103165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4.5020308794149448</v>
      </c>
      <c r="EB192" s="21">
        <f>EXP(-LN(2)/25)*EB191+(1-EXP(-LN(2)/25))/(LN(2)/25)*Calculateur!DW192*Calculateur!DY192*VLOOKUP('Données projet'!$B$14,Paramètres!$A$1:$I$89,3,0)*0.475*44/12</f>
        <v>0.41095851084004342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4.9129893902549879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5.6843418860808015E-14</v>
      </c>
      <c r="EK192" s="17">
        <f>EJ192*VLOOKUP('Données projet'!$B$15,Paramètres!$A$1:$I$89,3,0)*VLOOKUP('Données projet'!$B$15,Paramètres!$A$1:$I$89,5,0)</f>
        <v>4.4337866711430253E-14</v>
      </c>
      <c r="EL192" s="13">
        <f t="shared" si="179"/>
        <v>7.3222115536967035E-13</v>
      </c>
      <c r="EM192" s="20">
        <f t="shared" si="180"/>
        <v>1.3525069634579169E-12</v>
      </c>
      <c r="EN192" s="59">
        <f t="shared" si="128"/>
        <v>288.23267741011392</v>
      </c>
      <c r="EO192" s="59">
        <f ca="1">AVERAGE(OFFSET($EN$3,0,0,'Données projet'!$E$15+1,1))-AVERAGE(OFFSET($H$3,0,0,'Données projet'!$E$15+1,1))</f>
        <v>328.79469965518484</v>
      </c>
      <c r="EP192" s="59">
        <f t="shared" si="154"/>
        <v>322.06400652269735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6.1717491521734527</v>
      </c>
      <c r="EW192" s="21">
        <f>EXP(-LN(2)/25)*EW191+(1-EXP(-LN(2)/25))/(LN(2)/25)*Calculateur!ER192*Calculateur!ET192*VLOOKUP('Données projet'!$B$15,Paramètres!$A$1:$I$89,3,0)*0.475*44/12</f>
        <v>0.34148135719017647</v>
      </c>
      <c r="EX192" s="21">
        <f>EXP(-LN(2)/2)*EX191+(1-EXP(-LN(2)/2))/(LN(2)/2)*ER192*EU192*VLOOKUP('Données projet'!$B$15,Paramètres!$A$1:$I$89,3,0)*0.475*44/12</f>
        <v>6.3237292310681469E-17</v>
      </c>
      <c r="EY192" s="22">
        <f t="shared" si="181"/>
        <v>6.5132305093636287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-5.6843418860808015E-14</v>
      </c>
      <c r="FF192" s="17">
        <f>FE192*VLOOKUP('Données projet'!$B$16,Paramètres!$A$1:$I$89,3,0)*VLOOKUP('Données projet'!$B$16,Paramètres!$A$1:$I$89,5,0)</f>
        <v>-4.1677594708744434E-14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525.22234644068908</v>
      </c>
      <c r="FK192" s="59">
        <f t="shared" si="156"/>
        <v>311.5550296132094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32.777394674200238</v>
      </c>
      <c r="FR192" s="21">
        <f>EXP(-LN(2)/25)*FR191+(1-EXP(-LN(2)/25))/(LN(2)/25)*Calculateur!FM192*Calculateur!FO192*VLOOKUP('Données projet'!$B$16,Paramètres!$A$1:$I$89,3,0)*0.475*44/12</f>
        <v>4.9759699158670072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37.753364590067243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-1.7053025658242404E-13</v>
      </c>
      <c r="GA192" s="17">
        <f>FZ192*VLOOKUP('Données projet'!$B$17,Paramètres!$A$1:$I$89,3,0)*VLOOKUP('Données projet'!$B$17,Paramètres!$A$1:$I$89,5,0)</f>
        <v>-1.1173142411280423E-13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298.45881427802874</v>
      </c>
      <c r="GF192" s="59">
        <f t="shared" si="158"/>
        <v>287.00279305562356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7.9765088348721171</v>
      </c>
      <c r="GM192" s="21">
        <f>EXP(-LN(2)/25)*GM191+(1-EXP(-LN(2)/25))/(LN(2)/25)*Calculateur!GH192*Calculateur!GJ192*VLOOKUP('Données projet'!$B$17,Paramètres!$A$1:$I$89,3,0)*0.475*44/12</f>
        <v>9.2258272867942137E-2</v>
      </c>
      <c r="GN192" s="21">
        <f>EXP(-LN(2)/2)*GN191+(1-EXP(-LN(2)/2))/(LN(2)/2)*GH192*GK192*VLOOKUP('Données projet'!$B$17,Paramètres!$A$1:$I$89,3,0)*0.475*44/12</f>
        <v>1.3451619885262072E-15</v>
      </c>
      <c r="GO192" s="21">
        <f t="shared" si="187"/>
        <v>8.0687671077400616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135.66666666666666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-7.9580786405131221E-13</v>
      </c>
      <c r="O193" s="13">
        <f>N193*VLOOKUP('Données projet'!$B$9,Paramètres!$A$1:$I$89,3,0)*VLOOKUP('Données projet'!$B$9,Paramètres!$A$1:$I$89,5,0)</f>
        <v>-7.2004695539362725E-13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600.52384738314299</v>
      </c>
      <c r="T193" s="59">
        <f t="shared" si="142"/>
        <v>314.84650287986256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89.452715057456729</v>
      </c>
      <c r="AA193" s="21">
        <f>EXP(-LN(2)/25)*AA192+(1-EXP(-LN(2)/25))/(LN(2)/25)*Calculateur!V193*Calculateur!X193*VLOOKUP('Données projet'!$B$9,Paramètres!$A$1:$I$89,3,0)*0.475*44/12</f>
        <v>11.353532030559565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100.80624708801629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-1.4897523215040567E-13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436.77894860279537</v>
      </c>
      <c r="AO193" s="59">
        <f t="shared" si="144"/>
        <v>398.63561969573072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20.100170243475901</v>
      </c>
      <c r="AV193" s="21">
        <f>EXP(-LN(2)/25)*AV192+(1-EXP(-LN(2)/25))/(LN(2)/25)*Calculateur!AQ193*Calculateur!AS193*VLOOKUP('Données projet'!$B$10,Paramètres!$A$1:$I$89,3,0)*0.475*44/12</f>
        <v>1.5781948547460225</v>
      </c>
      <c r="AW193" s="21">
        <f>EXP(-LN(2)/2)*AW192+(1-EXP(-LN(2)/2))/(LN(2)/2)*AQ193*AT193*VLOOKUP('Données projet'!$B$10,Paramètres!$A$1:$I$89,3,0)*0.475*44/12</f>
        <v>1.3062903236444178E-24</v>
      </c>
      <c r="AX193" s="21">
        <f t="shared" si="166"/>
        <v>21.678365098221924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-1.3567387213697657E-13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344.97546176735341</v>
      </c>
      <c r="BJ193" s="59">
        <f t="shared" si="146"/>
        <v>331.15461126257492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11.704161162775826</v>
      </c>
      <c r="BQ193" s="21">
        <f>EXP(-LN(2)/25)*BQ192+(1-EXP(-LN(2)/25))/(LN(2)/25)*Calculateur!BL193*Calculateur!BN193*VLOOKUP('Données projet'!$B$11,Paramètres!$A$1:$I$89,3,0)*0.475*44/12</f>
        <v>0.13430507384682661</v>
      </c>
      <c r="BR193" s="21">
        <f>EXP(-LN(2)/2)*BR192+(1-EXP(-LN(2)/2))/(LN(2)/2)*BL193*BO193*VLOOKUP('Données projet'!$B$11,Paramètres!$A$1:$I$89,3,0)*0.475*44/12</f>
        <v>1.1549959847129615E-15</v>
      </c>
      <c r="BS193" s="22">
        <f t="shared" si="169"/>
        <v>11.838466236622654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-1.7053025658242404E-13</v>
      </c>
      <c r="BZ193" s="13">
        <f>BY193*VLOOKUP('Données projet'!$B$12,Paramètres!$A$1:$I$89,3,0)*VLOOKUP('Données projet'!$B$12,Paramètres!$A$1:$I$89,5,0)</f>
        <v>-1.3567387213697657E-13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344.97546176735341</v>
      </c>
      <c r="CE193" s="59">
        <f t="shared" si="148"/>
        <v>331.15461126257492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11.704161162775826</v>
      </c>
      <c r="CL193" s="21">
        <f>EXP(-LN(2)/25)*CL192+(1-EXP(-LN(2)/25))/(LN(2)/25)*Calculateur!CG193*Calculateur!CI193*VLOOKUP('Données projet'!$B$12,Paramètres!$A$1:$I$89,3,0)*0.475*44/12</f>
        <v>0.13430507384682661</v>
      </c>
      <c r="CM193" s="21">
        <f>EXP(-LN(2)/2)*CM192+(1-EXP(-LN(2)/2))/(LN(2)/2)*CG193*CJ193*VLOOKUP('Données projet'!$B$12,Paramètres!$A$1:$I$89,3,0)*0.475*44/12</f>
        <v>1.1549959847129615E-15</v>
      </c>
      <c r="CN193" s="22">
        <f t="shared" si="172"/>
        <v>11.838466236622654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227.19465047672969</v>
      </c>
      <c r="CZ193" s="59">
        <f t="shared" si="150"/>
        <v>529.77979244134417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4.1429666648779691</v>
      </c>
      <c r="DG193" s="21">
        <f>EXP(-LN(2)/25)*DG192+(1-EXP(-LN(2)/25))/(LN(2)/25)*Calculateur!DB193*Calculateur!DD193*VLOOKUP('Données projet'!$B$13,Paramètres!$A$1:$I$89,3,0)*0.475*44/12</f>
        <v>0.37519807851970693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4.5181647433976764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240.09151195692266</v>
      </c>
      <c r="DU193" s="59">
        <f t="shared" si="152"/>
        <v>559.47775134103165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4.4137487998373128</v>
      </c>
      <c r="EB193" s="21">
        <f>EXP(-LN(2)/25)*EB192+(1-EXP(-LN(2)/25))/(LN(2)/25)*Calculateur!DW193*Calculateur!DY193*VLOOKUP('Données projet'!$B$14,Paramètres!$A$1:$I$89,3,0)*0.475*44/12</f>
        <v>0.39972082874975362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4.8134696285870664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5.6843418860808015E-14</v>
      </c>
      <c r="EK193" s="17">
        <f>EJ193*VLOOKUP('Données projet'!$B$15,Paramètres!$A$1:$I$89,3,0)*VLOOKUP('Données projet'!$B$15,Paramètres!$A$1:$I$89,5,0)</f>
        <v>4.4337866711430253E-14</v>
      </c>
      <c r="EL193" s="13">
        <f t="shared" si="179"/>
        <v>7.3222115536967035E-13</v>
      </c>
      <c r="EM193" s="20">
        <f t="shared" si="180"/>
        <v>1.3525069634579169E-12</v>
      </c>
      <c r="EN193" s="59">
        <f t="shared" si="128"/>
        <v>288.32116238702349</v>
      </c>
      <c r="EO193" s="59">
        <f ca="1">AVERAGE(OFFSET($EN$3,0,0,'Données projet'!$E$15+1,1))-AVERAGE(OFFSET($H$3,0,0,'Données projet'!$E$15+1,1))</f>
        <v>328.79469965518484</v>
      </c>
      <c r="EP193" s="59">
        <f t="shared" si="154"/>
        <v>322.06400652269735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6.0507249156946106</v>
      </c>
      <c r="EW193" s="21">
        <f>EXP(-LN(2)/25)*EW192+(1-EXP(-LN(2)/25))/(LN(2)/25)*Calculateur!ER193*Calculateur!ET193*VLOOKUP('Données projet'!$B$15,Paramètres!$A$1:$I$89,3,0)*0.475*44/12</f>
        <v>0.33214353152008697</v>
      </c>
      <c r="EX193" s="21">
        <f>EXP(-LN(2)/2)*EX192+(1-EXP(-LN(2)/2))/(LN(2)/2)*ER193*EU193*VLOOKUP('Données projet'!$B$15,Paramètres!$A$1:$I$89,3,0)*0.475*44/12</f>
        <v>4.4715518216758786E-17</v>
      </c>
      <c r="EY193" s="22">
        <f t="shared" si="181"/>
        <v>6.3828684472146975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-5.6843418860808015E-14</v>
      </c>
      <c r="FF193" s="17">
        <f>FE193*VLOOKUP('Données projet'!$B$16,Paramètres!$A$1:$I$89,3,0)*VLOOKUP('Données projet'!$B$16,Paramètres!$A$1:$I$89,5,0)</f>
        <v>-4.1677594708744434E-14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525.22234644068908</v>
      </c>
      <c r="FK193" s="59">
        <f t="shared" si="156"/>
        <v>311.5550296132094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32.134649956875855</v>
      </c>
      <c r="FR193" s="21">
        <f>EXP(-LN(2)/25)*FR192+(1-EXP(-LN(2)/25))/(LN(2)/25)*Calculateur!FM193*Calculateur!FO193*VLOOKUP('Données projet'!$B$16,Paramètres!$A$1:$I$89,3,0)*0.475*44/12</f>
        <v>4.8399017568427389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36.974551713718597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-1.7053025658242404E-13</v>
      </c>
      <c r="GA193" s="17">
        <f>FZ193*VLOOKUP('Données projet'!$B$17,Paramètres!$A$1:$I$89,3,0)*VLOOKUP('Données projet'!$B$17,Paramètres!$A$1:$I$89,5,0)</f>
        <v>-1.1173142411280423E-13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298.45881427802874</v>
      </c>
      <c r="GF193" s="59">
        <f t="shared" si="158"/>
        <v>287.00279305562356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7.8200943618102663</v>
      </c>
      <c r="GM193" s="21">
        <f>EXP(-LN(2)/25)*GM192+(1-EXP(-LN(2)/25))/(LN(2)/25)*Calculateur!GH193*Calculateur!GJ193*VLOOKUP('Données projet'!$B$17,Paramètres!$A$1:$I$89,3,0)*0.475*44/12</f>
        <v>8.973546554471655E-2</v>
      </c>
      <c r="GN193" s="21">
        <f>EXP(-LN(2)/2)*GN192+(1-EXP(-LN(2)/2))/(LN(2)/2)*GH193*GK193*VLOOKUP('Données projet'!$B$17,Paramètres!$A$1:$I$89,3,0)*0.475*44/12</f>
        <v>9.5117316388126197E-16</v>
      </c>
      <c r="GO193" s="21">
        <f t="shared" si="187"/>
        <v>7.9098298273549839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135.66666666666666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-7.9580786405131221E-13</v>
      </c>
      <c r="O194" s="13">
        <f>N194*VLOOKUP('Données projet'!$B$9,Paramètres!$A$1:$I$89,3,0)*VLOOKUP('Données projet'!$B$9,Paramètres!$A$1:$I$89,5,0)</f>
        <v>-7.2004695539362725E-13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600.52384738314299</v>
      </c>
      <c r="T194" s="59">
        <f t="shared" si="142"/>
        <v>314.84650287986256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87.698601875948754</v>
      </c>
      <c r="AA194" s="21">
        <f>EXP(-LN(2)/25)*AA193+(1-EXP(-LN(2)/25))/(LN(2)/25)*Calculateur!V194*Calculateur!X194*VLOOKUP('Données projet'!$B$9,Paramètres!$A$1:$I$89,3,0)*0.475*44/12</f>
        <v>11.043069100127614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98.741670976076364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-1.4897523215040567E-13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436.77894860279537</v>
      </c>
      <c r="AO194" s="59">
        <f t="shared" si="144"/>
        <v>398.63561969573072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19.706018164894623</v>
      </c>
      <c r="AV194" s="21">
        <f>EXP(-LN(2)/25)*AV193+(1-EXP(-LN(2)/25))/(LN(2)/25)*Calculateur!AQ194*Calculateur!AS194*VLOOKUP('Données projet'!$B$10,Paramètres!$A$1:$I$89,3,0)*0.475*44/12</f>
        <v>1.535039033449332</v>
      </c>
      <c r="AW194" s="21">
        <f>EXP(-LN(2)/2)*AW193+(1-EXP(-LN(2)/2))/(LN(2)/2)*AQ194*AT194*VLOOKUP('Données projet'!$B$10,Paramètres!$A$1:$I$89,3,0)*0.475*44/12</f>
        <v>9.2368674604733771E-25</v>
      </c>
      <c r="AX194" s="21">
        <f t="shared" si="166"/>
        <v>21.241057198343956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-1.3567387213697657E-13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344.97546176735341</v>
      </c>
      <c r="BJ194" s="59">
        <f t="shared" si="146"/>
        <v>331.15461126257492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11.4746497012072</v>
      </c>
      <c r="BQ194" s="21">
        <f>EXP(-LN(2)/25)*BQ193+(1-EXP(-LN(2)/25))/(LN(2)/25)*Calculateur!BL194*Calculateur!BN194*VLOOKUP('Données projet'!$B$11,Paramètres!$A$1:$I$89,3,0)*0.475*44/12</f>
        <v>0.13063249453968825</v>
      </c>
      <c r="BR194" s="21">
        <f>EXP(-LN(2)/2)*BR193+(1-EXP(-LN(2)/2))/(LN(2)/2)*BL194*BO194*VLOOKUP('Données projet'!$B$11,Paramètres!$A$1:$I$89,3,0)*0.475*44/12</f>
        <v>8.1670549303376906E-16</v>
      </c>
      <c r="BS194" s="22">
        <f t="shared" si="169"/>
        <v>11.605282195746888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-1.7053025658242404E-13</v>
      </c>
      <c r="BZ194" s="13">
        <f>BY194*VLOOKUP('Données projet'!$B$12,Paramètres!$A$1:$I$89,3,0)*VLOOKUP('Données projet'!$B$12,Paramètres!$A$1:$I$89,5,0)</f>
        <v>-1.3567387213697657E-13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344.97546176735341</v>
      </c>
      <c r="CE194" s="59">
        <f t="shared" si="148"/>
        <v>331.15461126257492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11.4746497012072</v>
      </c>
      <c r="CL194" s="21">
        <f>EXP(-LN(2)/25)*CL193+(1-EXP(-LN(2)/25))/(LN(2)/25)*Calculateur!CG194*Calculateur!CI194*VLOOKUP('Données projet'!$B$12,Paramètres!$A$1:$I$89,3,0)*0.475*44/12</f>
        <v>0.13063249453968825</v>
      </c>
      <c r="CM194" s="21">
        <f>EXP(-LN(2)/2)*CM193+(1-EXP(-LN(2)/2))/(LN(2)/2)*CG194*CJ194*VLOOKUP('Données projet'!$B$12,Paramètres!$A$1:$I$89,3,0)*0.475*44/12</f>
        <v>8.1670549303376906E-16</v>
      </c>
      <c r="CN194" s="22">
        <f t="shared" si="172"/>
        <v>11.605282195746888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227.19465047672969</v>
      </c>
      <c r="CZ194" s="59">
        <f t="shared" si="150"/>
        <v>529.77979244134417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4.0617256155398609</v>
      </c>
      <c r="DG194" s="21">
        <f>EXP(-LN(2)/25)*DG193+(1-EXP(-LN(2)/25))/(LN(2)/25)*Calculateur!DB194*Calculateur!DD194*VLOOKUP('Données projet'!$B$13,Paramètres!$A$1:$I$89,3,0)*0.475*44/12</f>
        <v>0.36493826733177614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4.4266638828716367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240.09151195692266</v>
      </c>
      <c r="DU194" s="59">
        <f t="shared" si="152"/>
        <v>559.47775134103165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4.3271978779934459</v>
      </c>
      <c r="EB194" s="21">
        <f>EXP(-LN(2)/25)*EB193+(1-EXP(-LN(2)/25))/(LN(2)/25)*Calculateur!DW194*Calculateur!DY194*VLOOKUP('Données projet'!$B$14,Paramètres!$A$1:$I$89,3,0)*0.475*44/12</f>
        <v>0.38879044166718679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4.7159883196606325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5.6843418860808015E-14</v>
      </c>
      <c r="EK194" s="17">
        <f>EJ194*VLOOKUP('Données projet'!$B$15,Paramètres!$A$1:$I$89,3,0)*VLOOKUP('Données projet'!$B$15,Paramètres!$A$1:$I$89,5,0)</f>
        <v>4.4337866711430253E-14</v>
      </c>
      <c r="EL194" s="13">
        <f t="shared" si="179"/>
        <v>7.3222115536967035E-13</v>
      </c>
      <c r="EM194" s="20">
        <f t="shared" si="180"/>
        <v>1.3525069634579169E-12</v>
      </c>
      <c r="EN194" s="59">
        <f t="shared" si="128"/>
        <v>288.40811234740647</v>
      </c>
      <c r="EO194" s="59">
        <f ca="1">AVERAGE(OFFSET($EN$3,0,0,'Données projet'!$E$15+1,1))-AVERAGE(OFFSET($H$3,0,0,'Données projet'!$E$15+1,1))</f>
        <v>328.79469965518484</v>
      </c>
      <c r="EP194" s="59">
        <f t="shared" si="154"/>
        <v>322.06400652269735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5.9320738906756239</v>
      </c>
      <c r="EW194" s="21">
        <f>EXP(-LN(2)/25)*EW193+(1-EXP(-LN(2)/25))/(LN(2)/25)*Calculateur!ER194*Calculateur!ET194*VLOOKUP('Données projet'!$B$15,Paramètres!$A$1:$I$89,3,0)*0.475*44/12</f>
        <v>0.32306104918400097</v>
      </c>
      <c r="EX194" s="21">
        <f>EXP(-LN(2)/2)*EX193+(1-EXP(-LN(2)/2))/(LN(2)/2)*ER194*EU194*VLOOKUP('Données projet'!$B$15,Paramètres!$A$1:$I$89,3,0)*0.475*44/12</f>
        <v>3.1618646155340734E-17</v>
      </c>
      <c r="EY194" s="22">
        <f t="shared" si="181"/>
        <v>6.2551349398596248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-5.6843418860808015E-14</v>
      </c>
      <c r="FF194" s="17">
        <f>FE194*VLOOKUP('Données projet'!$B$16,Paramètres!$A$1:$I$89,3,0)*VLOOKUP('Données projet'!$B$16,Paramètres!$A$1:$I$89,5,0)</f>
        <v>-4.1677594708744434E-14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525.22234644068908</v>
      </c>
      <c r="FK194" s="59">
        <f t="shared" si="156"/>
        <v>311.5550296132094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31.504509071422632</v>
      </c>
      <c r="FR194" s="21">
        <f>EXP(-LN(2)/25)*FR193+(1-EXP(-LN(2)/25))/(LN(2)/25)*Calculateur!FM194*Calculateur!FO194*VLOOKUP('Données projet'!$B$16,Paramètres!$A$1:$I$89,3,0)*0.475*44/12</f>
        <v>4.7075543887825022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36.212063460205137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-1.7053025658242404E-13</v>
      </c>
      <c r="GA194" s="17">
        <f>FZ194*VLOOKUP('Données projet'!$B$17,Paramètres!$A$1:$I$89,3,0)*VLOOKUP('Données projet'!$B$17,Paramètres!$A$1:$I$89,5,0)</f>
        <v>-1.1173142411280423E-13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298.45881427802874</v>
      </c>
      <c r="GF194" s="59">
        <f t="shared" si="158"/>
        <v>287.00279305562356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7.6667470811617502</v>
      </c>
      <c r="GM194" s="21">
        <f>EXP(-LN(2)/25)*GM193+(1-EXP(-LN(2)/25))/(LN(2)/25)*Calculateur!GH194*Calculateur!GJ194*VLOOKUP('Données projet'!$B$17,Paramètres!$A$1:$I$89,3,0)*0.475*44/12</f>
        <v>8.7281644520413232E-2</v>
      </c>
      <c r="GN194" s="21">
        <f>EXP(-LN(2)/2)*GN193+(1-EXP(-LN(2)/2))/(LN(2)/2)*GH194*GK194*VLOOKUP('Données projet'!$B$17,Paramètres!$A$1:$I$89,3,0)*0.475*44/12</f>
        <v>6.7258099426310362E-16</v>
      </c>
      <c r="GO194" s="21">
        <f t="shared" si="187"/>
        <v>7.7540287256821641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135.66666666666666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-7.9580786405131221E-13</v>
      </c>
      <c r="O195" s="13">
        <f>N195*VLOOKUP('Données projet'!$B$9,Paramètres!$A$1:$I$89,3,0)*VLOOKUP('Données projet'!$B$9,Paramètres!$A$1:$I$89,5,0)</f>
        <v>-7.2004695539362725E-13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600.52384738314299</v>
      </c>
      <c r="T195" s="59">
        <f t="shared" si="142"/>
        <v>314.84650287986256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85.978885784026758</v>
      </c>
      <c r="AA195" s="21">
        <f>EXP(-LN(2)/25)*AA194+(1-EXP(-LN(2)/25))/(LN(2)/25)*Calculateur!V195*Calculateur!X195*VLOOKUP('Données projet'!$B$9,Paramètres!$A$1:$I$89,3,0)*0.475*44/12</f>
        <v>10.741095794854859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96.719981578881615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-1.4897523215040567E-13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436.77894860279537</v>
      </c>
      <c r="AO195" s="59">
        <f t="shared" si="144"/>
        <v>398.63561969573072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19.319595168165293</v>
      </c>
      <c r="AV195" s="21">
        <f>EXP(-LN(2)/25)*AV194+(1-EXP(-LN(2)/25))/(LN(2)/25)*Calculateur!AQ195*Calculateur!AS195*VLOOKUP('Données projet'!$B$10,Paramètres!$A$1:$I$89,3,0)*0.475*44/12</f>
        <v>1.4930633103554656</v>
      </c>
      <c r="AW195" s="21">
        <f>EXP(-LN(2)/2)*AW194+(1-EXP(-LN(2)/2))/(LN(2)/2)*AQ195*AT195*VLOOKUP('Données projet'!$B$10,Paramètres!$A$1:$I$89,3,0)*0.475*44/12</f>
        <v>6.5314516182220892E-25</v>
      </c>
      <c r="AX195" s="21">
        <f t="shared" si="166"/>
        <v>20.81265847852076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-1.3567387213697657E-13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344.97546176735341</v>
      </c>
      <c r="BJ195" s="59">
        <f t="shared" si="146"/>
        <v>331.15461126257492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11.249638819411766</v>
      </c>
      <c r="BQ195" s="21">
        <f>EXP(-LN(2)/25)*BQ194+(1-EXP(-LN(2)/25))/(LN(2)/25)*Calculateur!BL195*Calculateur!BN195*VLOOKUP('Données projet'!$B$11,Paramètres!$A$1:$I$89,3,0)*0.475*44/12</f>
        <v>0.12706034210683614</v>
      </c>
      <c r="BR195" s="21">
        <f>EXP(-LN(2)/2)*BR194+(1-EXP(-LN(2)/2))/(LN(2)/2)*BL195*BO195*VLOOKUP('Données projet'!$B$11,Paramètres!$A$1:$I$89,3,0)*0.475*44/12</f>
        <v>5.7749799235648074E-16</v>
      </c>
      <c r="BS195" s="22">
        <f t="shared" si="169"/>
        <v>11.376699161518601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-1.7053025658242404E-13</v>
      </c>
      <c r="BZ195" s="13">
        <f>BY195*VLOOKUP('Données projet'!$B$12,Paramètres!$A$1:$I$89,3,0)*VLOOKUP('Données projet'!$B$12,Paramètres!$A$1:$I$89,5,0)</f>
        <v>-1.3567387213697657E-13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344.97546176735341</v>
      </c>
      <c r="CE195" s="59">
        <f t="shared" si="148"/>
        <v>331.15461126257492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11.249638819411766</v>
      </c>
      <c r="CL195" s="21">
        <f>EXP(-LN(2)/25)*CL194+(1-EXP(-LN(2)/25))/(LN(2)/25)*Calculateur!CG195*Calculateur!CI195*VLOOKUP('Données projet'!$B$12,Paramètres!$A$1:$I$89,3,0)*0.475*44/12</f>
        <v>0.12706034210683614</v>
      </c>
      <c r="CM195" s="21">
        <f>EXP(-LN(2)/2)*CM194+(1-EXP(-LN(2)/2))/(LN(2)/2)*CG195*CJ195*VLOOKUP('Données projet'!$B$12,Paramètres!$A$1:$I$89,3,0)*0.475*44/12</f>
        <v>5.7749799235648074E-16</v>
      </c>
      <c r="CN195" s="22">
        <f t="shared" si="172"/>
        <v>11.376699161518601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227.19465047672969</v>
      </c>
      <c r="CZ195" s="59">
        <f t="shared" si="150"/>
        <v>529.77979244134417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3.9820776536271261</v>
      </c>
      <c r="DG195" s="21">
        <f>EXP(-LN(2)/25)*DG194+(1-EXP(-LN(2)/25))/(LN(2)/25)*Calculateur!DB195*Calculateur!DD195*VLOOKUP('Données projet'!$B$13,Paramètres!$A$1:$I$89,3,0)*0.475*44/12</f>
        <v>0.35495901122031931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4.337036664847445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240.09151195692266</v>
      </c>
      <c r="DU195" s="59">
        <f t="shared" si="152"/>
        <v>559.47775134103165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4.2423441669360882</v>
      </c>
      <c r="EB195" s="21">
        <f>EXP(-LN(2)/25)*EB194+(1-EXP(-LN(2)/25))/(LN(2)/25)*Calculateur!DW195*Calculateur!DY195*VLOOKUP('Données projet'!$B$14,Paramètres!$A$1:$I$89,3,0)*0.475*44/12</f>
        <v>0.37815894659419685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4.620503113530285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5.6843418860808015E-14</v>
      </c>
      <c r="EK195" s="17">
        <f>EJ195*VLOOKUP('Données projet'!$B$15,Paramètres!$A$1:$I$89,3,0)*VLOOKUP('Données projet'!$B$15,Paramètres!$A$1:$I$89,5,0)</f>
        <v>4.4337866711430253E-14</v>
      </c>
      <c r="EL195" s="13">
        <f t="shared" si="179"/>
        <v>7.3222115536967035E-13</v>
      </c>
      <c r="EM195" s="20">
        <f t="shared" si="180"/>
        <v>1.3525069634579169E-12</v>
      </c>
      <c r="EN195" s="59">
        <f t="shared" si="128"/>
        <v>288.49355392036779</v>
      </c>
      <c r="EO195" s="59">
        <f ca="1">AVERAGE(OFFSET($EN$3,0,0,'Données projet'!$E$15+1,1))-AVERAGE(OFFSET($H$3,0,0,'Données projet'!$E$15+1,1))</f>
        <v>328.79469965518484</v>
      </c>
      <c r="EP195" s="59">
        <f t="shared" si="154"/>
        <v>322.06400652269735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5.8157495398872801</v>
      </c>
      <c r="EW195" s="21">
        <f>EXP(-LN(2)/25)*EW194+(1-EXP(-LN(2)/25))/(LN(2)/25)*Calculateur!ER195*Calculateur!ET195*VLOOKUP('Données projet'!$B$15,Paramètres!$A$1:$I$89,3,0)*0.475*44/12</f>
        <v>0.31422692780502226</v>
      </c>
      <c r="EX195" s="21">
        <f>EXP(-LN(2)/2)*EX194+(1-EXP(-LN(2)/2))/(LN(2)/2)*ER195*EU195*VLOOKUP('Données projet'!$B$15,Paramètres!$A$1:$I$89,3,0)*0.475*44/12</f>
        <v>2.2357759108379393E-17</v>
      </c>
      <c r="EY195" s="22">
        <f t="shared" si="181"/>
        <v>6.1299764676923019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-5.6843418860808015E-14</v>
      </c>
      <c r="FF195" s="17">
        <f>FE195*VLOOKUP('Données projet'!$B$16,Paramètres!$A$1:$I$89,3,0)*VLOOKUP('Données projet'!$B$16,Paramètres!$A$1:$I$89,5,0)</f>
        <v>-4.1677594708744434E-14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525.22234644068908</v>
      </c>
      <c r="FK195" s="59">
        <f t="shared" si="156"/>
        <v>311.5550296132094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30.886724864385158</v>
      </c>
      <c r="FR195" s="21">
        <f>EXP(-LN(2)/25)*FR194+(1-EXP(-LN(2)/25))/(LN(2)/25)*Calculateur!FM195*Calculateur!FO195*VLOOKUP('Données projet'!$B$16,Paramètres!$A$1:$I$89,3,0)*0.475*44/12</f>
        <v>4.5788260664617191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35.465550930846874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-1.7053025658242404E-13</v>
      </c>
      <c r="GA195" s="17">
        <f>FZ195*VLOOKUP('Données projet'!$B$17,Paramètres!$A$1:$I$89,3,0)*VLOOKUP('Données projet'!$B$17,Paramètres!$A$1:$I$89,5,0)</f>
        <v>-1.1173142411280423E-13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298.45881427802874</v>
      </c>
      <c r="GF195" s="59">
        <f t="shared" si="158"/>
        <v>287.00279305562356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7.5164068471541459</v>
      </c>
      <c r="GM195" s="21">
        <f>EXP(-LN(2)/25)*GM194+(1-EXP(-LN(2)/25))/(LN(2)/25)*Calculateur!GH195*Calculateur!GJ195*VLOOKUP('Données projet'!$B$17,Paramètres!$A$1:$I$89,3,0)*0.475*44/12</f>
        <v>8.4894923361060332E-2</v>
      </c>
      <c r="GN195" s="21">
        <f>EXP(-LN(2)/2)*GN194+(1-EXP(-LN(2)/2))/(LN(2)/2)*GH195*GK195*VLOOKUP('Données projet'!$B$17,Paramètres!$A$1:$I$89,3,0)*0.475*44/12</f>
        <v>4.7558658194063099E-16</v>
      </c>
      <c r="GO195" s="21">
        <f t="shared" si="187"/>
        <v>7.6013017705152075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135.66666666666666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-7.9580786405131221E-13</v>
      </c>
      <c r="O196" s="13">
        <f>N196*VLOOKUP('Données projet'!$B$9,Paramètres!$A$1:$I$89,3,0)*VLOOKUP('Données projet'!$B$9,Paramètres!$A$1:$I$89,5,0)</f>
        <v>-7.2004695539362725E-13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600.52384738314299</v>
      </c>
      <c r="T196" s="59">
        <f t="shared" si="142"/>
        <v>314.84650287986256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84.292892275744109</v>
      </c>
      <c r="AA196" s="21">
        <f>EXP(-LN(2)/25)*AA195+(1-EXP(-LN(2)/25))/(LN(2)/25)*Calculateur!V196*Calculateur!X196*VLOOKUP('Données projet'!$B$9,Paramètres!$A$1:$I$89,3,0)*0.475*44/12</f>
        <v>10.447379965494873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94.740272241238983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-1.4897523215040567E-13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436.77894860279537</v>
      </c>
      <c r="AO196" s="59">
        <f t="shared" si="144"/>
        <v>398.63561969573072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18.940749690707072</v>
      </c>
      <c r="AV196" s="21">
        <f>EXP(-LN(2)/25)*AV195+(1-EXP(-LN(2)/25))/(LN(2)/25)*Calculateur!AQ196*Calculateur!AS196*VLOOKUP('Données projet'!$B$10,Paramètres!$A$1:$I$89,3,0)*0.475*44/12</f>
        <v>1.4522354156170083</v>
      </c>
      <c r="AW196" s="21">
        <f>EXP(-LN(2)/2)*AW195+(1-EXP(-LN(2)/2))/(LN(2)/2)*AQ196*AT196*VLOOKUP('Données projet'!$B$10,Paramètres!$A$1:$I$89,3,0)*0.475*44/12</f>
        <v>4.6184337302366885E-25</v>
      </c>
      <c r="AX196" s="21">
        <f t="shared" si="166"/>
        <v>20.39298510632408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-1.3567387213697657E-13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344.97546176735341</v>
      </c>
      <c r="BJ196" s="59">
        <f t="shared" si="146"/>
        <v>331.15461126257492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11.029040263765253</v>
      </c>
      <c r="BQ196" s="21">
        <f>EXP(-LN(2)/25)*BQ195+(1-EXP(-LN(2)/25))/(LN(2)/25)*Calculateur!BL196*Calculateur!BN196*VLOOKUP('Données projet'!$B$11,Paramètres!$A$1:$I$89,3,0)*0.475*44/12</f>
        <v>0.12358587037011172</v>
      </c>
      <c r="BR196" s="21">
        <f>EXP(-LN(2)/2)*BR195+(1-EXP(-LN(2)/2))/(LN(2)/2)*BL196*BO196*VLOOKUP('Données projet'!$B$11,Paramètres!$A$1:$I$89,3,0)*0.475*44/12</f>
        <v>4.0835274651688453E-16</v>
      </c>
      <c r="BS196" s="22">
        <f t="shared" si="169"/>
        <v>11.152626134135366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-1.7053025658242404E-13</v>
      </c>
      <c r="BZ196" s="13">
        <f>BY196*VLOOKUP('Données projet'!$B$12,Paramètres!$A$1:$I$89,3,0)*VLOOKUP('Données projet'!$B$12,Paramètres!$A$1:$I$89,5,0)</f>
        <v>-1.3567387213697657E-13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344.97546176735341</v>
      </c>
      <c r="CE196" s="59">
        <f t="shared" si="148"/>
        <v>331.15461126257492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11.029040263765253</v>
      </c>
      <c r="CL196" s="21">
        <f>EXP(-LN(2)/25)*CL195+(1-EXP(-LN(2)/25))/(LN(2)/25)*Calculateur!CG196*Calculateur!CI196*VLOOKUP('Données projet'!$B$12,Paramètres!$A$1:$I$89,3,0)*0.475*44/12</f>
        <v>0.12358587037011172</v>
      </c>
      <c r="CM196" s="21">
        <f>EXP(-LN(2)/2)*CM195+(1-EXP(-LN(2)/2))/(LN(2)/2)*CG196*CJ196*VLOOKUP('Données projet'!$B$12,Paramètres!$A$1:$I$89,3,0)*0.475*44/12</f>
        <v>4.0835274651688453E-16</v>
      </c>
      <c r="CN196" s="22">
        <f t="shared" si="172"/>
        <v>11.152626134135366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227.19465047672969</v>
      </c>
      <c r="CZ196" s="59">
        <f t="shared" si="150"/>
        <v>529.77979244134417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3.9039915396670399</v>
      </c>
      <c r="DG196" s="21">
        <f>EXP(-LN(2)/25)*DG195+(1-EXP(-LN(2)/25))/(LN(2)/25)*Calculateur!DB196*Calculateur!DD196*VLOOKUP('Données projet'!$B$13,Paramètres!$A$1:$I$89,3,0)*0.475*44/12</f>
        <v>0.34525263839201653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4.2492441780590564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240.09151195692266</v>
      </c>
      <c r="DU196" s="59">
        <f t="shared" si="152"/>
        <v>559.47775134103165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4.1591543853969117</v>
      </c>
      <c r="EB196" s="21">
        <f>EXP(-LN(2)/25)*EB195+(1-EXP(-LN(2)/25))/(LN(2)/25)*Calculateur!DW196*Calculateur!DY196*VLOOKUP('Données projet'!$B$14,Paramètres!$A$1:$I$89,3,0)*0.475*44/12</f>
        <v>0.36781817031306385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4.5269725557099756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5.6843418860808015E-14</v>
      </c>
      <c r="EK196" s="17">
        <f>EJ196*VLOOKUP('Données projet'!$B$15,Paramètres!$A$1:$I$89,3,0)*VLOOKUP('Données projet'!$B$15,Paramètres!$A$1:$I$89,5,0)</f>
        <v>4.4337866711430253E-14</v>
      </c>
      <c r="EL196" s="13">
        <f t="shared" si="179"/>
        <v>7.3222115536967035E-13</v>
      </c>
      <c r="EM196" s="20">
        <f t="shared" si="180"/>
        <v>1.3525069634579169E-12</v>
      </c>
      <c r="EN196" s="59">
        <f t="shared" ref="EN196:EN203" si="198">EM196+(EE196+EF196)*44/12</f>
        <v>288.57751327305698</v>
      </c>
      <c r="EO196" s="59">
        <f ca="1">AVERAGE(OFFSET($EN$3,0,0,'Données projet'!$E$15+1,1))-AVERAGE(OFFSET($H$3,0,0,'Données projet'!$E$15+1,1))</f>
        <v>328.79469965518484</v>
      </c>
      <c r="EP196" s="59">
        <f t="shared" si="154"/>
        <v>322.06400652269735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5.7017062386670476</v>
      </c>
      <c r="EW196" s="21">
        <f>EXP(-LN(2)/25)*EW195+(1-EXP(-LN(2)/25))/(LN(2)/25)*Calculateur!ER196*Calculateur!ET196*VLOOKUP('Données projet'!$B$15,Paramètres!$A$1:$I$89,3,0)*0.475*44/12</f>
        <v>0.30563437593971798</v>
      </c>
      <c r="EX196" s="21">
        <f>EXP(-LN(2)/2)*EX195+(1-EXP(-LN(2)/2))/(LN(2)/2)*ER196*EU196*VLOOKUP('Données projet'!$B$15,Paramètres!$A$1:$I$89,3,0)*0.475*44/12</f>
        <v>1.5809323077670367E-17</v>
      </c>
      <c r="EY196" s="22">
        <f t="shared" si="181"/>
        <v>6.0073406146067656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-5.6843418860808015E-14</v>
      </c>
      <c r="FF196" s="17">
        <f>FE196*VLOOKUP('Données projet'!$B$16,Paramètres!$A$1:$I$89,3,0)*VLOOKUP('Données projet'!$B$16,Paramètres!$A$1:$I$89,5,0)</f>
        <v>-4.1677594708744434E-14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525.22234644068908</v>
      </c>
      <c r="FK196" s="59">
        <f t="shared" si="156"/>
        <v>311.5550296132094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30.28105502883653</v>
      </c>
      <c r="FR196" s="21">
        <f>EXP(-LN(2)/25)*FR195+(1-EXP(-LN(2)/25))/(LN(2)/25)*Calculateur!FM196*Calculateur!FO196*VLOOKUP('Données projet'!$B$16,Paramètres!$A$1:$I$89,3,0)*0.475*44/12</f>
        <v>4.4536178268843258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34.734672855720859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-1.7053025658242404E-13</v>
      </c>
      <c r="GA196" s="17">
        <f>FZ196*VLOOKUP('Données projet'!$B$17,Paramètres!$A$1:$I$89,3,0)*VLOOKUP('Données projet'!$B$17,Paramètres!$A$1:$I$89,5,0)</f>
        <v>-1.1173142411280423E-13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298.45881427802874</v>
      </c>
      <c r="GF196" s="59">
        <f t="shared" si="158"/>
        <v>287.00279305562356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7.3690146934369425</v>
      </c>
      <c r="GM196" s="21">
        <f>EXP(-LN(2)/25)*GM195+(1-EXP(-LN(2)/25))/(LN(2)/25)*Calculateur!GH196*Calculateur!GJ196*VLOOKUP('Données projet'!$B$17,Paramètres!$A$1:$I$89,3,0)*0.475*44/12</f>
        <v>8.2573467217322144E-2</v>
      </c>
      <c r="GN196" s="21">
        <f>EXP(-LN(2)/2)*GN195+(1-EXP(-LN(2)/2))/(LN(2)/2)*GH196*GK196*VLOOKUP('Données projet'!$B$17,Paramètres!$A$1:$I$89,3,0)*0.475*44/12</f>
        <v>3.3629049713155181E-16</v>
      </c>
      <c r="GO196" s="21">
        <f t="shared" si="187"/>
        <v>7.4515881606542642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135.66666666666666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-7.9580786405131221E-13</v>
      </c>
      <c r="O197" s="13">
        <f>N197*VLOOKUP('Données projet'!$B$9,Paramètres!$A$1:$I$89,3,0)*VLOOKUP('Données projet'!$B$9,Paramètres!$A$1:$I$89,5,0)</f>
        <v>-7.2004695539362725E-13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600.52384738314299</v>
      </c>
      <c r="T197" s="59">
        <f t="shared" ref="T197:T203" si="204">$T$3</f>
        <v>314.84650287986256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82.639960071804381</v>
      </c>
      <c r="AA197" s="21">
        <f>EXP(-LN(2)/25)*AA196+(1-EXP(-LN(2)/25))/(LN(2)/25)*Calculateur!V197*Calculateur!X197*VLOOKUP('Données projet'!$B$9,Paramètres!$A$1:$I$89,3,0)*0.475*44/12</f>
        <v>10.161695810934582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92.80165588273897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-1.4897523215040567E-13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436.77894860279537</v>
      </c>
      <c r="AO197" s="59">
        <f t="shared" ref="AO197:AO203" si="205">$AO$3</f>
        <v>398.63561969573072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18.569333141988881</v>
      </c>
      <c r="AV197" s="21">
        <f>EXP(-LN(2)/25)*AV196+(1-EXP(-LN(2)/25))/(LN(2)/25)*Calculateur!AQ197*Calculateur!AS197*VLOOKUP('Données projet'!$B$10,Paramètres!$A$1:$I$89,3,0)*0.475*44/12</f>
        <v>1.4125239618072198</v>
      </c>
      <c r="AW197" s="21">
        <f>EXP(-LN(2)/2)*AW196+(1-EXP(-LN(2)/2))/(LN(2)/2)*AQ197*AT197*VLOOKUP('Données projet'!$B$10,Paramètres!$A$1:$I$89,3,0)*0.475*44/12</f>
        <v>3.2657258091110446E-25</v>
      </c>
      <c r="AX197" s="21">
        <f t="shared" si="166"/>
        <v>19.981857103796102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-1.3567387213697657E-13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344.97546176735341</v>
      </c>
      <c r="BJ197" s="59">
        <f t="shared" ref="BJ197:BJ203" si="206">$BJ$3</f>
        <v>331.15461126257492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10.812767511243136</v>
      </c>
      <c r="BQ197" s="21">
        <f>EXP(-LN(2)/25)*BQ196+(1-EXP(-LN(2)/25))/(LN(2)/25)*Calculateur!BL197*Calculateur!BN197*VLOOKUP('Données projet'!$B$11,Paramètres!$A$1:$I$89,3,0)*0.475*44/12</f>
        <v>0.12020640824574255</v>
      </c>
      <c r="BR197" s="21">
        <f>EXP(-LN(2)/2)*BR196+(1-EXP(-LN(2)/2))/(LN(2)/2)*BL197*BO197*VLOOKUP('Données projet'!$B$11,Paramètres!$A$1:$I$89,3,0)*0.475*44/12</f>
        <v>2.8874899617824037E-16</v>
      </c>
      <c r="BS197" s="22">
        <f t="shared" si="169"/>
        <v>10.932973919488878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-1.7053025658242404E-13</v>
      </c>
      <c r="BZ197" s="13">
        <f>BY197*VLOOKUP('Données projet'!$B$12,Paramètres!$A$1:$I$89,3,0)*VLOOKUP('Données projet'!$B$12,Paramètres!$A$1:$I$89,5,0)</f>
        <v>-1.3567387213697657E-13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344.97546176735341</v>
      </c>
      <c r="CE197" s="59">
        <f t="shared" ref="CE197:CE203" si="207">$CE$3</f>
        <v>331.15461126257492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10.812767511243136</v>
      </c>
      <c r="CL197" s="21">
        <f>EXP(-LN(2)/25)*CL196+(1-EXP(-LN(2)/25))/(LN(2)/25)*Calculateur!CG197*Calculateur!CI197*VLOOKUP('Données projet'!$B$12,Paramètres!$A$1:$I$89,3,0)*0.475*44/12</f>
        <v>0.12020640824574255</v>
      </c>
      <c r="CM197" s="21">
        <f>EXP(-LN(2)/2)*CM196+(1-EXP(-LN(2)/2))/(LN(2)/2)*CG197*CJ197*VLOOKUP('Données projet'!$B$12,Paramètres!$A$1:$I$89,3,0)*0.475*44/12</f>
        <v>2.8874899617824037E-16</v>
      </c>
      <c r="CN197" s="22">
        <f t="shared" si="172"/>
        <v>10.932973919488878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227.19465047672969</v>
      </c>
      <c r="CZ197" s="59">
        <f t="shared" ref="CZ197:CZ203" si="208">$CZ$3</f>
        <v>529.77979244134417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3.8274366467738847</v>
      </c>
      <c r="DG197" s="21">
        <f>EXP(-LN(2)/25)*DG196+(1-EXP(-LN(2)/25))/(LN(2)/25)*Calculateur!DB197*Calculateur!DD197*VLOOKUP('Données projet'!$B$13,Paramètres!$A$1:$I$89,3,0)*0.475*44/12</f>
        <v>0.33581168683913964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4.1632483336130246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240.09151195692266</v>
      </c>
      <c r="DU197" s="59">
        <f t="shared" ref="DU197:DU203" si="209">$DU$3</f>
        <v>559.47775134103165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4.077595904732962</v>
      </c>
      <c r="EB197" s="21">
        <f>EXP(-LN(2)/25)*EB196+(1-EXP(-LN(2)/25))/(LN(2)/25)*Calculateur!DW197*Calculateur!DY197*VLOOKUP('Données projet'!$B$14,Paramètres!$A$1:$I$89,3,0)*0.475*44/12</f>
        <v>0.35776016310313619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4.4353560678360981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5.6843418860808015E-14</v>
      </c>
      <c r="EK197" s="17">
        <f>EJ197*VLOOKUP('Données projet'!$B$15,Paramètres!$A$1:$I$89,3,0)*VLOOKUP('Données projet'!$B$15,Paramètres!$A$1:$I$89,5,0)</f>
        <v>4.4337866711430253E-14</v>
      </c>
      <c r="EL197" s="13">
        <f t="shared" si="179"/>
        <v>7.3222115536967035E-13</v>
      </c>
      <c r="EM197" s="20">
        <f t="shared" si="180"/>
        <v>1.3525069634579169E-12</v>
      </c>
      <c r="EN197" s="59">
        <f t="shared" si="198"/>
        <v>288.66001611868199</v>
      </c>
      <c r="EO197" s="59">
        <f ca="1">AVERAGE(OFFSET($EN$3,0,0,'Données projet'!$E$15+1,1))-AVERAGE(OFFSET($H$3,0,0,'Données projet'!$E$15+1,1))</f>
        <v>328.79469965518484</v>
      </c>
      <c r="EP197" s="59">
        <f t="shared" ref="EP197:EP203" si="210">$EP$3</f>
        <v>322.06400652269735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5.5898992570241983</v>
      </c>
      <c r="EW197" s="21">
        <f>EXP(-LN(2)/25)*EW196+(1-EXP(-LN(2)/25))/(LN(2)/25)*Calculateur!ER197*Calculateur!ET197*VLOOKUP('Données projet'!$B$15,Paramètres!$A$1:$I$89,3,0)*0.475*44/12</f>
        <v>0.2972767878570331</v>
      </c>
      <c r="EX197" s="21">
        <f>EXP(-LN(2)/2)*EX196+(1-EXP(-LN(2)/2))/(LN(2)/2)*ER197*EU197*VLOOKUP('Données projet'!$B$15,Paramètres!$A$1:$I$89,3,0)*0.475*44/12</f>
        <v>1.1178879554189697E-17</v>
      </c>
      <c r="EY197" s="22">
        <f t="shared" si="181"/>
        <v>5.8871760448812314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-5.6843418860808015E-14</v>
      </c>
      <c r="FF197" s="17">
        <f>FE197*VLOOKUP('Données projet'!$B$16,Paramètres!$A$1:$I$89,3,0)*VLOOKUP('Données projet'!$B$16,Paramètres!$A$1:$I$89,5,0)</f>
        <v>-4.1677594708744434E-14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525.22234644068908</v>
      </c>
      <c r="FK197" s="59">
        <f t="shared" ref="FK197:FK203" si="211">$FK$3</f>
        <v>311.5550296132094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29.687262009340891</v>
      </c>
      <c r="FR197" s="21">
        <f>EXP(-LN(2)/25)*FR196+(1-EXP(-LN(2)/25))/(LN(2)/25)*Calculateur!FM197*Calculateur!FO197*VLOOKUP('Données projet'!$B$16,Paramètres!$A$1:$I$89,3,0)*0.475*44/12</f>
        <v>4.3318334132025917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34.019095422543487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-1.7053025658242404E-13</v>
      </c>
      <c r="GA197" s="17">
        <f>FZ197*VLOOKUP('Données projet'!$B$17,Paramètres!$A$1:$I$89,3,0)*VLOOKUP('Données projet'!$B$17,Paramètres!$A$1:$I$89,5,0)</f>
        <v>-1.1173142411280423E-13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298.45881427802874</v>
      </c>
      <c r="GF197" s="59">
        <f t="shared" ref="GF197:GF203" si="212">$GF$3</f>
        <v>287.00279305562356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7.2245128099537963</v>
      </c>
      <c r="GM197" s="21">
        <f>EXP(-LN(2)/25)*GM196+(1-EXP(-LN(2)/25))/(LN(2)/25)*Calculateur!GH197*Calculateur!GJ197*VLOOKUP('Données projet'!$B$17,Paramètres!$A$1:$I$89,3,0)*0.475*44/12</f>
        <v>8.0315491413914558E-2</v>
      </c>
      <c r="GN197" s="21">
        <f>EXP(-LN(2)/2)*GN196+(1-EXP(-LN(2)/2))/(LN(2)/2)*GH197*GK197*VLOOKUP('Données projet'!$B$17,Paramètres!$A$1:$I$89,3,0)*0.475*44/12</f>
        <v>2.3779329097031549E-16</v>
      </c>
      <c r="GO197" s="21">
        <f t="shared" si="187"/>
        <v>7.3048283013677109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135.66666666666666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-7.9580786405131221E-13</v>
      </c>
      <c r="O198" s="13">
        <f>N198*VLOOKUP('Données projet'!$B$9,Paramètres!$A$1:$I$89,3,0)*VLOOKUP('Données projet'!$B$9,Paramètres!$A$1:$I$89,5,0)</f>
        <v>-7.2004695539362725E-13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600.52384738314299</v>
      </c>
      <c r="T198" s="59">
        <f t="shared" si="204"/>
        <v>314.84650287986256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81.01944086019482</v>
      </c>
      <c r="AA198" s="21">
        <f>EXP(-LN(2)/25)*AA197+(1-EXP(-LN(2)/25))/(LN(2)/25)*Calculateur!V198*Calculateur!X198*VLOOKUP('Données projet'!$B$9,Paramètres!$A$1:$I$89,3,0)*0.475*44/12</f>
        <v>9.8838237046042181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90.903264564799031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-1.4897523215040567E-13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436.77894860279537</v>
      </c>
      <c r="AO198" s="59">
        <f t="shared" si="205"/>
        <v>398.63561969573072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18.205199845249329</v>
      </c>
      <c r="AV198" s="21">
        <f>EXP(-LN(2)/25)*AV197+(1-EXP(-LN(2)/25))/(LN(2)/25)*Calculateur!AQ198*Calculateur!AS198*VLOOKUP('Données projet'!$B$10,Paramètres!$A$1:$I$89,3,0)*0.475*44/12</f>
        <v>1.3738984197901947</v>
      </c>
      <c r="AW198" s="21">
        <f>EXP(-LN(2)/2)*AW197+(1-EXP(-LN(2)/2))/(LN(2)/2)*AQ198*AT198*VLOOKUP('Données projet'!$B$10,Paramètres!$A$1:$I$89,3,0)*0.475*44/12</f>
        <v>2.3092168651183443E-25</v>
      </c>
      <c r="AX198" s="21">
        <f t="shared" si="166"/>
        <v>19.579098265039523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-1.3567387213697657E-13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344.97546176735341</v>
      </c>
      <c r="BJ198" s="59">
        <f t="shared" si="206"/>
        <v>331.15461126257492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10.600735735484625</v>
      </c>
      <c r="BQ198" s="21">
        <f>EXP(-LN(2)/25)*BQ197+(1-EXP(-LN(2)/25))/(LN(2)/25)*Calculateur!BL198*Calculateur!BN198*VLOOKUP('Données projet'!$B$11,Paramètres!$A$1:$I$89,3,0)*0.475*44/12</f>
        <v>0.11691935769088245</v>
      </c>
      <c r="BR198" s="21">
        <f>EXP(-LN(2)/2)*BR197+(1-EXP(-LN(2)/2))/(LN(2)/2)*BL198*BO198*VLOOKUP('Données projet'!$B$11,Paramètres!$A$1:$I$89,3,0)*0.475*44/12</f>
        <v>2.0417637325844226E-16</v>
      </c>
      <c r="BS198" s="22">
        <f t="shared" si="169"/>
        <v>10.717655093175507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-1.7053025658242404E-13</v>
      </c>
      <c r="BZ198" s="13">
        <f>BY198*VLOOKUP('Données projet'!$B$12,Paramètres!$A$1:$I$89,3,0)*VLOOKUP('Données projet'!$B$12,Paramètres!$A$1:$I$89,5,0)</f>
        <v>-1.3567387213697657E-13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344.97546176735341</v>
      </c>
      <c r="CE198" s="59">
        <f t="shared" si="207"/>
        <v>331.15461126257492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10.600735735484625</v>
      </c>
      <c r="CL198" s="21">
        <f>EXP(-LN(2)/25)*CL197+(1-EXP(-LN(2)/25))/(LN(2)/25)*Calculateur!CG198*Calculateur!CI198*VLOOKUP('Données projet'!$B$12,Paramètres!$A$1:$I$89,3,0)*0.475*44/12</f>
        <v>0.11691935769088245</v>
      </c>
      <c r="CM198" s="21">
        <f>EXP(-LN(2)/2)*CM197+(1-EXP(-LN(2)/2))/(LN(2)/2)*CG198*CJ198*VLOOKUP('Données projet'!$B$12,Paramètres!$A$1:$I$89,3,0)*0.475*44/12</f>
        <v>2.0417637325844226E-16</v>
      </c>
      <c r="CN198" s="22">
        <f t="shared" si="172"/>
        <v>10.717655093175507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227.19465047672969</v>
      </c>
      <c r="CZ198" s="59">
        <f t="shared" si="208"/>
        <v>529.77979244134417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3.7523829486364901</v>
      </c>
      <c r="DG198" s="21">
        <f>EXP(-LN(2)/25)*DG197+(1-EXP(-LN(2)/25))/(LN(2)/25)*Calculateur!DB198*Calculateur!DD198*VLOOKUP('Données projet'!$B$13,Paramètres!$A$1:$I$89,3,0)*0.475*44/12</f>
        <v>0.32662889860295424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4.0790118472394443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240.09151195692266</v>
      </c>
      <c r="DU198" s="59">
        <f t="shared" si="209"/>
        <v>559.47775134103165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3.997636736129071</v>
      </c>
      <c r="EB198" s="21">
        <f>EXP(-LN(2)/25)*EB197+(1-EXP(-LN(2)/25))/(LN(2)/25)*Calculateur!DW198*Calculateur!DY198*VLOOKUP('Données projet'!$B$14,Paramètres!$A$1:$I$89,3,0)*0.475*44/12</f>
        <v>0.34797719262929161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4.3456139287583628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5.6843418860808015E-14</v>
      </c>
      <c r="EK198" s="17">
        <f>EJ198*VLOOKUP('Données projet'!$B$15,Paramètres!$A$1:$I$89,3,0)*VLOOKUP('Données projet'!$B$15,Paramètres!$A$1:$I$89,5,0)</f>
        <v>4.4337866711430253E-14</v>
      </c>
      <c r="EL198" s="13">
        <f t="shared" si="179"/>
        <v>7.3222115536967035E-13</v>
      </c>
      <c r="EM198" s="20">
        <f t="shared" si="180"/>
        <v>1.3525069634579169E-12</v>
      </c>
      <c r="EN198" s="59">
        <f t="shared" si="198"/>
        <v>288.74108772438416</v>
      </c>
      <c r="EO198" s="59">
        <f ca="1">AVERAGE(OFFSET($EN$3,0,0,'Données projet'!$E$15+1,1))-AVERAGE(OFFSET($H$3,0,0,'Données projet'!$E$15+1,1))</f>
        <v>328.79469965518484</v>
      </c>
      <c r="EP198" s="59">
        <f t="shared" si="210"/>
        <v>322.06400652269735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5.48028474209584</v>
      </c>
      <c r="EW198" s="21">
        <f>EXP(-LN(2)/25)*EW197+(1-EXP(-LN(2)/25))/(LN(2)/25)*Calculateur!ER198*Calculateur!ET198*VLOOKUP('Données projet'!$B$15,Paramètres!$A$1:$I$89,3,0)*0.475*44/12</f>
        <v>0.28914773845997571</v>
      </c>
      <c r="EX198" s="21">
        <f>EXP(-LN(2)/2)*EX197+(1-EXP(-LN(2)/2))/(LN(2)/2)*ER198*EU198*VLOOKUP('Données projet'!$B$15,Paramètres!$A$1:$I$89,3,0)*0.475*44/12</f>
        <v>7.9046615388351836E-18</v>
      </c>
      <c r="EY198" s="22">
        <f t="shared" si="181"/>
        <v>5.7694324805558157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-5.6843418860808015E-14</v>
      </c>
      <c r="FF198" s="17">
        <f>FE198*VLOOKUP('Données projet'!$B$16,Paramètres!$A$1:$I$89,3,0)*VLOOKUP('Données projet'!$B$16,Paramètres!$A$1:$I$89,5,0)</f>
        <v>-4.1677594708744434E-14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525.22234644068908</v>
      </c>
      <c r="FK198" s="59">
        <f t="shared" si="211"/>
        <v>311.5550296132094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29.105112908779581</v>
      </c>
      <c r="FR198" s="21">
        <f>EXP(-LN(2)/25)*FR197+(1-EXP(-LN(2)/25))/(LN(2)/25)*Calculateur!FM198*Calculateur!FO198*VLOOKUP('Données projet'!$B$16,Paramètres!$A$1:$I$89,3,0)*0.475*44/12</f>
        <v>4.2133792007173483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33.31849210949693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-1.7053025658242404E-13</v>
      </c>
      <c r="GA198" s="17">
        <f>FZ198*VLOOKUP('Données projet'!$B$17,Paramètres!$A$1:$I$89,3,0)*VLOOKUP('Données projet'!$B$17,Paramètres!$A$1:$I$89,5,0)</f>
        <v>-1.1173142411280423E-13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298.45881427802874</v>
      </c>
      <c r="GF198" s="59">
        <f t="shared" si="212"/>
        <v>287.00279305562356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7.082844520268309</v>
      </c>
      <c r="GM198" s="21">
        <f>EXP(-LN(2)/25)*GM197+(1-EXP(-LN(2)/25))/(LN(2)/25)*Calculateur!GH198*Calculateur!GJ198*VLOOKUP('Données projet'!$B$17,Paramètres!$A$1:$I$89,3,0)*0.475*44/12</f>
        <v>7.8119260077592928E-2</v>
      </c>
      <c r="GN198" s="21">
        <f>EXP(-LN(2)/2)*GN197+(1-EXP(-LN(2)/2))/(LN(2)/2)*GH198*GK198*VLOOKUP('Données projet'!$B$17,Paramètres!$A$1:$I$89,3,0)*0.475*44/12</f>
        <v>1.6814524856577591E-16</v>
      </c>
      <c r="GO198" s="21">
        <f t="shared" si="187"/>
        <v>7.1609637803459023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135.66666666666666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-7.9580786405131221E-13</v>
      </c>
      <c r="O199" s="13">
        <f>N199*VLOOKUP('Données projet'!$B$9,Paramètres!$A$1:$I$89,3,0)*VLOOKUP('Données projet'!$B$9,Paramètres!$A$1:$I$89,5,0)</f>
        <v>-7.2004695539362725E-13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600.52384738314299</v>
      </c>
      <c r="T199" s="59">
        <f t="shared" si="204"/>
        <v>314.84650287986256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79.430699041905797</v>
      </c>
      <c r="AA199" s="21">
        <f>EXP(-LN(2)/25)*AA198+(1-EXP(-LN(2)/25))/(LN(2)/25)*Calculateur!V199*Calculateur!X199*VLOOKUP('Données projet'!$B$9,Paramètres!$A$1:$I$89,3,0)*0.475*44/12</f>
        <v>9.6135500256341171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89.044249067539909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-1.4897523215040567E-13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436.77894860279537</v>
      </c>
      <c r="AO199" s="59">
        <f t="shared" si="205"/>
        <v>398.63561969573072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17.848206980359457</v>
      </c>
      <c r="AV199" s="21">
        <f>EXP(-LN(2)/25)*AV198+(1-EXP(-LN(2)/25))/(LN(2)/25)*Calculateur!AQ199*Calculateur!AS199*VLOOKUP('Données projet'!$B$10,Paramètres!$A$1:$I$89,3,0)*0.475*44/12</f>
        <v>1.336329095250854</v>
      </c>
      <c r="AW199" s="21">
        <f>EXP(-LN(2)/2)*AW198+(1-EXP(-LN(2)/2))/(LN(2)/2)*AQ199*AT199*VLOOKUP('Données projet'!$B$10,Paramètres!$A$1:$I$89,3,0)*0.475*44/12</f>
        <v>1.6328629045555223E-25</v>
      </c>
      <c r="AX199" s="21">
        <f t="shared" si="166"/>
        <v>19.18453607561031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-1.3567387213697657E-13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344.97546176735341</v>
      </c>
      <c r="BJ199" s="59">
        <f t="shared" si="206"/>
        <v>331.15461126257492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10.392861773522124</v>
      </c>
      <c r="BQ199" s="21">
        <f>EXP(-LN(2)/25)*BQ198+(1-EXP(-LN(2)/25))/(LN(2)/25)*Calculateur!BL199*Calculateur!BN199*VLOOKUP('Données projet'!$B$11,Paramètres!$A$1:$I$89,3,0)*0.475*44/12</f>
        <v>0.11372219170630347</v>
      </c>
      <c r="BR199" s="21">
        <f>EXP(-LN(2)/2)*BR198+(1-EXP(-LN(2)/2))/(LN(2)/2)*BL199*BO199*VLOOKUP('Données projet'!$B$11,Paramètres!$A$1:$I$89,3,0)*0.475*44/12</f>
        <v>1.4437449808912019E-16</v>
      </c>
      <c r="BS199" s="22">
        <f t="shared" si="169"/>
        <v>10.506583965228428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-1.7053025658242404E-13</v>
      </c>
      <c r="BZ199" s="13">
        <f>BY199*VLOOKUP('Données projet'!$B$12,Paramètres!$A$1:$I$89,3,0)*VLOOKUP('Données projet'!$B$12,Paramètres!$A$1:$I$89,5,0)</f>
        <v>-1.3567387213697657E-13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344.97546176735341</v>
      </c>
      <c r="CE199" s="59">
        <f t="shared" si="207"/>
        <v>331.15461126257492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10.392861773522124</v>
      </c>
      <c r="CL199" s="21">
        <f>EXP(-LN(2)/25)*CL198+(1-EXP(-LN(2)/25))/(LN(2)/25)*Calculateur!CG199*Calculateur!CI199*VLOOKUP('Données projet'!$B$12,Paramètres!$A$1:$I$89,3,0)*0.475*44/12</f>
        <v>0.11372219170630347</v>
      </c>
      <c r="CM199" s="21">
        <f>EXP(-LN(2)/2)*CM198+(1-EXP(-LN(2)/2))/(LN(2)/2)*CG199*CJ199*VLOOKUP('Données projet'!$B$12,Paramètres!$A$1:$I$89,3,0)*0.475*44/12</f>
        <v>1.4437449808912019E-16</v>
      </c>
      <c r="CN199" s="22">
        <f t="shared" si="172"/>
        <v>10.506583965228428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227.19465047672969</v>
      </c>
      <c r="CZ199" s="59">
        <f t="shared" si="208"/>
        <v>529.77979244134417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3.6788010077413342</v>
      </c>
      <c r="DG199" s="21">
        <f>EXP(-LN(2)/25)*DG198+(1-EXP(-LN(2)/25))/(LN(2)/25)*Calculateur!DB199*Calculateur!DD199*VLOOKUP('Données projet'!$B$13,Paramètres!$A$1:$I$89,3,0)*0.475*44/12</f>
        <v>0.31769721419398922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3.9964982219353233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240.09151195692266</v>
      </c>
      <c r="DU199" s="59">
        <f t="shared" si="209"/>
        <v>559.47775134103165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3.9192455180512251</v>
      </c>
      <c r="EB199" s="21">
        <f>EXP(-LN(2)/25)*EB198+(1-EXP(-LN(2)/25))/(LN(2)/25)*Calculateur!DW199*Calculateur!DY199*VLOOKUP('Données projet'!$B$14,Paramètres!$A$1:$I$89,3,0)*0.475*44/12</f>
        <v>0.33846173799751839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4.2577072560487439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5.6843418860808015E-14</v>
      </c>
      <c r="EK199" s="17">
        <f>EJ199*VLOOKUP('Données projet'!$B$15,Paramètres!$A$1:$I$89,3,0)*VLOOKUP('Données projet'!$B$15,Paramètres!$A$1:$I$89,5,0)</f>
        <v>4.4337866711430253E-14</v>
      </c>
      <c r="EL199" s="13">
        <f t="shared" si="179"/>
        <v>7.3222115536967035E-13</v>
      </c>
      <c r="EM199" s="20">
        <f t="shared" si="180"/>
        <v>1.3525069634579169E-12</v>
      </c>
      <c r="EN199" s="59">
        <f t="shared" si="198"/>
        <v>288.82075291897632</v>
      </c>
      <c r="EO199" s="59">
        <f ca="1">AVERAGE(OFFSET($EN$3,0,0,'Données projet'!$E$15+1,1))-AVERAGE(OFFSET($H$3,0,0,'Données projet'!$E$15+1,1))</f>
        <v>328.79469965518484</v>
      </c>
      <c r="EP199" s="59">
        <f t="shared" si="210"/>
        <v>322.06400652269735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5.3728197009469749</v>
      </c>
      <c r="EW199" s="21">
        <f>EXP(-LN(2)/25)*EW198+(1-EXP(-LN(2)/25))/(LN(2)/25)*Calculateur!ER199*Calculateur!ET199*VLOOKUP('Données projet'!$B$15,Paramètres!$A$1:$I$89,3,0)*0.475*44/12</f>
        <v>0.28124097834616896</v>
      </c>
      <c r="EX199" s="21">
        <f>EXP(-LN(2)/2)*EX198+(1-EXP(-LN(2)/2))/(LN(2)/2)*ER199*EU199*VLOOKUP('Données projet'!$B$15,Paramètres!$A$1:$I$89,3,0)*0.475*44/12</f>
        <v>5.5894397770948483E-18</v>
      </c>
      <c r="EY199" s="22">
        <f t="shared" si="181"/>
        <v>5.6540606792931438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-5.6843418860808015E-14</v>
      </c>
      <c r="FF199" s="17">
        <f>FE199*VLOOKUP('Données projet'!$B$16,Paramètres!$A$1:$I$89,3,0)*VLOOKUP('Données projet'!$B$16,Paramètres!$A$1:$I$89,5,0)</f>
        <v>-4.1677594708744434E-14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525.22234644068908</v>
      </c>
      <c r="FK199" s="59">
        <f t="shared" si="211"/>
        <v>311.5550296132094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28.534379397004386</v>
      </c>
      <c r="FR199" s="21">
        <f>EXP(-LN(2)/25)*FR198+(1-EXP(-LN(2)/25))/(LN(2)/25)*Calculateur!FM199*Calculateur!FO199*VLOOKUP('Données projet'!$B$16,Paramètres!$A$1:$I$89,3,0)*0.475*44/12</f>
        <v>4.09816412490175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32.632543521906136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-1.7053025658242404E-13</v>
      </c>
      <c r="GA199" s="17">
        <f>FZ199*VLOOKUP('Données projet'!$B$17,Paramètres!$A$1:$I$89,3,0)*VLOOKUP('Données projet'!$B$17,Paramètres!$A$1:$I$89,5,0)</f>
        <v>-1.1173142411280423E-13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298.45881427802874</v>
      </c>
      <c r="GF199" s="59">
        <f t="shared" si="212"/>
        <v>287.00279305562356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6.9439542593344292</v>
      </c>
      <c r="GM199" s="21">
        <f>EXP(-LN(2)/25)*GM198+(1-EXP(-LN(2)/25))/(LN(2)/25)*Calculateur!GH199*Calculateur!GJ199*VLOOKUP('Données projet'!$B$17,Paramètres!$A$1:$I$89,3,0)*0.475*44/12</f>
        <v>7.5983084802657808E-2</v>
      </c>
      <c r="GN199" s="21">
        <f>EXP(-LN(2)/2)*GN198+(1-EXP(-LN(2)/2))/(LN(2)/2)*GH199*GK199*VLOOKUP('Données projet'!$B$17,Paramètres!$A$1:$I$89,3,0)*0.475*44/12</f>
        <v>1.1889664548515775E-16</v>
      </c>
      <c r="GO199" s="21">
        <f t="shared" si="187"/>
        <v>7.0199373441370874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135.66666666666666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-7.9580786405131221E-13</v>
      </c>
      <c r="O200" s="13">
        <f>N200*VLOOKUP('Données projet'!$B$9,Paramètres!$A$1:$I$89,3,0)*VLOOKUP('Données projet'!$B$9,Paramètres!$A$1:$I$89,5,0)</f>
        <v>-7.2004695539362725E-13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600.52384738314299</v>
      </c>
      <c r="T200" s="59">
        <f t="shared" si="204"/>
        <v>314.84650287986256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77.873111481636599</v>
      </c>
      <c r="AA200" s="21">
        <f>EXP(-LN(2)/25)*AA199+(1-EXP(-LN(2)/25))/(LN(2)/25)*Calculateur!V200*Calculateur!X200*VLOOKUP('Données projet'!$B$9,Paramètres!$A$1:$I$89,3,0)*0.475*44/12</f>
        <v>9.3506669946285292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87.223778476265124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-1.4897523215040567E-13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436.77894860279537</v>
      </c>
      <c r="AO200" s="59">
        <f t="shared" si="205"/>
        <v>398.63561969573072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17.498214527805931</v>
      </c>
      <c r="AV200" s="21">
        <f>EXP(-LN(2)/25)*AV199+(1-EXP(-LN(2)/25))/(LN(2)/25)*Calculateur!AQ200*Calculateur!AS200*VLOOKUP('Données projet'!$B$10,Paramètres!$A$1:$I$89,3,0)*0.475*44/12</f>
        <v>1.2997871058667265</v>
      </c>
      <c r="AW200" s="21">
        <f>EXP(-LN(2)/2)*AW199+(1-EXP(-LN(2)/2))/(LN(2)/2)*AQ200*AT200*VLOOKUP('Données projet'!$B$10,Paramètres!$A$1:$I$89,3,0)*0.475*44/12</f>
        <v>1.1546084325591721E-25</v>
      </c>
      <c r="AX200" s="21">
        <f t="shared" si="166"/>
        <v>18.798001633672659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-1.3567387213697657E-13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344.97546176735341</v>
      </c>
      <c r="BJ200" s="59">
        <f t="shared" si="206"/>
        <v>331.15461126257492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10.189064093163111</v>
      </c>
      <c r="BQ200" s="21">
        <f>EXP(-LN(2)/25)*BQ199+(1-EXP(-LN(2)/25))/(LN(2)/25)*Calculateur!BL200*Calculateur!BN200*VLOOKUP('Données projet'!$B$11,Paramètres!$A$1:$I$89,3,0)*0.475*44/12</f>
        <v>0.11061245239370446</v>
      </c>
      <c r="BR200" s="21">
        <f>EXP(-LN(2)/2)*BR199+(1-EXP(-LN(2)/2))/(LN(2)/2)*BL200*BO200*VLOOKUP('Données projet'!$B$11,Paramètres!$A$1:$I$89,3,0)*0.475*44/12</f>
        <v>1.0208818662922113E-16</v>
      </c>
      <c r="BS200" s="22">
        <f t="shared" si="169"/>
        <v>10.299676545556816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-1.7053025658242404E-13</v>
      </c>
      <c r="BZ200" s="13">
        <f>BY200*VLOOKUP('Données projet'!$B$12,Paramètres!$A$1:$I$89,3,0)*VLOOKUP('Données projet'!$B$12,Paramètres!$A$1:$I$89,5,0)</f>
        <v>-1.3567387213697657E-13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344.97546176735341</v>
      </c>
      <c r="CE200" s="59">
        <f t="shared" si="207"/>
        <v>331.15461126257492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10.189064093163111</v>
      </c>
      <c r="CL200" s="21">
        <f>EXP(-LN(2)/25)*CL199+(1-EXP(-LN(2)/25))/(LN(2)/25)*Calculateur!CG200*Calculateur!CI200*VLOOKUP('Données projet'!$B$12,Paramètres!$A$1:$I$89,3,0)*0.475*44/12</f>
        <v>0.11061245239370446</v>
      </c>
      <c r="CM200" s="21">
        <f>EXP(-LN(2)/2)*CM199+(1-EXP(-LN(2)/2))/(LN(2)/2)*CG200*CJ200*VLOOKUP('Données projet'!$B$12,Paramètres!$A$1:$I$89,3,0)*0.475*44/12</f>
        <v>1.0208818662922113E-16</v>
      </c>
      <c r="CN200" s="22">
        <f t="shared" si="172"/>
        <v>10.299676545556816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227.19465047672969</v>
      </c>
      <c r="CZ200" s="59">
        <f t="shared" si="208"/>
        <v>529.77979244134417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3.6066619638265798</v>
      </c>
      <c r="DG200" s="21">
        <f>EXP(-LN(2)/25)*DG199+(1-EXP(-LN(2)/25))/(LN(2)/25)*Calculateur!DB200*Calculateur!DD200*VLOOKUP('Données projet'!$B$13,Paramètres!$A$1:$I$89,3,0)*0.475*44/12</f>
        <v>0.30900976716488421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3.9156717309914639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240.09151195692266</v>
      </c>
      <c r="DU200" s="59">
        <f t="shared" si="209"/>
        <v>559.47775134103165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3.8423915039459642</v>
      </c>
      <c r="EB200" s="21">
        <f>EXP(-LN(2)/25)*EB199+(1-EXP(-LN(2)/25))/(LN(2)/25)*Calculateur!DW200*Calculateur!DY200*VLOOKUP('Données projet'!$B$14,Paramètres!$A$1:$I$89,3,0)*0.475*44/12</f>
        <v>0.32920648397304703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4.1715979879190108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5.6843418860808015E-14</v>
      </c>
      <c r="EK200" s="17">
        <f>EJ200*VLOOKUP('Données projet'!$B$15,Paramètres!$A$1:$I$89,3,0)*VLOOKUP('Données projet'!$B$15,Paramètres!$A$1:$I$89,5,0)</f>
        <v>4.4337866711430253E-14</v>
      </c>
      <c r="EL200" s="13">
        <f t="shared" si="179"/>
        <v>7.3222115536967035E-13</v>
      </c>
      <c r="EM200" s="20">
        <f t="shared" si="180"/>
        <v>1.3525069634579169E-12</v>
      </c>
      <c r="EN200" s="59">
        <f t="shared" si="198"/>
        <v>288.89903610054699</v>
      </c>
      <c r="EO200" s="59">
        <f ca="1">AVERAGE(OFFSET($EN$3,0,0,'Données projet'!$E$15+1,1))-AVERAGE(OFFSET($H$3,0,0,'Données projet'!$E$15+1,1))</f>
        <v>328.79469965518484</v>
      </c>
      <c r="EP200" s="59">
        <f t="shared" si="210"/>
        <v>322.06400652269735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5.267461983707836</v>
      </c>
      <c r="EW200" s="21">
        <f>EXP(-LN(2)/25)*EW199+(1-EXP(-LN(2)/25))/(LN(2)/25)*Calculateur!ER200*Calculateur!ET200*VLOOKUP('Données projet'!$B$15,Paramètres!$A$1:$I$89,3,0)*0.475*44/12</f>
        <v>0.27355042900347271</v>
      </c>
      <c r="EX200" s="21">
        <f>EXP(-LN(2)/2)*EX199+(1-EXP(-LN(2)/2))/(LN(2)/2)*ER200*EU200*VLOOKUP('Données projet'!$B$15,Paramètres!$A$1:$I$89,3,0)*0.475*44/12</f>
        <v>3.9523307694175918E-18</v>
      </c>
      <c r="EY200" s="22">
        <f t="shared" si="181"/>
        <v>5.541012412711309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-5.6843418860808015E-14</v>
      </c>
      <c r="FF200" s="17">
        <f>FE200*VLOOKUP('Données projet'!$B$16,Paramètres!$A$1:$I$89,3,0)*VLOOKUP('Données projet'!$B$16,Paramètres!$A$1:$I$89,5,0)</f>
        <v>-4.1677594708744434E-14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525.22234644068908</v>
      </c>
      <c r="FK200" s="59">
        <f t="shared" si="211"/>
        <v>311.5550296132094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27.974837621282035</v>
      </c>
      <c r="FR200" s="21">
        <f>EXP(-LN(2)/25)*FR199+(1-EXP(-LN(2)/25))/(LN(2)/25)*Calculateur!FM200*Calculateur!FO200*VLOOKUP('Données projet'!$B$16,Paramètres!$A$1:$I$89,3,0)*0.475*44/12</f>
        <v>3.9860996113932265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31.96093723267526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-1.7053025658242404E-13</v>
      </c>
      <c r="GA200" s="17">
        <f>FZ200*VLOOKUP('Données projet'!$B$17,Paramètres!$A$1:$I$89,3,0)*VLOOKUP('Données projet'!$B$17,Paramètres!$A$1:$I$89,5,0)</f>
        <v>-1.1173142411280423E-13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298.45881427802874</v>
      </c>
      <c r="GF200" s="59">
        <f t="shared" si="212"/>
        <v>287.00279305562356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6.8077875517027691</v>
      </c>
      <c r="GM200" s="21">
        <f>EXP(-LN(2)/25)*GM199+(1-EXP(-LN(2)/25))/(LN(2)/25)*Calculateur!GH200*Calculateur!GJ200*VLOOKUP('Données projet'!$B$17,Paramètres!$A$1:$I$89,3,0)*0.475*44/12</f>
        <v>7.3905323352952357E-2</v>
      </c>
      <c r="GN200" s="21">
        <f>EXP(-LN(2)/2)*GN199+(1-EXP(-LN(2)/2))/(LN(2)/2)*GH200*GK200*VLOOKUP('Données projet'!$B$17,Paramètres!$A$1:$I$89,3,0)*0.475*44/12</f>
        <v>8.4072624282887953E-17</v>
      </c>
      <c r="GO200" s="21">
        <f t="shared" si="187"/>
        <v>6.8816928750557214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135.66666666666666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-7.9580786405131221E-13</v>
      </c>
      <c r="O201" s="13">
        <f>N201*VLOOKUP('Données projet'!$B$9,Paramètres!$A$1:$I$89,3,0)*VLOOKUP('Données projet'!$B$9,Paramètres!$A$1:$I$89,5,0)</f>
        <v>-7.2004695539362725E-13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600.52384738314299</v>
      </c>
      <c r="T201" s="59">
        <f t="shared" si="204"/>
        <v>314.84650287986256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76.346067263389685</v>
      </c>
      <c r="AA201" s="21">
        <f>EXP(-LN(2)/25)*AA200+(1-EXP(-LN(2)/25))/(LN(2)/25)*Calculateur!V201*Calculateur!X201*VLOOKUP('Données projet'!$B$9,Paramètres!$A$1:$I$89,3,0)*0.475*44/12</f>
        <v>9.0949725139302053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85.441039777319887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-1.4897523215040567E-13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436.77894860279537</v>
      </c>
      <c r="AO201" s="59">
        <f t="shared" si="205"/>
        <v>398.63561969573072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17.155085213772661</v>
      </c>
      <c r="AV201" s="21">
        <f>EXP(-LN(2)/25)*AV200+(1-EXP(-LN(2)/25))/(LN(2)/25)*Calculateur!AQ201*Calculateur!AS201*VLOOKUP('Données projet'!$B$10,Paramètres!$A$1:$I$89,3,0)*0.475*44/12</f>
        <v>1.2642443591039676</v>
      </c>
      <c r="AW201" s="21">
        <f>EXP(-LN(2)/2)*AW200+(1-EXP(-LN(2)/2))/(LN(2)/2)*AQ201*AT201*VLOOKUP('Données projet'!$B$10,Paramètres!$A$1:$I$89,3,0)*0.475*44/12</f>
        <v>8.1643145227776115E-26</v>
      </c>
      <c r="AX201" s="21">
        <f t="shared" si="166"/>
        <v>18.419329572876627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-1.3567387213697657E-13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344.97546176735341</v>
      </c>
      <c r="BJ201" s="59">
        <f t="shared" si="206"/>
        <v>331.15461126257492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9.9892627610116271</v>
      </c>
      <c r="BQ201" s="21">
        <f>EXP(-LN(2)/25)*BQ200+(1-EXP(-LN(2)/25))/(LN(2)/25)*Calculateur!BL201*Calculateur!BN201*VLOOKUP('Données projet'!$B$11,Paramètres!$A$1:$I$89,3,0)*0.475*44/12</f>
        <v>0.10758774906614255</v>
      </c>
      <c r="BR201" s="21">
        <f>EXP(-LN(2)/2)*BR200+(1-EXP(-LN(2)/2))/(LN(2)/2)*BL201*BO201*VLOOKUP('Données projet'!$B$11,Paramètres!$A$1:$I$89,3,0)*0.475*44/12</f>
        <v>7.2187249044560093E-17</v>
      </c>
      <c r="BS201" s="22">
        <f t="shared" si="169"/>
        <v>10.09685051007777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-1.7053025658242404E-13</v>
      </c>
      <c r="BZ201" s="13">
        <f>BY201*VLOOKUP('Données projet'!$B$12,Paramètres!$A$1:$I$89,3,0)*VLOOKUP('Données projet'!$B$12,Paramètres!$A$1:$I$89,5,0)</f>
        <v>-1.3567387213697657E-13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344.97546176735341</v>
      </c>
      <c r="CE201" s="59">
        <f t="shared" si="207"/>
        <v>331.15461126257492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9.9892627610116271</v>
      </c>
      <c r="CL201" s="21">
        <f>EXP(-LN(2)/25)*CL200+(1-EXP(-LN(2)/25))/(LN(2)/25)*Calculateur!CG201*Calculateur!CI201*VLOOKUP('Données projet'!$B$12,Paramètres!$A$1:$I$89,3,0)*0.475*44/12</f>
        <v>0.10758774906614255</v>
      </c>
      <c r="CM201" s="21">
        <f>EXP(-LN(2)/2)*CM200+(1-EXP(-LN(2)/2))/(LN(2)/2)*CG201*CJ201*VLOOKUP('Données projet'!$B$12,Paramètres!$A$1:$I$89,3,0)*0.475*44/12</f>
        <v>7.2187249044560093E-17</v>
      </c>
      <c r="CN201" s="22">
        <f t="shared" si="172"/>
        <v>10.09685051007777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227.19465047672969</v>
      </c>
      <c r="CZ201" s="59">
        <f t="shared" si="208"/>
        <v>529.77979244134417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3.5359375225625218</v>
      </c>
      <c r="DG201" s="21">
        <f>EXP(-LN(2)/25)*DG200+(1-EXP(-LN(2)/25))/(LN(2)/25)*Calculateur!DB201*Calculateur!DD201*VLOOKUP('Données projet'!$B$13,Paramètres!$A$1:$I$89,3,0)*0.475*44/12</f>
        <v>0.30055987883164303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3.8364974013941646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240.09151195692266</v>
      </c>
      <c r="DU201" s="59">
        <f t="shared" si="209"/>
        <v>559.47775134103165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3.7670445501809873</v>
      </c>
      <c r="EB201" s="21">
        <f>EXP(-LN(2)/25)*EB200+(1-EXP(-LN(2)/25))/(LN(2)/25)*Calculateur!DW201*Calculateur!DY201*VLOOKUP('Données projet'!$B$14,Paramètres!$A$1:$I$89,3,0)*0.475*44/12</f>
        <v>0.3202043153565875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4.0872488655375747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5.6843418860808015E-14</v>
      </c>
      <c r="EK201" s="17">
        <f>EJ201*VLOOKUP('Données projet'!$B$15,Paramètres!$A$1:$I$89,3,0)*VLOOKUP('Données projet'!$B$15,Paramètres!$A$1:$I$89,5,0)</f>
        <v>4.4337866711430253E-14</v>
      </c>
      <c r="EL201" s="13">
        <f t="shared" si="179"/>
        <v>7.3222115536967035E-13</v>
      </c>
      <c r="EM201" s="20">
        <f t="shared" si="180"/>
        <v>1.3525069634579169E-12</v>
      </c>
      <c r="EN201" s="59">
        <f t="shared" si="198"/>
        <v>288.97596124393243</v>
      </c>
      <c r="EO201" s="59">
        <f ca="1">AVERAGE(OFFSET($EN$3,0,0,'Données projet'!$E$15+1,1))-AVERAGE(OFFSET($H$3,0,0,'Données projet'!$E$15+1,1))</f>
        <v>328.79469965518484</v>
      </c>
      <c r="EP201" s="59">
        <f t="shared" si="210"/>
        <v>322.06400652269735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5.1641702670418947</v>
      </c>
      <c r="EW201" s="21">
        <f>EXP(-LN(2)/25)*EW200+(1-EXP(-LN(2)/25))/(LN(2)/25)*Calculateur!ER201*Calculateur!ET201*VLOOKUP('Données projet'!$B$15,Paramètres!$A$1:$I$89,3,0)*0.475*44/12</f>
        <v>0.26607017813698092</v>
      </c>
      <c r="EX201" s="21">
        <f>EXP(-LN(2)/2)*EX200+(1-EXP(-LN(2)/2))/(LN(2)/2)*ER201*EU201*VLOOKUP('Données projet'!$B$15,Paramètres!$A$1:$I$89,3,0)*0.475*44/12</f>
        <v>2.7947198885474241E-18</v>
      </c>
      <c r="EY201" s="22">
        <f t="shared" si="181"/>
        <v>5.4302404451788755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-5.6843418860808015E-14</v>
      </c>
      <c r="FF201" s="17">
        <f>FE201*VLOOKUP('Données projet'!$B$16,Paramètres!$A$1:$I$89,3,0)*VLOOKUP('Données projet'!$B$16,Paramètres!$A$1:$I$89,5,0)</f>
        <v>-4.1677594708744434E-14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525.22234644068908</v>
      </c>
      <c r="FK201" s="59">
        <f t="shared" si="211"/>
        <v>311.5550296132094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27.426268118494814</v>
      </c>
      <c r="FR201" s="21">
        <f>EXP(-LN(2)/25)*FR200+(1-EXP(-LN(2)/25))/(LN(2)/25)*Calculateur!FM201*Calculateur!FO201*VLOOKUP('Données projet'!$B$16,Paramètres!$A$1:$I$89,3,0)*0.475*44/12</f>
        <v>3.8770995078998105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31.303367626394625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-1.7053025658242404E-13</v>
      </c>
      <c r="GA201" s="17">
        <f>FZ201*VLOOKUP('Données projet'!$B$17,Paramètres!$A$1:$I$89,3,0)*VLOOKUP('Données projet'!$B$17,Paramètres!$A$1:$I$89,5,0)</f>
        <v>-1.1173142411280423E-13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298.45881427802874</v>
      </c>
      <c r="GF201" s="59">
        <f t="shared" si="212"/>
        <v>287.00279305562356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6.6742909901542751</v>
      </c>
      <c r="GM201" s="21">
        <f>EXP(-LN(2)/25)*GM200+(1-EXP(-LN(2)/25))/(LN(2)/25)*Calculateur!GH201*Calculateur!GJ201*VLOOKUP('Données projet'!$B$17,Paramètres!$A$1:$I$89,3,0)*0.475*44/12</f>
        <v>7.1884378399353827E-2</v>
      </c>
      <c r="GN201" s="21">
        <f>EXP(-LN(2)/2)*GN200+(1-EXP(-LN(2)/2))/(LN(2)/2)*GH201*GK201*VLOOKUP('Données projet'!$B$17,Paramètres!$A$1:$I$89,3,0)*0.475*44/12</f>
        <v>5.9448322742578873E-17</v>
      </c>
      <c r="GO201" s="21">
        <f t="shared" si="187"/>
        <v>6.7461753685536285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135.66666666666666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-7.9580786405131221E-13</v>
      </c>
      <c r="O202" s="13">
        <f>N202*VLOOKUP('Données projet'!$B$9,Paramètres!$A$1:$I$89,3,0)*VLOOKUP('Données projet'!$B$9,Paramètres!$A$1:$I$89,5,0)</f>
        <v>-7.2004695539362725E-13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600.52384738314299</v>
      </c>
      <c r="T202" s="59">
        <f t="shared" si="204"/>
        <v>314.84650287986256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74.848967450857586</v>
      </c>
      <c r="AA202" s="21">
        <f>EXP(-LN(2)/25)*AA201+(1-EXP(-LN(2)/25))/(LN(2)/25)*Calculateur!V202*Calculateur!X202*VLOOKUP('Données projet'!$B$9,Paramètres!$A$1:$I$89,3,0)*0.475*44/12</f>
        <v>8.8462700122529654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83.695237463110544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-1.4897523215040567E-13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436.77894860279537</v>
      </c>
      <c r="AO202" s="59">
        <f t="shared" si="205"/>
        <v>398.63561969573072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16.818684456299369</v>
      </c>
      <c r="AV202" s="21">
        <f>EXP(-LN(2)/25)*AV201+(1-EXP(-LN(2)/25))/(LN(2)/25)*Calculateur!AQ202*Calculateur!AS202*VLOOKUP('Données projet'!$B$10,Paramètres!$A$1:$I$89,3,0)*0.475*44/12</f>
        <v>1.2296735306205482</v>
      </c>
      <c r="AW202" s="21">
        <f>EXP(-LN(2)/2)*AW201+(1-EXP(-LN(2)/2))/(LN(2)/2)*AQ202*AT202*VLOOKUP('Données projet'!$B$10,Paramètres!$A$1:$I$89,3,0)*0.475*44/12</f>
        <v>5.7730421627958607E-26</v>
      </c>
      <c r="AX202" s="21">
        <f t="shared" si="166"/>
        <v>18.048357986919918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-1.3567387213697657E-13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344.97546176735341</v>
      </c>
      <c r="BJ202" s="59">
        <f t="shared" si="206"/>
        <v>331.15461126257492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9.7933794111168542</v>
      </c>
      <c r="BQ202" s="21">
        <f>EXP(-LN(2)/25)*BQ201+(1-EXP(-LN(2)/25))/(LN(2)/25)*Calculateur!BL202*Calculateur!BN202*VLOOKUP('Données projet'!$B$11,Paramètres!$A$1:$I$89,3,0)*0.475*44/12</f>
        <v>0.10464575641013504</v>
      </c>
      <c r="BR202" s="21">
        <f>EXP(-LN(2)/2)*BR201+(1-EXP(-LN(2)/2))/(LN(2)/2)*BL202*BO202*VLOOKUP('Données projet'!$B$11,Paramètres!$A$1:$I$89,3,0)*0.475*44/12</f>
        <v>5.1044093314610566E-17</v>
      </c>
      <c r="BS202" s="22">
        <f t="shared" si="169"/>
        <v>9.8980251675269884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-1.7053025658242404E-13</v>
      </c>
      <c r="BZ202" s="13">
        <f>BY202*VLOOKUP('Données projet'!$B$12,Paramètres!$A$1:$I$89,3,0)*VLOOKUP('Données projet'!$B$12,Paramètres!$A$1:$I$89,5,0)</f>
        <v>-1.3567387213697657E-13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344.97546176735341</v>
      </c>
      <c r="CE202" s="59">
        <f t="shared" si="207"/>
        <v>331.15461126257492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9.7933794111168542</v>
      </c>
      <c r="CL202" s="21">
        <f>EXP(-LN(2)/25)*CL201+(1-EXP(-LN(2)/25))/(LN(2)/25)*Calculateur!CG202*Calculateur!CI202*VLOOKUP('Données projet'!$B$12,Paramètres!$A$1:$I$89,3,0)*0.475*44/12</f>
        <v>0.10464575641013504</v>
      </c>
      <c r="CM202" s="21">
        <f>EXP(-LN(2)/2)*CM201+(1-EXP(-LN(2)/2))/(LN(2)/2)*CG202*CJ202*VLOOKUP('Données projet'!$B$12,Paramètres!$A$1:$I$89,3,0)*0.475*44/12</f>
        <v>5.1044093314610566E-17</v>
      </c>
      <c r="CN202" s="22">
        <f t="shared" si="172"/>
        <v>9.8980251675269884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227.19465047672969</v>
      </c>
      <c r="CZ202" s="59">
        <f t="shared" si="208"/>
        <v>529.77979244134417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3.4665999444540021</v>
      </c>
      <c r="DG202" s="21">
        <f>EXP(-LN(2)/25)*DG201+(1-EXP(-LN(2)/25))/(LN(2)/25)*Calculateur!DB202*Calculateur!DD202*VLOOKUP('Données projet'!$B$13,Paramètres!$A$1:$I$89,3,0)*0.475*44/12</f>
        <v>0.29234105313923464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3.7589409975932369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240.09151195692266</v>
      </c>
      <c r="DU202" s="59">
        <f t="shared" si="209"/>
        <v>559.47775134103165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3.6931751042222376</v>
      </c>
      <c r="EB202" s="21">
        <f>EXP(-LN(2)/25)*EB201+(1-EXP(-LN(2)/25))/(LN(2)/25)*Calculateur!DW202*Calculateur!DY202*VLOOKUP('Données projet'!$B$14,Paramètres!$A$1:$I$89,3,0)*0.475*44/12</f>
        <v>0.31144831151434849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4.0046234157365861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5.6843418860808015E-14</v>
      </c>
      <c r="EK202" s="17">
        <f>EJ202*VLOOKUP('Données projet'!$B$15,Paramètres!$A$1:$I$89,3,0)*VLOOKUP('Données projet'!$B$15,Paramètres!$A$1:$I$89,5,0)</f>
        <v>4.4337866711430253E-14</v>
      </c>
      <c r="EL202" s="13">
        <f t="shared" si="179"/>
        <v>7.3222115536967035E-13</v>
      </c>
      <c r="EM202" s="20">
        <f t="shared" si="180"/>
        <v>1.3525069634579169E-12</v>
      </c>
      <c r="EN202" s="59">
        <f t="shared" si="198"/>
        <v>289.05155190805897</v>
      </c>
      <c r="EO202" s="59">
        <f ca="1">AVERAGE(OFFSET($EN$3,0,0,'Données projet'!$E$15+1,1))-AVERAGE(OFFSET($H$3,0,0,'Données projet'!$E$15+1,1))</f>
        <v>328.79469965518484</v>
      </c>
      <c r="EP202" s="59">
        <f t="shared" si="210"/>
        <v>322.06400652269735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5.0629040379380461</v>
      </c>
      <c r="EW202" s="21">
        <f>EXP(-LN(2)/25)*EW201+(1-EXP(-LN(2)/25))/(LN(2)/25)*Calculateur!ER202*Calculateur!ET202*VLOOKUP('Données projet'!$B$15,Paramètres!$A$1:$I$89,3,0)*0.475*44/12</f>
        <v>0.2587944751238026</v>
      </c>
      <c r="EX202" s="21">
        <f>EXP(-LN(2)/2)*EX201+(1-EXP(-LN(2)/2))/(LN(2)/2)*ER202*EU202*VLOOKUP('Données projet'!$B$15,Paramètres!$A$1:$I$89,3,0)*0.475*44/12</f>
        <v>1.9761653847087959E-18</v>
      </c>
      <c r="EY202" s="22">
        <f t="shared" si="181"/>
        <v>5.3216985130618486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-5.6843418860808015E-14</v>
      </c>
      <c r="FF202" s="17">
        <f>FE202*VLOOKUP('Données projet'!$B$16,Paramètres!$A$1:$I$89,3,0)*VLOOKUP('Données projet'!$B$16,Paramètres!$A$1:$I$89,5,0)</f>
        <v>-4.1677594708744434E-14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525.22234644068908</v>
      </c>
      <c r="FK202" s="59">
        <f t="shared" si="211"/>
        <v>311.5550296132094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26.888455729062894</v>
      </c>
      <c r="FR202" s="21">
        <f>EXP(-LN(2)/25)*FR201+(1-EXP(-LN(2)/25))/(LN(2)/25)*Calculateur!FM202*Calculateur!FO202*VLOOKUP('Données projet'!$B$16,Paramètres!$A$1:$I$89,3,0)*0.475*44/12</f>
        <v>3.7710800179684885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30.659535747031384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-1.7053025658242404E-13</v>
      </c>
      <c r="GA202" s="17">
        <f>FZ202*VLOOKUP('Données projet'!$B$17,Paramètres!$A$1:$I$89,3,0)*VLOOKUP('Données projet'!$B$17,Paramètres!$A$1:$I$89,5,0)</f>
        <v>-1.1173142411280423E-13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298.45881427802874</v>
      </c>
      <c r="GF202" s="59">
        <f t="shared" si="212"/>
        <v>287.00279305562356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6.5434122147528839</v>
      </c>
      <c r="GM202" s="21">
        <f>EXP(-LN(2)/25)*GM201+(1-EXP(-LN(2)/25))/(LN(2)/25)*Calculateur!GH202*Calculateur!GJ202*VLOOKUP('Données projet'!$B$17,Paramètres!$A$1:$I$89,3,0)*0.475*44/12</f>
        <v>6.9918696291788332E-2</v>
      </c>
      <c r="GN202" s="21">
        <f>EXP(-LN(2)/2)*GN201+(1-EXP(-LN(2)/2))/(LN(2)/2)*GH202*GK202*VLOOKUP('Données projet'!$B$17,Paramètres!$A$1:$I$89,3,0)*0.475*44/12</f>
        <v>4.2036312141443977E-17</v>
      </c>
      <c r="GO202" s="21">
        <f t="shared" si="187"/>
        <v>6.6133309110446721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135.66666666666666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-7.9580786405131221E-13</v>
      </c>
      <c r="O203" s="13">
        <f>N203*VLOOKUP('Données projet'!$B$9,Paramètres!$A$1:$I$89,3,0)*VLOOKUP('Données projet'!$B$9,Paramètres!$A$1:$I$89,5,0)</f>
        <v>-7.2004695539362725E-13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600.52384738314299</v>
      </c>
      <c r="T203" s="59">
        <f t="shared" si="204"/>
        <v>314.84650287986256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73.381224852508524</v>
      </c>
      <c r="AA203" s="21">
        <f>EXP(-LN(2)/25)*AA202+(1-EXP(-LN(2)/25))/(LN(2)/25)*Calculateur!V203*Calculateur!X203*VLOOKUP('Données projet'!$B$9,Paramètres!$A$1:$I$89,3,0)*0.475*44/12</f>
        <v>8.6043682935627857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81.985593146071309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-1.4897523215040567E-13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436.77894860279537</v>
      </c>
      <c r="AO203" s="59">
        <f t="shared" si="205"/>
        <v>398.63561969573072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16.488880312495926</v>
      </c>
      <c r="AV203" s="21">
        <f>EXP(-LN(2)/25)*AV202+(1-EXP(-LN(2)/25))/(LN(2)/25)*Calculateur!AQ203*Calculateur!AS203*VLOOKUP('Données projet'!$B$10,Paramètres!$A$1:$I$89,3,0)*0.475*44/12</f>
        <v>1.1960480432600087</v>
      </c>
      <c r="AW203" s="21">
        <f>EXP(-LN(2)/2)*AW202+(1-EXP(-LN(2)/2))/(LN(2)/2)*AQ203*AT203*VLOOKUP('Données projet'!$B$10,Paramètres!$A$1:$I$89,3,0)*0.475*44/12</f>
        <v>4.0821572613888058E-26</v>
      </c>
      <c r="AX203" s="21">
        <f t="shared" si="166"/>
        <v>17.684928355755936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-1.3567387213697657E-13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344.97546176735341</v>
      </c>
      <c r="BJ203" s="59">
        <f t="shared" si="206"/>
        <v>331.15461126257492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9.6013372142364712</v>
      </c>
      <c r="BQ203" s="21">
        <f>EXP(-LN(2)/25)*BQ202+(1-EXP(-LN(2)/25))/(LN(2)/25)*Calculateur!BL203*Calculateur!BN203*VLOOKUP('Données projet'!$B$11,Paramètres!$A$1:$I$89,3,0)*0.475*44/12</f>
        <v>0.10178421269801874</v>
      </c>
      <c r="BR203" s="21">
        <f>EXP(-LN(2)/2)*BR202+(1-EXP(-LN(2)/2))/(LN(2)/2)*BL203*BO203*VLOOKUP('Données projet'!$B$11,Paramètres!$A$1:$I$89,3,0)*0.475*44/12</f>
        <v>3.6093624522280046E-17</v>
      </c>
      <c r="BS203" s="22">
        <f t="shared" si="169"/>
        <v>9.7031214269344908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-1.7053025658242404E-13</v>
      </c>
      <c r="BZ203" s="13">
        <f>BY203*VLOOKUP('Données projet'!$B$12,Paramètres!$A$1:$I$89,3,0)*VLOOKUP('Données projet'!$B$12,Paramètres!$A$1:$I$89,5,0)</f>
        <v>-1.3567387213697657E-13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344.97546176735341</v>
      </c>
      <c r="CE203" s="59">
        <f t="shared" si="207"/>
        <v>331.15461126257492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9.6013372142364712</v>
      </c>
      <c r="CL203" s="21">
        <f>EXP(-LN(2)/25)*CL202+(1-EXP(-LN(2)/25))/(LN(2)/25)*Calculateur!CG203*Calculateur!CI203*VLOOKUP('Données projet'!$B$12,Paramètres!$A$1:$I$89,3,0)*0.475*44/12</f>
        <v>0.10178421269801874</v>
      </c>
      <c r="CM203" s="21">
        <f>EXP(-LN(2)/2)*CM202+(1-EXP(-LN(2)/2))/(LN(2)/2)*CG203*CJ203*VLOOKUP('Données projet'!$B$12,Paramètres!$A$1:$I$89,3,0)*0.475*44/12</f>
        <v>3.6093624522280046E-17</v>
      </c>
      <c r="CN203" s="22">
        <f t="shared" si="172"/>
        <v>9.7031214269344908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227.19465047672969</v>
      </c>
      <c r="CZ203" s="59">
        <f t="shared" si="208"/>
        <v>529.77979244134417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3.3986220339604438</v>
      </c>
      <c r="DG203" s="21">
        <f>EXP(-LN(2)/25)*DG202+(1-EXP(-LN(2)/25))/(LN(2)/25)*Calculateur!DB203*Calculateur!DD203*VLOOKUP('Données projet'!$B$13,Paramètres!$A$1:$I$89,3,0)*0.475*44/12</f>
        <v>0.28434697166759443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3.6829690056280384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240.09151195692266</v>
      </c>
      <c r="DU203" s="59">
        <f t="shared" si="209"/>
        <v>559.47775134103165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3.620754193042826</v>
      </c>
      <c r="EB203" s="21">
        <f>EXP(-LN(2)/25)*EB202+(1-EXP(-LN(2)/25))/(LN(2)/25)*Calculateur!DW203*Calculateur!DY203*VLOOKUP('Données projet'!$B$14,Paramètres!$A$1:$I$89,3,0)*0.475*44/12</f>
        <v>0.30293174105763376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3.92368593410046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5.6843418860808015E-14</v>
      </c>
      <c r="EK203" s="17">
        <f>EJ203*VLOOKUP('Données projet'!$B$15,Paramètres!$A$1:$I$89,3,0)*VLOOKUP('Données projet'!$B$15,Paramètres!$A$1:$I$89,5,0)</f>
        <v>4.4337866711430253E-14</v>
      </c>
      <c r="EL203" s="13">
        <f t="shared" si="179"/>
        <v>7.3222115536967035E-13</v>
      </c>
      <c r="EM203" s="20">
        <f t="shared" si="180"/>
        <v>1.3525069634579169E-12</v>
      </c>
      <c r="EN203" s="59">
        <f t="shared" si="198"/>
        <v>289.12583124315836</v>
      </c>
      <c r="EO203" s="59">
        <f ca="1">AVERAGE(OFFSET($EN$3,0,0,'Données projet'!$E$15+1,1))-AVERAGE(OFFSET($H$3,0,0,'Données projet'!$E$15+1,1))</f>
        <v>328.79469965518484</v>
      </c>
      <c r="EP203" s="59">
        <f t="shared" si="210"/>
        <v>322.06400652269735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4.9636235778206226</v>
      </c>
      <c r="EW203" s="21">
        <f>EXP(-LN(2)/25)*EW202+(1-EXP(-LN(2)/25))/(LN(2)/25)*Calculateur!ER203*Calculateur!ET203*VLOOKUP('Données projet'!$B$15,Paramètres!$A$1:$I$89,3,0)*0.475*44/12</f>
        <v>0.25171772659213226</v>
      </c>
      <c r="EX203" s="21">
        <f>EXP(-LN(2)/2)*EX202+(1-EXP(-LN(2)/2))/(LN(2)/2)*ER203*EU203*VLOOKUP('Données projet'!$B$15,Paramètres!$A$1:$I$89,3,0)*0.475*44/12</f>
        <v>1.3973599442737121E-18</v>
      </c>
      <c r="EY203" s="22">
        <f t="shared" si="181"/>
        <v>5.215341304412755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-5.6843418860808015E-14</v>
      </c>
      <c r="FF203" s="17">
        <f>FE203*VLOOKUP('Données projet'!$B$16,Paramètres!$A$1:$I$89,3,0)*VLOOKUP('Données projet'!$B$16,Paramètres!$A$1:$I$89,5,0)</f>
        <v>-4.1677594708744434E-14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525.22234644068908</v>
      </c>
      <c r="FK203" s="59">
        <f t="shared" si="211"/>
        <v>311.5550296132094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26.361189512554567</v>
      </c>
      <c r="FR203" s="21">
        <f>EXP(-LN(2)/25)*FR202+(1-EXP(-LN(2)/25))/(LN(2)/25)*Calculateur!FM203*Calculateur!FO203*VLOOKUP('Données projet'!$B$16,Paramètres!$A$1:$I$89,3,0)*0.475*44/12</f>
        <v>3.6679596365646607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30.029149149119228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-1.7053025658242404E-13</v>
      </c>
      <c r="GA203" s="17">
        <f>FZ203*VLOOKUP('Données projet'!$B$17,Paramètres!$A$1:$I$89,3,0)*VLOOKUP('Données projet'!$B$17,Paramètres!$A$1:$I$89,5,0)</f>
        <v>-1.1173142411280423E-13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298.45881427802874</v>
      </c>
      <c r="GF203" s="59">
        <f t="shared" si="212"/>
        <v>287.00279305562356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6.4150998923089437</v>
      </c>
      <c r="GM203" s="21">
        <f>EXP(-LN(2)/25)*GM202+(1-EXP(-LN(2)/25))/(LN(2)/25)*Calculateur!GH203*Calculateur!GJ203*VLOOKUP('Données projet'!$B$17,Paramètres!$A$1:$I$89,3,0)*0.475*44/12</f>
        <v>6.8006765864824945E-2</v>
      </c>
      <c r="GN203" s="21">
        <f>EXP(-LN(2)/2)*GN202+(1-EXP(-LN(2)/2))/(LN(2)/2)*GH203*GK203*VLOOKUP('Données projet'!$B$17,Paramètres!$A$1:$I$89,3,0)*0.475*44/12</f>
        <v>2.9724161371289437E-17</v>
      </c>
      <c r="GO203" s="21">
        <f t="shared" si="187"/>
        <v>6.4831066581737691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1.1480333746076383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1.4269435884576509</v>
      </c>
      <c r="BA205" s="82">
        <f>EXP(LN('Données projet'!B88)/'Données projet'!A88)</f>
        <v>1.2721747796233518</v>
      </c>
      <c r="BV205" s="82">
        <f>EXP(LN('Données projet'!B114)/'Données projet'!A114)</f>
        <v>1.2721747796233518</v>
      </c>
      <c r="CQ205" s="82">
        <f>EXP(LN('Données projet'!B140)/'Données projet'!A140)</f>
        <v>1.6206565966927624</v>
      </c>
      <c r="DL205" s="82">
        <f>EXP(LN('Données projet'!B166)/'Données projet'!A166)</f>
        <v>1.6206565966927624</v>
      </c>
      <c r="EG205" s="82">
        <f>EXP(LN('Données projet'!B192)/'Données projet'!A192)</f>
        <v>1.2788040393997409</v>
      </c>
      <c r="FB205" s="82">
        <f>EXP(LN('Données projet'!B218)/'Données projet'!A218)</f>
        <v>1.2229519710813024</v>
      </c>
      <c r="FW205" s="82">
        <f>EXP(LN('Données projet'!B244)/'Données projet'!A244)</f>
        <v>1.2721747796233518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0.69215000000000004</v>
      </c>
      <c r="C6" s="147">
        <f ca="1">IF(OR('Données projet'!B9="",'Données projet'!C9="",'Données projet'!C9=0%),0,Calculateur!S3)</f>
        <v>600.52384738314299</v>
      </c>
      <c r="D6" s="147">
        <f>IF(OR('Données projet'!B9="",'Données projet'!C9="",'Données projet'!C9=0%),0,Calculateur!T3)</f>
        <v>314.84650287986256</v>
      </c>
      <c r="E6" s="147">
        <f ca="1">MIN(C6,D6)</f>
        <v>314.84650287986256</v>
      </c>
      <c r="F6" s="147">
        <f ca="1">E6*B6</f>
        <v>217.92100696829689</v>
      </c>
      <c r="G6" s="147">
        <f ca="1">F6*(100%-'Données projet'!$C$24)*(100%-'Données projet'!$C$25)*(100%-'Données projet'!$C$26)*(100%-'Données projet'!$C$27)</f>
        <v>196.1289062714672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196.1289062714672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0.69215000000000004</v>
      </c>
      <c r="C7" s="147">
        <f ca="1">IF(OR('Données projet'!B10="",'Données projet'!C10="",'Données projet'!C10=0%),0,Calculateur!AN3)</f>
        <v>436.77894860279537</v>
      </c>
      <c r="D7" s="147">
        <f>IF(OR('Données projet'!B10="",'Données projet'!C10="",'Données projet'!C10=0%),0,Calculateur!AO3)</f>
        <v>398.63561969573072</v>
      </c>
      <c r="E7" s="147">
        <f t="shared" ref="E7:E15" ca="1" si="0">MIN(C7,D7)</f>
        <v>398.63561969573072</v>
      </c>
      <c r="F7" s="147">
        <f t="shared" ref="F7:F15" ca="1" si="1">E7*B7</f>
        <v>275.91564417240005</v>
      </c>
      <c r="G7" s="147">
        <f ca="1">F7*(100%-'Données projet'!$C$24)*(100%-'Données projet'!$C$25)*(100%-'Données projet'!$C$26)*(100%-'Données projet'!$C$27)</f>
        <v>248.32407975516006</v>
      </c>
      <c r="H7" s="155">
        <f>IF(OR('Données projet'!B10="",'Données projet'!C10="",'Données projet'!C10=0%),0,AVERAGE(Calculateur!$AX$3:$AX$33)*B7)</f>
        <v>3.3759984283494973</v>
      </c>
      <c r="I7" s="149">
        <f>H7*(100%-'Données projet'!$C$24)*(100%-'Données projet'!$C$25)*(100%-'Données projet'!$C$26)*(100%-'Données projet'!$C$27)</f>
        <v>3.0383985855145474</v>
      </c>
      <c r="J7" s="150">
        <f>IF(OR('Données projet'!B10="",'Données projet'!C10="",'Données projet'!C10=0%),0,SUM(Calculateur!$AQ$3:$AQ$33)*VLOOKUP('Données projet'!$B$10,Paramètres!$A$1:$I$89,9,0)*B7)</f>
        <v>21.110575000000001</v>
      </c>
      <c r="K7" s="151">
        <f>J7*(100%-'Données projet'!$C$24)*(100%-'Données projet'!$C$25)*(100%-'Données projet'!$C$26)*(100%-'Données projet'!$C$27)</f>
        <v>18.9995175</v>
      </c>
      <c r="L7" s="152">
        <f t="shared" ref="L7:L15" ca="1" si="2">G7+I7+K7</f>
        <v>270.36199584067464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Erable plane</v>
      </c>
      <c r="B8" s="154">
        <f>'Données projet'!D11</f>
        <v>0.69215000000000004</v>
      </c>
      <c r="C8" s="147">
        <f ca="1">IF(OR('Données projet'!B11="",'Données projet'!C11="",'Données projet'!C11=0%),0,Calculateur!BI3)</f>
        <v>344.97546176735341</v>
      </c>
      <c r="D8" s="147">
        <f>IF(OR('Données projet'!B11="",'Données projet'!C11="",'Données projet'!C11=0%),0,Calculateur!BJ3)</f>
        <v>331.15461126257492</v>
      </c>
      <c r="E8" s="147">
        <f t="shared" ca="1" si="0"/>
        <v>331.15461126257492</v>
      </c>
      <c r="F8" s="147">
        <f t="shared" ca="1" si="1"/>
        <v>229.20866418539126</v>
      </c>
      <c r="G8" s="147">
        <f ca="1">F8*(100%-'Données projet'!$C$24)*(100%-'Données projet'!$C$25)*(100%-'Données projet'!$C$26)*(100%-'Données projet'!$C$27)</f>
        <v>206.28779776685212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17.130712500000001</v>
      </c>
      <c r="K8" s="151">
        <f>J8*(100%-'Données projet'!$C$24)*(100%-'Données projet'!$C$25)*(100%-'Données projet'!$C$26)*(100%-'Données projet'!$C$27)</f>
        <v>15.417641250000001</v>
      </c>
      <c r="L8" s="152">
        <f t="shared" ca="1" si="2"/>
        <v>221.70543901685213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Erable sycomore</v>
      </c>
      <c r="B9" s="154">
        <f>'Données projet'!D12</f>
        <v>0.69215000000000004</v>
      </c>
      <c r="C9" s="147">
        <f ca="1">IF(OR('Données projet'!B12="",'Données projet'!C12="",'Données projet'!C12=0%),0,Calculateur!CD3)</f>
        <v>344.97546176735341</v>
      </c>
      <c r="D9" s="147">
        <f>IF(OR('Données projet'!B12="",'Données projet'!C12="",'Données projet'!C12=0%),0,Calculateur!CE3)</f>
        <v>331.15461126257492</v>
      </c>
      <c r="E9" s="147">
        <f t="shared" ca="1" si="0"/>
        <v>331.15461126257492</v>
      </c>
      <c r="F9" s="147">
        <f t="shared" ca="1" si="1"/>
        <v>229.20866418539126</v>
      </c>
      <c r="G9" s="147">
        <f ca="1">F9*(100%-'Données projet'!$C$24)*(100%-'Données projet'!$C$25)*(100%-'Données projet'!$C$26)*(100%-'Données projet'!$C$27)</f>
        <v>206.28779776685212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17.130712500000001</v>
      </c>
      <c r="K9" s="151">
        <f>J9*(100%-'Données projet'!$C$24)*(100%-'Données projet'!$C$25)*(100%-'Données projet'!$C$26)*(100%-'Données projet'!$C$27)</f>
        <v>15.417641250000001</v>
      </c>
      <c r="L9" s="152">
        <f t="shared" ca="1" si="2"/>
        <v>221.70543901685213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Peuplier Trichobel</v>
      </c>
      <c r="B10" s="154">
        <f>'Données projet'!D13</f>
        <v>2.6160000000000001</v>
      </c>
      <c r="C10" s="147">
        <f ca="1">IF(OR('Données projet'!B13="",'Données projet'!C13="",'Données projet'!C13=0%),0,Calculateur!CY3)</f>
        <v>227.19465047672969</v>
      </c>
      <c r="D10" s="147">
        <f>IF(OR('Données projet'!B13="",'Données projet'!C13="",'Données projet'!C13=0%),0,Calculateur!CZ3)</f>
        <v>529.77979244134417</v>
      </c>
      <c r="E10" s="147">
        <f t="shared" ca="1" si="0"/>
        <v>227.19465047672969</v>
      </c>
      <c r="F10" s="147">
        <f t="shared" ca="1" si="1"/>
        <v>594.34120564712487</v>
      </c>
      <c r="G10" s="147">
        <f ca="1">F10*(100%-'Données projet'!$C$24)*(100%-'Données projet'!$C$25)*(100%-'Données projet'!$C$26)*(100%-'Données projet'!$C$27)</f>
        <v>534.90708508241244</v>
      </c>
      <c r="H10" s="155">
        <f>IF(OR('Données projet'!B13="",'Données projet'!C13="",'Données projet'!C13=0%),0,AVERAGE(Calculateur!$DI$3:$DI$33)*B10)</f>
        <v>57.400150762101489</v>
      </c>
      <c r="I10" s="149">
        <f>H10*(100%-'Données projet'!$C$24)*(100%-'Données projet'!$C$25)*(100%-'Données projet'!$C$26)*(100%-'Données projet'!$C$27)</f>
        <v>51.660135685891341</v>
      </c>
      <c r="J10" s="150">
        <f>IF(OR('Données projet'!B13="",'Données projet'!C13="",'Données projet'!C13=0%),0,SUM(Calculateur!$DB$3:$DB$33)*VLOOKUP('Données projet'!$B$13,Paramètres!$A$1:$I$89,9,0)*B10)</f>
        <v>1209.8215200000002</v>
      </c>
      <c r="K10" s="151">
        <f>J10*(100%-'Données projet'!$C$24)*(100%-'Données projet'!$C$25)*(100%-'Données projet'!$C$26)*(100%-'Données projet'!$C$27)</f>
        <v>1088.8393680000001</v>
      </c>
      <c r="L10" s="152">
        <f t="shared" ca="1" si="2"/>
        <v>1675.4065887683039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Peuplier Koster</v>
      </c>
      <c r="B11" s="154">
        <f>'Données projet'!D14</f>
        <v>2.6160000000000001</v>
      </c>
      <c r="C11" s="147">
        <f ca="1">IF(OR('Données projet'!B14="",'Données projet'!C14="",'Données projet'!C14=0%),0,Calculateur!DT3)</f>
        <v>240.09151195692266</v>
      </c>
      <c r="D11" s="147">
        <f>IF(OR('Données projet'!B14="",'Données projet'!C14="",'Données projet'!C14=0%),0,Calculateur!DU3)</f>
        <v>559.47775134103165</v>
      </c>
      <c r="E11" s="147">
        <f t="shared" ca="1" si="0"/>
        <v>240.09151195692266</v>
      </c>
      <c r="F11" s="147">
        <f t="shared" ca="1" si="1"/>
        <v>628.07939527930967</v>
      </c>
      <c r="G11" s="147">
        <f ca="1">F11*(100%-'Données projet'!$C$24)*(100%-'Données projet'!$C$25)*(100%-'Données projet'!$C$26)*(100%-'Données projet'!$C$27)</f>
        <v>565.27145575137877</v>
      </c>
      <c r="H11" s="155">
        <f>IF(OR('Données projet'!B14="",'Données projet'!C14="",'Données projet'!C14=0%),0,AVERAGE(Calculateur!$ED$3:$ED$33)*B11)</f>
        <v>61.151794602761711</v>
      </c>
      <c r="I11" s="149">
        <f>H11*(100%-'Données projet'!$C$24)*(100%-'Données projet'!$C$25)*(100%-'Données projet'!$C$26)*(100%-'Données projet'!$C$27)</f>
        <v>55.036615142485545</v>
      </c>
      <c r="J11" s="150">
        <f>IF(OR('Données projet'!B14="",'Données projet'!C14="",'Données projet'!C14=0%),0,SUM(Calculateur!$DW$3:$DW$33)*VLOOKUP('Données projet'!$B$14,Paramètres!$A$1:$I$89,9,0)*B11)</f>
        <v>1209.8215200000002</v>
      </c>
      <c r="K11" s="151">
        <f>J11*(100%-'Données projet'!$C$24)*(100%-'Données projet'!$C$25)*(100%-'Données projet'!$C$26)*(100%-'Données projet'!$C$27)</f>
        <v>1088.8393680000001</v>
      </c>
      <c r="L11" s="152">
        <f t="shared" ca="1" si="2"/>
        <v>1709.1474388938645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Merisier</v>
      </c>
      <c r="B12" s="154">
        <f>'Données projet'!D15</f>
        <v>0.69215000000000004</v>
      </c>
      <c r="C12" s="147">
        <f ca="1">IF(OR('Données projet'!B15="",'Données projet'!C15="",'Données projet'!C15=0%),0,Calculateur!EO3)</f>
        <v>328.79469965518484</v>
      </c>
      <c r="D12" s="147">
        <f>IF(OR('Données projet'!B15="",'Données projet'!C15="",'Données projet'!C15=0%),0,Calculateur!EP3)</f>
        <v>322.06400652269735</v>
      </c>
      <c r="E12" s="147">
        <f t="shared" ca="1" si="0"/>
        <v>322.06400652269735</v>
      </c>
      <c r="F12" s="147">
        <f t="shared" ca="1" si="1"/>
        <v>222.91660211468499</v>
      </c>
      <c r="G12" s="147">
        <f ca="1">F12*(100%-'Données projet'!$C$24)*(100%-'Données projet'!$C$25)*(100%-'Données projet'!$C$26)*(100%-'Données projet'!$C$27)</f>
        <v>200.6249419032165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9.5170624999999998</v>
      </c>
      <c r="K12" s="151">
        <f>J12*(100%-'Données projet'!$C$24)*(100%-'Données projet'!$C$25)*(100%-'Données projet'!$C$26)*(100%-'Données projet'!$C$27)</f>
        <v>8.5653562500000007</v>
      </c>
      <c r="L12" s="152">
        <f t="shared" ca="1" si="2"/>
        <v>209.1902981532165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Châtaignier</v>
      </c>
      <c r="B13" s="154">
        <f>'Données projet'!D16</f>
        <v>0.68125000000000002</v>
      </c>
      <c r="C13" s="147">
        <f ca="1">IF(OR('Données projet'!B16="",'Données projet'!C16="",'Données projet'!C16=0%),0,Calculateur!FJ3)</f>
        <v>525.22234644068908</v>
      </c>
      <c r="D13" s="147">
        <f>IF(OR('Données projet'!B16="",'Données projet'!C16="",'Données projet'!C16=0%),0,Calculateur!FK3)</f>
        <v>311.5550296132094</v>
      </c>
      <c r="E13" s="147">
        <f t="shared" ca="1" si="0"/>
        <v>311.5550296132094</v>
      </c>
      <c r="F13" s="147">
        <f t="shared" ca="1" si="1"/>
        <v>212.24686392399892</v>
      </c>
      <c r="G13" s="147">
        <f ca="1">F13*(100%-'Données projet'!$C$24)*(100%-'Données projet'!$C$25)*(100%-'Données projet'!$C$26)*(100%-'Données projet'!$C$27)</f>
        <v>191.02217753159903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10.3890625</v>
      </c>
      <c r="K13" s="151">
        <f>J13*(100%-'Données projet'!$C$24)*(100%-'Données projet'!$C$25)*(100%-'Données projet'!$C$26)*(100%-'Données projet'!$C$27)</f>
        <v>9.3501562499999995</v>
      </c>
      <c r="L13" s="152">
        <f t="shared" ca="1" si="2"/>
        <v>200.37233378159902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Aulne à feuilles en cœur</v>
      </c>
      <c r="B14" s="154">
        <f>'Données projet'!D17</f>
        <v>1.5260000000000002</v>
      </c>
      <c r="C14" s="147">
        <f ca="1">IF(OR('Données projet'!B17="",'Données projet'!C17="",'Données projet'!C17=0%),0,Calculateur!GE3)</f>
        <v>298.45881427802874</v>
      </c>
      <c r="D14" s="147">
        <f>IF(OR('Données projet'!B17="",'Données projet'!C17="",'Données projet'!C17=0%),0,Calculateur!GF3)</f>
        <v>287.00279305562356</v>
      </c>
      <c r="E14" s="147">
        <f t="shared" ca="1" si="0"/>
        <v>287.00279305562356</v>
      </c>
      <c r="F14" s="147">
        <f t="shared" ca="1" si="1"/>
        <v>437.96626220288164</v>
      </c>
      <c r="G14" s="147">
        <f ca="1">F14*(100%-'Données projet'!$C$24)*(100%-'Données projet'!$C$25)*(100%-'Données projet'!$C$26)*(100%-'Données projet'!$C$27)</f>
        <v>394.16963598259349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37.768500000000003</v>
      </c>
      <c r="K14" s="151">
        <f>J14*(100%-'Données projet'!$C$24)*(100%-'Données projet'!$C$25)*(100%-'Données projet'!$C$26)*(100%-'Données projet'!$C$27)</f>
        <v>33.991650000000007</v>
      </c>
      <c r="L14" s="152">
        <f t="shared" ca="1" si="2"/>
        <v>428.16128598259348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3047.8043086794796</v>
      </c>
      <c r="G16" s="166">
        <f t="shared" ca="1" si="3"/>
        <v>2743.0238778115317</v>
      </c>
      <c r="H16" s="167">
        <f t="shared" si="3"/>
        <v>121.92794379321271</v>
      </c>
      <c r="I16" s="167">
        <f t="shared" si="3"/>
        <v>109.73514941389143</v>
      </c>
      <c r="J16" s="168">
        <f t="shared" si="3"/>
        <v>2532.6896650000003</v>
      </c>
      <c r="K16" s="168">
        <f t="shared" si="3"/>
        <v>2279.4206985000005</v>
      </c>
      <c r="L16" s="169">
        <f t="shared" ca="1" si="3"/>
        <v>5132.1797257254239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Erable plane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Peuplier Trichobel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Peuplier Koster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Châtaignier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Aulne à feuilles en cœur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1" zoomScale="80" zoomScaleNormal="80" workbookViewId="0">
      <selection activeCell="I240" sqref="I24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471.49124729379758</v>
      </c>
      <c r="U10" s="178">
        <f>'Données projet'!D9</f>
        <v>0.69215000000000004</v>
      </c>
      <c r="V10" s="177">
        <f>U10*T10</f>
        <v>326.34266681440204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2236.7805420447635</v>
      </c>
      <c r="U11" s="178">
        <f>'Données projet'!D10</f>
        <v>0.69215000000000004</v>
      </c>
      <c r="V11" s="177">
        <f t="shared" ref="V11" si="0">U11*T11</f>
        <v>1548.1876521762831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plane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915.17745391973426</v>
      </c>
      <c r="U12" s="178">
        <f>'Données projet'!D11</f>
        <v>0.69215000000000004</v>
      </c>
      <c r="V12" s="177">
        <f t="shared" ref="V12:V19" si="1">U12*T12</f>
        <v>633.4400747305441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915.17745391973426</v>
      </c>
      <c r="U13" s="178">
        <f>'Données projet'!D12</f>
        <v>0.69215000000000004</v>
      </c>
      <c r="V13" s="177">
        <f t="shared" si="1"/>
        <v>633.4400747305441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Peuplier Trichobel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4110.1780764270288</v>
      </c>
      <c r="U14" s="178">
        <f>'Données projet'!D13</f>
        <v>2.6160000000000001</v>
      </c>
      <c r="V14" s="177">
        <f t="shared" si="1"/>
        <v>10752.225847933109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Peuplier Koster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4110.1780764270288</v>
      </c>
      <c r="U15" s="178">
        <f>'Données projet'!D14</f>
        <v>2.6160000000000001</v>
      </c>
      <c r="V15" s="177">
        <f t="shared" si="1"/>
        <v>10752.225847933109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Merisier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998.5162999663296</v>
      </c>
      <c r="U16" s="178">
        <f>'Données projet'!D15</f>
        <v>0.69215000000000004</v>
      </c>
      <c r="V16" s="177">
        <f t="shared" si="1"/>
        <v>691.1230570216951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Châtaignier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963.89891244337855</v>
      </c>
      <c r="U17" s="178">
        <f>'Données projet'!D16</f>
        <v>0.68125000000000002</v>
      </c>
      <c r="V17" s="177">
        <f t="shared" si="1"/>
        <v>656.65613410205162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>Aulne à feuilles en cœur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915.17745391973426</v>
      </c>
      <c r="U18" s="178">
        <f>'Données projet'!D17</f>
        <v>1.5260000000000002</v>
      </c>
      <c r="V18" s="177">
        <f t="shared" si="1"/>
        <v>1396.5607946815146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5280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36</v>
      </c>
      <c r="B23" s="181">
        <f>'Données projet'!D36</f>
        <v>35</v>
      </c>
      <c r="C23" s="193">
        <v>8</v>
      </c>
      <c r="D23" s="182">
        <f>B23*C23</f>
        <v>280</v>
      </c>
      <c r="E23" s="193"/>
      <c r="F23" s="230"/>
      <c r="H23" s="190">
        <v>5</v>
      </c>
      <c r="I23" s="191">
        <v>750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-51708.526400345756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44</v>
      </c>
      <c r="B24" s="181">
        <f>'Données projet'!D37</f>
        <v>46</v>
      </c>
      <c r="C24" s="193">
        <v>9</v>
      </c>
      <c r="D24" s="182">
        <f t="shared" ref="D24:D42" si="2">B24*C24</f>
        <v>414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52</v>
      </c>
      <c r="B25" s="181">
        <f>'Données projet'!D38</f>
        <v>63</v>
      </c>
      <c r="C25" s="193">
        <v>9</v>
      </c>
      <c r="D25" s="182">
        <f t="shared" si="2"/>
        <v>567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-51708.526400345756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60</v>
      </c>
      <c r="B26" s="181">
        <f>'Données projet'!D39</f>
        <v>54</v>
      </c>
      <c r="C26" s="193">
        <v>9</v>
      </c>
      <c r="D26" s="182">
        <f t="shared" si="2"/>
        <v>486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69</v>
      </c>
      <c r="B27" s="181">
        <f>'Données projet'!D40</f>
        <v>51</v>
      </c>
      <c r="C27" s="193">
        <v>9</v>
      </c>
      <c r="D27" s="182">
        <f t="shared" si="2"/>
        <v>459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78</v>
      </c>
      <c r="B28" s="181">
        <f>'Données projet'!D41</f>
        <v>49</v>
      </c>
      <c r="C28" s="193">
        <v>14.2</v>
      </c>
      <c r="D28" s="182">
        <f t="shared" si="2"/>
        <v>695.8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87</v>
      </c>
      <c r="B29" s="181">
        <f>'Données projet'!D42</f>
        <v>45</v>
      </c>
      <c r="C29" s="193">
        <v>24.3</v>
      </c>
      <c r="D29" s="182">
        <f t="shared" si="2"/>
        <v>1093.5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96</v>
      </c>
      <c r="B30" s="181">
        <f>'Données projet'!D43</f>
        <v>44</v>
      </c>
      <c r="C30" s="193">
        <v>57.4</v>
      </c>
      <c r="D30" s="182">
        <f t="shared" si="2"/>
        <v>2525.6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105</v>
      </c>
      <c r="B31" s="181">
        <f>'Données projet'!D44</f>
        <v>43</v>
      </c>
      <c r="C31" s="193">
        <v>93.6</v>
      </c>
      <c r="D31" s="182">
        <f t="shared" si="2"/>
        <v>4024.7999999999997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114</v>
      </c>
      <c r="B32" s="181">
        <f>'Données projet'!D45</f>
        <v>43</v>
      </c>
      <c r="C32" s="193">
        <v>93.6</v>
      </c>
      <c r="D32" s="182">
        <f t="shared" si="2"/>
        <v>4024.7999999999997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123</v>
      </c>
      <c r="B33" s="181">
        <f>'Données projet'!D46</f>
        <v>41</v>
      </c>
      <c r="C33" s="193">
        <v>93.6</v>
      </c>
      <c r="D33" s="182">
        <f t="shared" si="2"/>
        <v>3837.6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132</v>
      </c>
      <c r="B34" s="181">
        <f>'Données projet'!D47</f>
        <v>42</v>
      </c>
      <c r="C34" s="193">
        <v>93.6</v>
      </c>
      <c r="D34" s="182">
        <f t="shared" si="2"/>
        <v>3931.2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141</v>
      </c>
      <c r="B35" s="181">
        <f>'Données projet'!D48</f>
        <v>45</v>
      </c>
      <c r="C35" s="193">
        <v>93.6</v>
      </c>
      <c r="D35" s="182">
        <f t="shared" si="2"/>
        <v>4212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153</v>
      </c>
      <c r="B36" s="181">
        <f>'Données projet'!D49</f>
        <v>481</v>
      </c>
      <c r="C36" s="193">
        <v>93.6</v>
      </c>
      <c r="D36" s="182">
        <f t="shared" si="2"/>
        <v>45021.599999999999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15</v>
      </c>
      <c r="B55" s="181">
        <f>'Données projet'!D63</f>
        <v>30</v>
      </c>
      <c r="C55" s="191">
        <v>8</v>
      </c>
      <c r="D55" s="179">
        <f t="shared" ref="D55:D73" si="4">B55*C55</f>
        <v>240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20</v>
      </c>
      <c r="B56" s="181">
        <f>'Données projet'!D64</f>
        <v>29</v>
      </c>
      <c r="C56" s="191">
        <v>20.8</v>
      </c>
      <c r="D56" s="179">
        <f t="shared" si="4"/>
        <v>603.20000000000005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25</v>
      </c>
      <c r="B57" s="181">
        <f>'Données projet'!D65</f>
        <v>31</v>
      </c>
      <c r="C57" s="191">
        <v>25.8</v>
      </c>
      <c r="D57" s="179">
        <f t="shared" si="4"/>
        <v>799.80000000000007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30</v>
      </c>
      <c r="B58" s="181">
        <f>'Données projet'!D66</f>
        <v>32</v>
      </c>
      <c r="C58" s="191">
        <v>35.599999999999994</v>
      </c>
      <c r="D58" s="179">
        <f t="shared" si="4"/>
        <v>1139.1999999999998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35</v>
      </c>
      <c r="B59" s="181">
        <f>'Données projet'!D67</f>
        <v>32</v>
      </c>
      <c r="C59" s="191">
        <v>45.599999999999994</v>
      </c>
      <c r="D59" s="179">
        <f t="shared" si="4"/>
        <v>1459.1999999999998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40</v>
      </c>
      <c r="B60" s="181">
        <f>'Données projet'!D68</f>
        <v>31</v>
      </c>
      <c r="C60" s="191">
        <v>45.599999999999994</v>
      </c>
      <c r="D60" s="179">
        <f t="shared" si="4"/>
        <v>1413.6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str">
        <f>IF(O59+1&lt;=MIN('Données projet'!$E$9:$E$18),O59+1,"STOP")</f>
        <v>STOP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45</v>
      </c>
      <c r="B61" s="181">
        <f>'Données projet'!D69</f>
        <v>30</v>
      </c>
      <c r="C61" s="191">
        <v>45.599999999999994</v>
      </c>
      <c r="D61" s="179">
        <f t="shared" si="4"/>
        <v>1367.9999999999998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50</v>
      </c>
      <c r="B62" s="181">
        <f>'Données projet'!D70</f>
        <v>28</v>
      </c>
      <c r="C62" s="191">
        <v>45.599999999999994</v>
      </c>
      <c r="D62" s="179">
        <f t="shared" si="4"/>
        <v>1276.7999999999997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55</v>
      </c>
      <c r="B63" s="181">
        <f>'Données projet'!D71</f>
        <v>26</v>
      </c>
      <c r="C63" s="191">
        <v>45.599999999999994</v>
      </c>
      <c r="D63" s="179">
        <f t="shared" si="4"/>
        <v>1185.5999999999999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60</v>
      </c>
      <c r="B64" s="181">
        <f>'Données projet'!D72</f>
        <v>24</v>
      </c>
      <c r="C64" s="191">
        <v>45.599999999999994</v>
      </c>
      <c r="D64" s="179">
        <f t="shared" si="4"/>
        <v>1094.3999999999999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65</v>
      </c>
      <c r="B65" s="181">
        <f>'Données projet'!D73</f>
        <v>22</v>
      </c>
      <c r="C65" s="191">
        <v>45.599999999999994</v>
      </c>
      <c r="D65" s="179">
        <f t="shared" si="4"/>
        <v>1003.1999999999998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70</v>
      </c>
      <c r="B66" s="181">
        <f>'Données projet'!D74</f>
        <v>21</v>
      </c>
      <c r="C66" s="191">
        <v>45.599999999999994</v>
      </c>
      <c r="D66" s="179">
        <f t="shared" si="4"/>
        <v>957.59999999999991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75</v>
      </c>
      <c r="B67" s="181">
        <f>'Données projet'!D75</f>
        <v>19</v>
      </c>
      <c r="C67" s="191">
        <v>45.599999999999994</v>
      </c>
      <c r="D67" s="179">
        <f t="shared" si="4"/>
        <v>866.39999999999986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80</v>
      </c>
      <c r="B68" s="181">
        <f>'Données projet'!D76</f>
        <v>17</v>
      </c>
      <c r="C68" s="191">
        <v>45.599999999999994</v>
      </c>
      <c r="D68" s="179">
        <f t="shared" si="4"/>
        <v>775.19999999999993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85</v>
      </c>
      <c r="B69" s="181">
        <f>'Données projet'!D77</f>
        <v>16</v>
      </c>
      <c r="C69" s="191">
        <v>45.599999999999994</v>
      </c>
      <c r="D69" s="179">
        <f t="shared" si="4"/>
        <v>729.59999999999991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90</v>
      </c>
      <c r="B70" s="181">
        <f>'Données projet'!D78</f>
        <v>14</v>
      </c>
      <c r="C70" s="191">
        <v>45.599999999999994</v>
      </c>
      <c r="D70" s="179">
        <f t="shared" si="4"/>
        <v>638.39999999999986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95</v>
      </c>
      <c r="B71" s="181">
        <f>'Données projet'!D79</f>
        <v>13</v>
      </c>
      <c r="C71" s="191">
        <v>45.599999999999994</v>
      </c>
      <c r="D71" s="179">
        <f t="shared" si="4"/>
        <v>592.79999999999995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100</v>
      </c>
      <c r="B72" s="181">
        <f>'Données projet'!D80</f>
        <v>273</v>
      </c>
      <c r="C72" s="191">
        <v>45.599999999999994</v>
      </c>
      <c r="D72" s="179">
        <f t="shared" si="4"/>
        <v>12448.8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v>0</v>
      </c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Erable plane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15</v>
      </c>
      <c r="B85" s="181">
        <f>'Données projet'!D88</f>
        <v>15</v>
      </c>
      <c r="C85" s="191">
        <v>8</v>
      </c>
      <c r="D85" s="179">
        <f>B85*C85</f>
        <v>120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28</v>
      </c>
      <c r="C86" s="191">
        <v>8</v>
      </c>
      <c r="D86" s="179">
        <f t="shared" ref="D86:D104" si="6">B86*C86</f>
        <v>224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25</v>
      </c>
      <c r="B87" s="181">
        <f>'Données projet'!D90</f>
        <v>28</v>
      </c>
      <c r="C87" s="191">
        <v>8</v>
      </c>
      <c r="D87" s="179">
        <f t="shared" si="6"/>
        <v>224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30</v>
      </c>
      <c r="B88" s="181">
        <f>'Données projet'!D91</f>
        <v>28</v>
      </c>
      <c r="C88" s="191">
        <v>8</v>
      </c>
      <c r="D88" s="179">
        <f t="shared" si="6"/>
        <v>224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35</v>
      </c>
      <c r="B89" s="181">
        <f>'Données projet'!D92</f>
        <v>28</v>
      </c>
      <c r="C89" s="191">
        <v>8</v>
      </c>
      <c r="D89" s="179">
        <f t="shared" si="6"/>
        <v>224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40</v>
      </c>
      <c r="B90" s="181">
        <f>'Données projet'!D93</f>
        <v>28</v>
      </c>
      <c r="C90" s="191">
        <v>11.000000000000002</v>
      </c>
      <c r="D90" s="179">
        <f t="shared" si="6"/>
        <v>308.00000000000006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45</v>
      </c>
      <c r="B91" s="181">
        <f>'Données projet'!D94</f>
        <v>22</v>
      </c>
      <c r="C91" s="191">
        <v>14.799999999999999</v>
      </c>
      <c r="D91" s="179">
        <f t="shared" si="6"/>
        <v>325.59999999999997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50</v>
      </c>
      <c r="B92" s="181">
        <f>'Données projet'!D95</f>
        <v>17</v>
      </c>
      <c r="C92" s="191">
        <v>22.8</v>
      </c>
      <c r="D92" s="179">
        <f t="shared" si="6"/>
        <v>387.6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55</v>
      </c>
      <c r="B93" s="181">
        <f>'Données projet'!D96</f>
        <v>13</v>
      </c>
      <c r="C93" s="191">
        <v>30.8</v>
      </c>
      <c r="D93" s="179">
        <f t="shared" si="6"/>
        <v>400.40000000000003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60</v>
      </c>
      <c r="B94" s="181">
        <f>'Données projet'!D97</f>
        <v>12</v>
      </c>
      <c r="C94" s="191">
        <v>38.599999999999994</v>
      </c>
      <c r="D94" s="179">
        <f t="shared" si="6"/>
        <v>463.19999999999993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65</v>
      </c>
      <c r="B95" s="181">
        <f>'Données projet'!D98</f>
        <v>11</v>
      </c>
      <c r="C95" s="191">
        <v>38.599999999999994</v>
      </c>
      <c r="D95" s="179">
        <f t="shared" si="6"/>
        <v>424.59999999999991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70</v>
      </c>
      <c r="B96" s="181">
        <f>'Données projet'!D99</f>
        <v>10</v>
      </c>
      <c r="C96" s="191">
        <v>38.599999999999994</v>
      </c>
      <c r="D96" s="179">
        <f t="shared" si="6"/>
        <v>385.99999999999994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75</v>
      </c>
      <c r="B97" s="181">
        <f>'Données projet'!D100</f>
        <v>9</v>
      </c>
      <c r="C97" s="191">
        <v>38.599999999999994</v>
      </c>
      <c r="D97" s="179">
        <f t="shared" si="6"/>
        <v>347.4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80</v>
      </c>
      <c r="B98" s="181">
        <f>'Données projet'!D101</f>
        <v>275</v>
      </c>
      <c r="C98" s="191">
        <v>38.599999999999994</v>
      </c>
      <c r="D98" s="179">
        <f t="shared" si="6"/>
        <v>10614.999999999998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15</v>
      </c>
      <c r="C116" s="191">
        <v>8</v>
      </c>
      <c r="D116" s="179">
        <f>B116*C116</f>
        <v>120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28</v>
      </c>
      <c r="C117" s="191">
        <v>8</v>
      </c>
      <c r="D117" s="179">
        <f t="shared" ref="D117:D135" si="8">B117*C117</f>
        <v>224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25</v>
      </c>
      <c r="B118" s="181">
        <f>'Données projet'!D116</f>
        <v>28</v>
      </c>
      <c r="C118" s="191">
        <v>8</v>
      </c>
      <c r="D118" s="179">
        <f t="shared" si="8"/>
        <v>224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30</v>
      </c>
      <c r="B119" s="181">
        <f>'Données projet'!D117</f>
        <v>28</v>
      </c>
      <c r="C119" s="191">
        <v>8</v>
      </c>
      <c r="D119" s="179">
        <f t="shared" si="8"/>
        <v>224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35</v>
      </c>
      <c r="B120" s="181">
        <f>'Données projet'!D118</f>
        <v>28</v>
      </c>
      <c r="C120" s="191">
        <v>8</v>
      </c>
      <c r="D120" s="179">
        <f t="shared" si="8"/>
        <v>224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40</v>
      </c>
      <c r="B121" s="181">
        <f>'Données projet'!D119</f>
        <v>28</v>
      </c>
      <c r="C121" s="191">
        <v>11.000000000000002</v>
      </c>
      <c r="D121" s="179">
        <f t="shared" si="8"/>
        <v>308.00000000000006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45</v>
      </c>
      <c r="B122" s="181">
        <f>'Données projet'!D120</f>
        <v>22</v>
      </c>
      <c r="C122" s="191">
        <v>14.799999999999999</v>
      </c>
      <c r="D122" s="179">
        <f t="shared" si="8"/>
        <v>325.59999999999997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50</v>
      </c>
      <c r="B123" s="181">
        <f>'Données projet'!D121</f>
        <v>17</v>
      </c>
      <c r="C123" s="191">
        <v>22.8</v>
      </c>
      <c r="D123" s="179">
        <f t="shared" si="8"/>
        <v>387.6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55</v>
      </c>
      <c r="B124" s="181">
        <f>'Données projet'!D122</f>
        <v>13</v>
      </c>
      <c r="C124" s="191">
        <v>30.8</v>
      </c>
      <c r="D124" s="179">
        <f t="shared" si="8"/>
        <v>400.40000000000003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60</v>
      </c>
      <c r="B125" s="181">
        <f>'Données projet'!D123</f>
        <v>12</v>
      </c>
      <c r="C125" s="191">
        <v>38.599999999999994</v>
      </c>
      <c r="D125" s="179">
        <f t="shared" si="8"/>
        <v>463.19999999999993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65</v>
      </c>
      <c r="B126" s="181">
        <f>'Données projet'!D124</f>
        <v>11</v>
      </c>
      <c r="C126" s="191">
        <v>38.599999999999994</v>
      </c>
      <c r="D126" s="179">
        <f t="shared" si="8"/>
        <v>424.59999999999991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70</v>
      </c>
      <c r="B127" s="181">
        <f>'Données projet'!D125</f>
        <v>10</v>
      </c>
      <c r="C127" s="191">
        <v>38.599999999999994</v>
      </c>
      <c r="D127" s="179">
        <f t="shared" si="8"/>
        <v>385.99999999999994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75</v>
      </c>
      <c r="B128" s="181">
        <f>'Données projet'!D126</f>
        <v>9</v>
      </c>
      <c r="C128" s="191">
        <v>38.599999999999994</v>
      </c>
      <c r="D128" s="179">
        <f t="shared" si="8"/>
        <v>347.4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80</v>
      </c>
      <c r="B129" s="181">
        <f>'Données projet'!D127</f>
        <v>275</v>
      </c>
      <c r="C129" s="191">
        <v>38.599999999999994</v>
      </c>
      <c r="D129" s="179">
        <f t="shared" si="8"/>
        <v>10614.999999999998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Peuplier Trichobel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>
        <v>0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15</v>
      </c>
      <c r="B148" s="175">
        <f>'Données projet'!D141</f>
        <v>0</v>
      </c>
      <c r="C148" s="191">
        <v>0</v>
      </c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20</v>
      </c>
      <c r="B149" s="175">
        <f>'Données projet'!D142</f>
        <v>0</v>
      </c>
      <c r="C149" s="191">
        <v>0</v>
      </c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22</v>
      </c>
      <c r="B150" s="175">
        <f>'Données projet'!D143</f>
        <v>0</v>
      </c>
      <c r="C150" s="191">
        <v>0</v>
      </c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24</v>
      </c>
      <c r="B151" s="175">
        <f>'Données projet'!D144</f>
        <v>0</v>
      </c>
      <c r="C151" s="191">
        <v>0</v>
      </c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26</v>
      </c>
      <c r="B152" s="175">
        <f>'Données projet'!D145</f>
        <v>449</v>
      </c>
      <c r="C152" s="191">
        <v>28.75</v>
      </c>
      <c r="D152" s="182">
        <f t="shared" si="10"/>
        <v>12908.75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Peuplier Koster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15</v>
      </c>
      <c r="B179" s="181">
        <f>'Données projet'!D167</f>
        <v>0</v>
      </c>
      <c r="C179" s="193">
        <v>0</v>
      </c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20</v>
      </c>
      <c r="B180" s="181">
        <f>'Données projet'!D168</f>
        <v>0</v>
      </c>
      <c r="C180" s="193">
        <v>0</v>
      </c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22</v>
      </c>
      <c r="B181" s="181">
        <f>'Données projet'!D169</f>
        <v>0</v>
      </c>
      <c r="C181" s="193">
        <v>0</v>
      </c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24</v>
      </c>
      <c r="B182" s="181">
        <f>'Données projet'!D170</f>
        <v>0</v>
      </c>
      <c r="C182" s="193">
        <v>0</v>
      </c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26</v>
      </c>
      <c r="B183" s="181">
        <f>'Données projet'!D171</f>
        <v>449</v>
      </c>
      <c r="C183" s="193">
        <v>28.75</v>
      </c>
      <c r="D183" s="179">
        <f t="shared" si="11"/>
        <v>12908.75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Merisier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15</v>
      </c>
      <c r="B209" s="181">
        <f>'Données projet'!D192</f>
        <v>3</v>
      </c>
      <c r="C209" s="193">
        <v>8</v>
      </c>
      <c r="D209" s="179">
        <f>B209*C209</f>
        <v>24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20</v>
      </c>
      <c r="B210" s="181">
        <f>'Données projet'!D193</f>
        <v>25</v>
      </c>
      <c r="C210" s="193">
        <v>8</v>
      </c>
      <c r="D210" s="179">
        <f t="shared" ref="D210:D228" si="12">B210*C210</f>
        <v>200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25</v>
      </c>
      <c r="B211" s="181">
        <f>'Données projet'!D194</f>
        <v>27</v>
      </c>
      <c r="C211" s="193">
        <v>8</v>
      </c>
      <c r="D211" s="179">
        <f t="shared" si="12"/>
        <v>216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31</v>
      </c>
      <c r="B212" s="181">
        <f>'Données projet'!D195</f>
        <v>36</v>
      </c>
      <c r="C212" s="193">
        <v>8</v>
      </c>
      <c r="D212" s="179">
        <f t="shared" si="12"/>
        <v>288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37</v>
      </c>
      <c r="B213" s="181">
        <f>'Données projet'!D196</f>
        <v>36</v>
      </c>
      <c r="C213" s="193">
        <v>8</v>
      </c>
      <c r="D213" s="179">
        <f t="shared" si="12"/>
        <v>288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44</v>
      </c>
      <c r="B214" s="181">
        <f>'Données projet'!D197</f>
        <v>43</v>
      </c>
      <c r="C214" s="193">
        <v>11.000000000000002</v>
      </c>
      <c r="D214" s="179">
        <f t="shared" si="12"/>
        <v>473.00000000000006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52</v>
      </c>
      <c r="B215" s="181">
        <f>'Données projet'!D198</f>
        <v>48</v>
      </c>
      <c r="C215" s="193">
        <v>14.799999999999999</v>
      </c>
      <c r="D215" s="179">
        <f t="shared" si="12"/>
        <v>710.4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60</v>
      </c>
      <c r="B216" s="181">
        <f>'Données projet'!D199</f>
        <v>47</v>
      </c>
      <c r="C216" s="193">
        <v>22.8</v>
      </c>
      <c r="D216" s="179">
        <f t="shared" si="12"/>
        <v>1071.6000000000001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69</v>
      </c>
      <c r="B217" s="181">
        <f>'Données projet'!D200</f>
        <v>328</v>
      </c>
      <c r="C217" s="193">
        <v>30.8</v>
      </c>
      <c r="D217" s="179">
        <f t="shared" si="12"/>
        <v>10102.4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Châtaignier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0</v>
      </c>
      <c r="C240" s="193">
        <v>8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25</v>
      </c>
      <c r="B241" s="181">
        <f>'Données projet'!D219</f>
        <v>26</v>
      </c>
      <c r="C241" s="193">
        <v>8</v>
      </c>
      <c r="D241" s="179">
        <f t="shared" ref="D241:D259" si="13">B241*C241</f>
        <v>208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30</v>
      </c>
      <c r="B242" s="181">
        <f>'Données projet'!D220</f>
        <v>35</v>
      </c>
      <c r="C242" s="193">
        <v>8</v>
      </c>
      <c r="D242" s="179">
        <f t="shared" si="13"/>
        <v>280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35</v>
      </c>
      <c r="B243" s="181">
        <f>'Données projet'!D221</f>
        <v>35</v>
      </c>
      <c r="C243" s="193">
        <v>8</v>
      </c>
      <c r="D243" s="179">
        <f t="shared" si="13"/>
        <v>280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40</v>
      </c>
      <c r="B244" s="181">
        <f>'Données projet'!D222</f>
        <v>35</v>
      </c>
      <c r="C244" s="193">
        <v>8</v>
      </c>
      <c r="D244" s="179">
        <f t="shared" si="13"/>
        <v>280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45</v>
      </c>
      <c r="B245" s="181">
        <f>'Données projet'!D223</f>
        <v>35</v>
      </c>
      <c r="C245" s="193">
        <v>11.000000000000002</v>
      </c>
      <c r="D245" s="179">
        <f t="shared" si="13"/>
        <v>385.00000000000006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50</v>
      </c>
      <c r="B246" s="181">
        <f>'Données projet'!D224</f>
        <v>35</v>
      </c>
      <c r="C246" s="193">
        <v>14.799999999999999</v>
      </c>
      <c r="D246" s="179">
        <f t="shared" si="13"/>
        <v>518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55</v>
      </c>
      <c r="B247" s="181">
        <f>'Données projet'!D225</f>
        <v>35</v>
      </c>
      <c r="C247" s="193">
        <v>22.8</v>
      </c>
      <c r="D247" s="179">
        <f t="shared" si="13"/>
        <v>798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60</v>
      </c>
      <c r="B248" s="181">
        <f>'Données projet'!D226</f>
        <v>35</v>
      </c>
      <c r="C248" s="193">
        <v>30.8</v>
      </c>
      <c r="D248" s="179">
        <f t="shared" si="13"/>
        <v>1078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65</v>
      </c>
      <c r="B249" s="181">
        <f>'Données projet'!D227</f>
        <v>35</v>
      </c>
      <c r="C249" s="193">
        <v>38.599999999999994</v>
      </c>
      <c r="D249" s="179">
        <f t="shared" si="13"/>
        <v>1350.9999999999998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70</v>
      </c>
      <c r="B250" s="181">
        <f>'Données projet'!D228</f>
        <v>35</v>
      </c>
      <c r="C250" s="193">
        <v>38.599999999999994</v>
      </c>
      <c r="D250" s="179">
        <f t="shared" si="13"/>
        <v>1350.9999999999998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75</v>
      </c>
      <c r="B251" s="181">
        <f>'Données projet'!D229</f>
        <v>35</v>
      </c>
      <c r="C251" s="193">
        <v>38.599999999999994</v>
      </c>
      <c r="D251" s="179">
        <f t="shared" si="13"/>
        <v>1350.9999999999998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80</v>
      </c>
      <c r="B252" s="181">
        <f>'Données projet'!D230</f>
        <v>34</v>
      </c>
      <c r="C252" s="193">
        <v>38.599999999999994</v>
      </c>
      <c r="D252" s="179">
        <f t="shared" si="13"/>
        <v>1312.3999999999999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85</v>
      </c>
      <c r="B253" s="181">
        <f>'Données projet'!D231</f>
        <v>33</v>
      </c>
      <c r="C253" s="193">
        <v>38.599999999999994</v>
      </c>
      <c r="D253" s="179">
        <f t="shared" si="13"/>
        <v>1273.7999999999997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90</v>
      </c>
      <c r="B254" s="181">
        <f>'Données projet'!D232</f>
        <v>31</v>
      </c>
      <c r="C254" s="193">
        <v>38.599999999999994</v>
      </c>
      <c r="D254" s="179">
        <f t="shared" si="13"/>
        <v>1196.5999999999999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95</v>
      </c>
      <c r="B255" s="181">
        <f>'Données projet'!D233</f>
        <v>30</v>
      </c>
      <c r="C255" s="193">
        <v>38.599999999999994</v>
      </c>
      <c r="D255" s="179">
        <f t="shared" si="13"/>
        <v>1157.9999999999998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100</v>
      </c>
      <c r="B256" s="181">
        <f>'Données projet'!D234</f>
        <v>29</v>
      </c>
      <c r="C256" s="193">
        <v>38.599999999999994</v>
      </c>
      <c r="D256" s="179">
        <f t="shared" si="13"/>
        <v>1119.3999999999999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105</v>
      </c>
      <c r="B257" s="181">
        <f>'Données projet'!D235</f>
        <v>28</v>
      </c>
      <c r="C257" s="193">
        <v>38.599999999999994</v>
      </c>
      <c r="D257" s="179">
        <f t="shared" si="13"/>
        <v>1080.7999999999997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110</v>
      </c>
      <c r="B258" s="181">
        <f>'Données projet'!D236</f>
        <v>27</v>
      </c>
      <c r="C258" s="193">
        <v>38.599999999999994</v>
      </c>
      <c r="D258" s="179">
        <f t="shared" si="13"/>
        <v>1042.1999999999998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115</v>
      </c>
      <c r="B259" s="181">
        <f>'Données projet'!D237</f>
        <v>501</v>
      </c>
      <c r="C259" s="193">
        <v>38.599999999999994</v>
      </c>
      <c r="D259" s="179">
        <f t="shared" si="13"/>
        <v>19338.599999999999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Aulne à feuilles en cœur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15</v>
      </c>
      <c r="B271" s="181">
        <f>'Données projet'!D244</f>
        <v>15</v>
      </c>
      <c r="C271" s="193">
        <v>8</v>
      </c>
      <c r="D271" s="179">
        <f>B271*C271</f>
        <v>120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20</v>
      </c>
      <c r="B272" s="181">
        <f>'Données projet'!D245</f>
        <v>28</v>
      </c>
      <c r="C272" s="193">
        <v>8</v>
      </c>
      <c r="D272" s="179">
        <f t="shared" ref="D272:D290" si="14">B272*C272</f>
        <v>224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25</v>
      </c>
      <c r="B273" s="181">
        <f>'Données projet'!D246</f>
        <v>28</v>
      </c>
      <c r="C273" s="193">
        <v>8</v>
      </c>
      <c r="D273" s="179">
        <f t="shared" si="14"/>
        <v>224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30</v>
      </c>
      <c r="B274" s="181">
        <f>'Données projet'!D247</f>
        <v>28</v>
      </c>
      <c r="C274" s="193">
        <v>8</v>
      </c>
      <c r="D274" s="179">
        <f t="shared" si="14"/>
        <v>224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35</v>
      </c>
      <c r="B275" s="181">
        <f>'Données projet'!D248</f>
        <v>28</v>
      </c>
      <c r="C275" s="193">
        <v>8</v>
      </c>
      <c r="D275" s="179">
        <f t="shared" si="14"/>
        <v>224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40</v>
      </c>
      <c r="B276" s="181">
        <f>'Données projet'!D249</f>
        <v>28</v>
      </c>
      <c r="C276" s="193">
        <v>11.000000000000002</v>
      </c>
      <c r="D276" s="179">
        <f t="shared" si="14"/>
        <v>308.00000000000006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45</v>
      </c>
      <c r="B277" s="181">
        <f>'Données projet'!D250</f>
        <v>22</v>
      </c>
      <c r="C277" s="193">
        <v>14.799999999999999</v>
      </c>
      <c r="D277" s="179">
        <f t="shared" si="14"/>
        <v>325.59999999999997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50</v>
      </c>
      <c r="B278" s="181">
        <f>'Données projet'!D251</f>
        <v>17</v>
      </c>
      <c r="C278" s="193">
        <v>22.8</v>
      </c>
      <c r="D278" s="179">
        <f t="shared" si="14"/>
        <v>387.6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55</v>
      </c>
      <c r="B279" s="181">
        <f>'Données projet'!D252</f>
        <v>13</v>
      </c>
      <c r="C279" s="193">
        <v>30.8</v>
      </c>
      <c r="D279" s="179">
        <f t="shared" si="14"/>
        <v>400.40000000000003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60</v>
      </c>
      <c r="B280" s="181">
        <f>'Données projet'!D253</f>
        <v>12</v>
      </c>
      <c r="C280" s="193">
        <v>38.599999999999994</v>
      </c>
      <c r="D280" s="179">
        <f t="shared" si="14"/>
        <v>463.19999999999993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65</v>
      </c>
      <c r="B281" s="181">
        <f>'Données projet'!D254</f>
        <v>11</v>
      </c>
      <c r="C281" s="193">
        <v>38.599999999999994</v>
      </c>
      <c r="D281" s="179">
        <f t="shared" si="14"/>
        <v>424.59999999999991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70</v>
      </c>
      <c r="B282" s="181">
        <f>'Données projet'!D255</f>
        <v>10</v>
      </c>
      <c r="C282" s="193">
        <v>38.599999999999994</v>
      </c>
      <c r="D282" s="179">
        <f t="shared" si="14"/>
        <v>385.99999999999994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75</v>
      </c>
      <c r="B283" s="181">
        <f>'Données projet'!D256</f>
        <v>9</v>
      </c>
      <c r="C283" s="193">
        <v>38.599999999999994</v>
      </c>
      <c r="D283" s="179">
        <f t="shared" si="14"/>
        <v>347.4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80</v>
      </c>
      <c r="B284" s="181">
        <f>'Données projet'!D257</f>
        <v>275</v>
      </c>
      <c r="C284" s="193">
        <v>38.599999999999994</v>
      </c>
      <c r="D284" s="179">
        <f t="shared" si="14"/>
        <v>10614.999999999998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ALVES PEREIRA Carolina</cp:lastModifiedBy>
  <dcterms:created xsi:type="dcterms:W3CDTF">2021-02-01T08:22:39Z</dcterms:created>
  <dcterms:modified xsi:type="dcterms:W3CDTF">2025-09-11T10:29:30Z</dcterms:modified>
</cp:coreProperties>
</file>