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GCF-FDI-FIC01\homedir$\carolina.alvespereir\Downloads\"/>
    </mc:Choice>
  </mc:AlternateContent>
  <xr:revisionPtr revIDLastSave="0" documentId="13_ncr:1_{D6E5F05E-2BBB-4D18-A06F-9B20B33C1A17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1" l="1"/>
  <c r="D179" i="1"/>
  <c r="D7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<sst xmlns="http://schemas.openxmlformats.org/spreadsheetml/2006/main" count="1181" uniqueCount="325">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</sst>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832.41941451556761</c:v>
                </c:pt>
                <c:pt idx="102">
                  <c:v>846.4440791959322</c:v>
                </c:pt>
                <c:pt idx="103">
                  <c:v>860.46407906531783</c:v>
                </c:pt>
                <c:pt idx="104">
                  <c:v>874.47950077026053</c:v>
                </c:pt>
                <c:pt idx="105">
                  <c:v>888.49042795607431</c:v>
                </c:pt>
                <c:pt idx="106">
                  <c:v>851.47743179391273</c:v>
                </c:pt>
                <c:pt idx="107">
                  <c:v>864.77700018720031</c:v>
                </c:pt>
                <c:pt idx="108">
                  <c:v>878.07247139987146</c:v>
                </c:pt>
                <c:pt idx="109">
                  <c:v>891.36391615659386</c:v>
                </c:pt>
                <c:pt idx="110">
                  <c:v>904.65140290281306</c:v>
                </c:pt>
                <c:pt idx="111">
                  <c:v>868.73013257971536</c:v>
                </c:pt>
                <c:pt idx="112">
                  <c:v>881.30589346877969</c:v>
                </c:pt>
                <c:pt idx="113">
                  <c:v>893.87806652905931</c:v>
                </c:pt>
                <c:pt idx="114">
                  <c:v>906.44670928963967</c:v>
                </c:pt>
                <c:pt idx="115">
                  <c:v>919.01187755558783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8.8044025208429719</c:v>
                </c:pt>
                <c:pt idx="2">
                  <c:v>17.221089273204196</c:v>
                </c:pt>
                <c:pt idx="3">
                  <c:v>25.512563294459923</c:v>
                </c:pt>
                <c:pt idx="4">
                  <c:v>33.726853274883347</c:v>
                </c:pt>
                <c:pt idx="5">
                  <c:v>41.885727391390851</c:v>
                </c:pt>
                <c:pt idx="6">
                  <c:v>50.00160312094232</c:v>
                </c:pt>
                <c:pt idx="7">
                  <c:v>58.082485530805052</c:v>
                </c:pt>
                <c:pt idx="8">
                  <c:v>66.133950466370564</c:v>
                </c:pt>
                <c:pt idx="9">
                  <c:v>74.160096244932106</c:v>
                </c:pt>
                <c:pt idx="10">
                  <c:v>82.164057018091427</c:v>
                </c:pt>
                <c:pt idx="11">
                  <c:v>90.148303834134651</c:v>
                </c:pt>
                <c:pt idx="12">
                  <c:v>98.114832690532054</c:v>
                </c:pt>
                <c:pt idx="13">
                  <c:v>106.06528794847596</c:v>
                </c:pt>
                <c:pt idx="14">
                  <c:v>114.0010466196989</c:v>
                </c:pt>
                <c:pt idx="15">
                  <c:v>121.9232778531174</c:v>
                </c:pt>
                <c:pt idx="16">
                  <c:v>129.83298609190561</c:v>
                </c:pt>
                <c:pt idx="17">
                  <c:v>137.73104312742694</c:v>
                </c:pt>
                <c:pt idx="18">
                  <c:v>145.61821239345747</c:v>
                </c:pt>
                <c:pt idx="19">
                  <c:v>153.49516770691636</c:v>
                </c:pt>
                <c:pt idx="20">
                  <c:v>161.362507950626</c:v>
                </c:pt>
                <c:pt idx="21">
                  <c:v>169.22076873606747</c:v>
                </c:pt>
                <c:pt idx="22">
                  <c:v>177.07043178171759</c:v>
                </c:pt>
                <c:pt idx="23">
                  <c:v>184.91193253803269</c:v>
                </c:pt>
                <c:pt idx="24">
                  <c:v>192.74566644892982</c:v>
                </c:pt>
                <c:pt idx="25">
                  <c:v>200.57199414028256</c:v>
                </c:pt>
                <c:pt idx="26">
                  <c:v>208.39124575488827</c:v>
                </c:pt>
                <c:pt idx="27">
                  <c:v>216.20372460175972</c:v>
                </c:pt>
                <c:pt idx="28">
                  <c:v>224.00971024958213</c:v>
                </c:pt>
                <c:pt idx="29">
                  <c:v>231.8094611658297</c:v>
                </c:pt>
                <c:pt idx="30">
                  <c:v>239.60321698163875</c:v>
                </c:pt>
                <c:pt idx="31">
                  <c:v>247.39120044621509</c:v>
                </c:pt>
                <c:pt idx="32">
                  <c:v>255.17361912197524</c:v>
                </c:pt>
                <c:pt idx="33">
                  <c:v>262.95066686184327</c:v>
                </c:pt>
                <c:pt idx="34">
                  <c:v>270.72252510244931</c:v>
                </c:pt>
                <c:pt idx="35">
                  <c:v>278.48936400091264</c:v>
                </c:pt>
                <c:pt idx="36">
                  <c:v>286.25134343805456</c:v>
                </c:pt>
                <c:pt idx="37">
                  <c:v>237.4118159146411</c:v>
                </c:pt>
                <c:pt idx="38">
                  <c:v>256.63221905446113</c:v>
                </c:pt>
                <c:pt idx="39">
                  <c:v>275.82006911547222</c:v>
                </c:pt>
                <c:pt idx="40">
                  <c:v>294.97794877206235</c:v>
                </c:pt>
                <c:pt idx="41">
                  <c:v>314.10807777988271</c:v>
                </c:pt>
                <c:pt idx="42">
                  <c:v>333.21238343704948</c:v>
                </c:pt>
                <c:pt idx="43">
                  <c:v>352.29255402604258</c:v>
                </c:pt>
                <c:pt idx="44">
                  <c:v>371.35008006494377</c:v>
                </c:pt>
                <c:pt idx="45">
                  <c:v>304.18312189352014</c:v>
                </c:pt>
                <c:pt idx="46">
                  <c:v>325.96051291867633</c:v>
                </c:pt>
                <c:pt idx="47">
                  <c:v>347.70577372743418</c:v>
                </c:pt>
                <c:pt idx="48">
                  <c:v>369.42119511414558</c:v>
                </c:pt>
                <c:pt idx="49">
                  <c:v>391.10877666986568</c:v>
                </c:pt>
                <c:pt idx="50">
                  <c:v>412.77027822799613</c:v>
                </c:pt>
                <c:pt idx="51">
                  <c:v>434.40725994376595</c:v>
                </c:pt>
                <c:pt idx="52">
                  <c:v>456.02111397099435</c:v>
                </c:pt>
                <c:pt idx="53">
                  <c:v>354.223437181012</c:v>
                </c:pt>
                <c:pt idx="54">
                  <c:v>373.76087912744418</c:v>
                </c:pt>
                <c:pt idx="55">
                  <c:v>393.27607323395705</c:v>
                </c:pt>
                <c:pt idx="56">
                  <c:v>412.77027822799613</c:v>
                </c:pt>
                <c:pt idx="57">
                  <c:v>432.24462429583883</c:v>
                </c:pt>
                <c:pt idx="58">
                  <c:v>451.70013152794922</c:v>
                </c:pt>
                <c:pt idx="59">
                  <c:v>471.13772502101688</c:v>
                </c:pt>
                <c:pt idx="60">
                  <c:v>490.55824735832431</c:v>
                </c:pt>
                <c:pt idx="61">
                  <c:v>403.46694653037821</c:v>
                </c:pt>
                <c:pt idx="62">
                  <c:v>420.14556032232667</c:v>
                </c:pt>
                <c:pt idx="63">
                  <c:v>436.80991738516144</c:v>
                </c:pt>
                <c:pt idx="64">
                  <c:v>453.46063798380879</c:v>
                </c:pt>
                <c:pt idx="65">
                  <c:v>470.09829313332119</c:v>
                </c:pt>
                <c:pt idx="66">
                  <c:v>486.72341015001916</c:v>
                </c:pt>
                <c:pt idx="67">
                  <c:v>503.33647740486361</c:v>
                </c:pt>
                <c:pt idx="68">
                  <c:v>519.93794841677959</c:v>
                </c:pt>
                <c:pt idx="69">
                  <c:v>536.52824539615131</c:v>
                </c:pt>
                <c:pt idx="70">
                  <c:v>454.31416423194418</c:v>
                </c:pt>
                <c:pt idx="71">
                  <c:v>469.88507028774637</c:v>
                </c:pt>
                <c:pt idx="72">
                  <c:v>485.44498879797311</c:v>
                </c:pt>
                <c:pt idx="73">
                  <c:v>500.99432141253783</c:v>
                </c:pt>
                <c:pt idx="74">
                  <c:v>516.53344282577962</c:v>
                </c:pt>
                <c:pt idx="75">
                  <c:v>532.06270335879174</c:v>
                </c:pt>
                <c:pt idx="76">
                  <c:v>547.58243122468434</c:v>
                </c:pt>
                <c:pt idx="77">
                  <c:v>563.09293452377176</c:v>
                </c:pt>
                <c:pt idx="78">
                  <c:v>578.5945030075876</c:v>
                </c:pt>
                <c:pt idx="79">
                  <c:v>499.71668415449676</c:v>
                </c:pt>
                <c:pt idx="80">
                  <c:v>514.61820052476094</c:v>
                </c:pt>
                <c:pt idx="81">
                  <c:v>529.51061140708282</c:v>
                </c:pt>
                <c:pt idx="82">
                  <c:v>544.39420886236155</c:v>
                </c:pt>
                <c:pt idx="83">
                  <c:v>559.2692676862448</c:v>
                </c:pt>
                <c:pt idx="84">
                  <c:v>574.13604687135296</c:v>
                </c:pt>
                <c:pt idx="85">
                  <c:v>588.99479091023716</c:v>
                </c:pt>
                <c:pt idx="86">
                  <c:v>603.84573096007898</c:v>
                </c:pt>
                <c:pt idx="87">
                  <c:v>618.68908588691181</c:v>
                </c:pt>
                <c:pt idx="88">
                  <c:v>546.73227677798229</c:v>
                </c:pt>
                <c:pt idx="89">
                  <c:v>560.7563140447694</c:v>
                </c:pt>
                <c:pt idx="90">
                  <c:v>574.77301329675186</c:v>
                </c:pt>
                <c:pt idx="91">
                  <c:v>588.7825786199727</c:v>
                </c:pt>
                <c:pt idx="92">
                  <c:v>602.78520360071263</c:v>
                </c:pt>
                <c:pt idx="93">
                  <c:v>616.7810721021084</c:v>
                </c:pt>
                <c:pt idx="94">
                  <c:v>630.77035896665097</c:v>
                </c:pt>
                <c:pt idx="95">
                  <c:v>644.75323065315456</c:v>
                </c:pt>
                <c:pt idx="96">
                  <c:v>658.72984581562605</c:v>
                </c:pt>
                <c:pt idx="97">
                  <c:v>588.35814925949501</c:v>
                </c:pt>
                <c:pt idx="98">
                  <c:v>601.93675380071136</c:v>
                </c:pt>
                <c:pt idx="99">
                  <c:v>615.50899495391707</c:v>
                </c:pt>
                <c:pt idx="100">
                  <c:v>629.07503274134626</c:v>
                </c:pt>
                <c:pt idx="101">
                  <c:v>642.635019724024</c:v>
                </c:pt>
                <c:pt idx="102">
                  <c:v>656.18910150302543</c:v>
                </c:pt>
                <c:pt idx="103">
                  <c:v>669.73741717718713</c:v>
                </c:pt>
                <c:pt idx="104">
                  <c:v>683.28009976187866</c:v>
                </c:pt>
                <c:pt idx="105">
                  <c:v>696.81727657286763</c:v>
                </c:pt>
                <c:pt idx="106">
                  <c:v>628.22733419629901</c:v>
                </c:pt>
                <c:pt idx="107">
                  <c:v>641.57586023448323</c:v>
                </c:pt>
                <c:pt idx="108">
                  <c:v>654.91865339125661</c:v>
                </c:pt>
                <c:pt idx="109">
                  <c:v>668.25584686179866</c:v>
                </c:pt>
                <c:pt idx="110">
                  <c:v>681.58756809397516</c:v>
                </c:pt>
                <c:pt idx="111">
                  <c:v>694.91393914623495</c:v>
                </c:pt>
                <c:pt idx="112">
                  <c:v>708.2350770166446</c:v>
                </c:pt>
                <c:pt idx="113">
                  <c:v>721.55109394589601</c:v>
                </c:pt>
                <c:pt idx="114">
                  <c:v>734.86209769679965</c:v>
                </c:pt>
                <c:pt idx="115">
                  <c:v>666.13920061354315</c:v>
                </c:pt>
                <c:pt idx="116">
                  <c:v>679.26019614635629</c:v>
                </c:pt>
                <c:pt idx="117">
                  <c:v>692.37598973245292</c:v>
                </c:pt>
                <c:pt idx="118">
                  <c:v>705.48669374356086</c:v>
                </c:pt>
                <c:pt idx="119">
                  <c:v>718.59241603672206</c:v>
                </c:pt>
                <c:pt idx="120">
                  <c:v>731.6932602164178</c:v>
                </c:pt>
                <c:pt idx="121">
                  <c:v>744.78932587695897</c:v>
                </c:pt>
                <c:pt idx="122">
                  <c:v>757.88070882695445</c:v>
                </c:pt>
                <c:pt idx="123">
                  <c:v>770.96750129747295</c:v>
                </c:pt>
                <c:pt idx="124">
                  <c:v>706.33237341600227</c:v>
                </c:pt>
                <c:pt idx="125">
                  <c:v>719.6491152090033</c:v>
                </c:pt>
                <c:pt idx="126">
                  <c:v>732.96082869312124</c:v>
                </c:pt>
                <c:pt idx="127">
                  <c:v>746.2676179992435</c:v>
                </c:pt>
                <c:pt idx="128">
                  <c:v>759.5695832444593</c:v>
                </c:pt>
                <c:pt idx="129">
                  <c:v>772.86682075581473</c:v>
                </c:pt>
                <c:pt idx="130">
                  <c:v>786.15942327787707</c:v>
                </c:pt>
                <c:pt idx="131">
                  <c:v>799.44748016554638</c:v>
                </c:pt>
                <c:pt idx="132">
                  <c:v>812.7310775633897</c:v>
                </c:pt>
                <c:pt idx="133">
                  <c:v>746.47879772357555</c:v>
                </c:pt>
                <c:pt idx="134">
                  <c:v>759.99178993037003</c:v>
                </c:pt>
                <c:pt idx="135">
                  <c:v>773.49990620972676</c:v>
                </c:pt>
                <c:pt idx="136">
                  <c:v>787.00324364912785</c:v>
                </c:pt>
                <c:pt idx="137">
                  <c:v>800.50189573532555</c:v>
                </c:pt>
                <c:pt idx="138">
                  <c:v>813.9959525476055</c:v>
                </c:pt>
                <c:pt idx="139">
                  <c:v>827.48550093758092</c:v>
                </c:pt>
                <c:pt idx="140">
                  <c:v>840.97062469666037</c:v>
                </c:pt>
                <c:pt idx="141">
                  <c:v>854.45140471222987</c:v>
                </c:pt>
                <c:pt idx="142">
                  <c:v>782.52023774531926</c:v>
                </c:pt>
                <c:pt idx="143">
                  <c:v>795.96770927094894</c:v>
                </c:pt>
                <c:pt idx="144">
                  <c:v>809.41059169599203</c:v>
                </c:pt>
                <c:pt idx="145">
                  <c:v>822.84897191684365</c:v>
                </c:pt>
                <c:pt idx="146">
                  <c:v>836.28293376251315</c:v>
                </c:pt>
                <c:pt idx="147">
                  <c:v>849.71255815145241</c:v>
                </c:pt>
                <c:pt idx="148">
                  <c:v>863.13792323796235</c:v>
                </c:pt>
                <c:pt idx="149">
                  <c:v>876.55910454902858</c:v>
                </c:pt>
                <c:pt idx="150">
                  <c:v>889.97617511234773</c:v>
                </c:pt>
                <c:pt idx="151">
                  <c:v>903.38920557623862</c:v>
                </c:pt>
                <c:pt idx="152">
                  <c:v>916.79826432207267</c:v>
                </c:pt>
                <c:pt idx="153">
                  <c:v>930.20341756978689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2.2905884821016174</c:v>
                </c:pt>
                <c:pt idx="2">
                  <c:v>2.7806391363113296</c:v>
                </c:pt>
                <c:pt idx="3">
                  <c:v>3.3759301901802239</c:v>
                </c:pt>
                <c:pt idx="4">
                  <c:v>4.099143282634464</c:v>
                </c:pt>
                <c:pt idx="5">
                  <c:v>4.9778647811784866</c:v>
                </c:pt>
                <c:pt idx="6">
                  <c:v>6.045649679899987</c:v>
                </c:pt>
                <c:pt idx="7">
                  <c:v>7.3433169303918868</c:v>
                </c:pt>
                <c:pt idx="8">
                  <c:v>8.9205266819032492</c:v>
                </c:pt>
                <c:pt idx="9">
                  <c:v>10.837700942422877</c:v>
                </c:pt>
                <c:pt idx="10">
                  <c:v>13.168362625644917</c:v>
                </c:pt>
                <c:pt idx="11">
                  <c:v>16.001984350656915</c:v>
                </c:pt>
                <c:pt idx="12">
                  <c:v>19.447458359250124</c:v>
                </c:pt>
                <c:pt idx="13">
                  <c:v>23.637323299944232</c:v>
                </c:pt>
                <c:pt idx="14">
                  <c:v>28.732913361935303</c:v>
                </c:pt>
                <c:pt idx="15">
                  <c:v>34.930631502141807</c:v>
                </c:pt>
                <c:pt idx="16">
                  <c:v>42.469592729158251</c:v>
                </c:pt>
                <c:pt idx="17">
                  <c:v>51.640937340027314</c:v>
                </c:pt>
                <c:pt idx="18">
                  <c:v>62.799179785769574</c:v>
                </c:pt>
                <c:pt idx="19">
                  <c:v>76.376039076760833</c:v>
                </c:pt>
                <c:pt idx="20">
                  <c:v>92.897294511118176</c:v>
                </c:pt>
                <c:pt idx="21">
                  <c:v>110.61638527930711</c:v>
                </c:pt>
                <c:pt idx="22">
                  <c:v>128.2656339177079</c:v>
                </c:pt>
                <c:pt idx="23">
                  <c:v>145.85602540789642</c:v>
                </c:pt>
                <c:pt idx="24">
                  <c:v>163.39566695137304</c:v>
                </c:pt>
                <c:pt idx="25">
                  <c:v>180.89077768928109</c:v>
                </c:pt>
                <c:pt idx="26">
                  <c:v>158.93547642720694</c:v>
                </c:pt>
                <c:pt idx="27">
                  <c:v>178.3486013074241</c:v>
                </c:pt>
                <c:pt idx="28">
                  <c:v>197.71217376629156</c:v>
                </c:pt>
                <c:pt idx="29">
                  <c:v>217.0317313188167</c:v>
                </c:pt>
                <c:pt idx="30">
                  <c:v>236.3117437149856</c:v>
                </c:pt>
                <c:pt idx="31">
                  <c:v>201.19913913928846</c:v>
                </c:pt>
                <c:pt idx="32">
                  <c:v>221.46000423097382</c:v>
                </c:pt>
                <c:pt idx="33">
                  <c:v>241.67832984636482</c:v>
                </c:pt>
                <c:pt idx="34">
                  <c:v>261.85817498084765</c:v>
                </c:pt>
                <c:pt idx="35">
                  <c:v>282.00292156784502</c:v>
                </c:pt>
                <c:pt idx="36">
                  <c:v>247.98849436354377</c:v>
                </c:pt>
                <c:pt idx="37">
                  <c:v>269.10157451791832</c:v>
                </c:pt>
                <c:pt idx="38">
                  <c:v>290.17736922706086</c:v>
                </c:pt>
                <c:pt idx="39">
                  <c:v>311.21896638426068</c:v>
                </c:pt>
                <c:pt idx="40">
                  <c:v>332.22900222431554</c:v>
                </c:pt>
                <c:pt idx="41">
                  <c:v>298.97487129723987</c:v>
                </c:pt>
                <c:pt idx="42">
                  <c:v>320.63020395999428</c:v>
                </c:pt>
                <c:pt idx="43">
                  <c:v>342.25318435718253</c:v>
                </c:pt>
                <c:pt idx="44">
                  <c:v>363.84614273023845</c:v>
                </c:pt>
                <c:pt idx="45">
                  <c:v>385.41111025063861</c:v>
                </c:pt>
                <c:pt idx="46">
                  <c:v>351.95795503306795</c:v>
                </c:pt>
                <c:pt idx="47">
                  <c:v>373.22554483512414</c:v>
                </c:pt>
                <c:pt idx="48">
                  <c:v>394.46673042704862</c:v>
                </c:pt>
                <c:pt idx="49">
                  <c:v>415.68313267172863</c:v>
                </c:pt>
                <c:pt idx="50">
                  <c:v>436.8761935627694</c:v>
                </c:pt>
                <c:pt idx="51">
                  <c:v>403.20581160192501</c:v>
                </c:pt>
                <c:pt idx="52">
                  <c:v>424.10074342303164</c:v>
                </c:pt>
                <c:pt idx="53">
                  <c:v>444.97352949948726</c:v>
                </c:pt>
                <c:pt idx="54">
                  <c:v>465.82535403997502</c:v>
                </c:pt>
                <c:pt idx="55">
                  <c:v>486.65728665769035</c:v>
                </c:pt>
                <c:pt idx="56">
                  <c:v>452.44519132126362</c:v>
                </c:pt>
                <c:pt idx="57">
                  <c:v>472.66783431793465</c:v>
                </c:pt>
                <c:pt idx="58">
                  <c:v>492.87206528378414</c:v>
                </c:pt>
                <c:pt idx="59">
                  <c:v>513.05874462471218</c:v>
                </c:pt>
                <c:pt idx="60">
                  <c:v>533.22865956797193</c:v>
                </c:pt>
                <c:pt idx="61">
                  <c:v>498.15332008482181</c:v>
                </c:pt>
                <c:pt idx="62">
                  <c:v>517.40442486531765</c:v>
                </c:pt>
                <c:pt idx="63">
                  <c:v>536.64042379930981</c:v>
                </c:pt>
                <c:pt idx="64">
                  <c:v>555.86193417017216</c:v>
                </c:pt>
                <c:pt idx="65">
                  <c:v>575.06952712161171</c:v>
                </c:pt>
                <c:pt idx="66">
                  <c:v>539.12142030708435</c:v>
                </c:pt>
                <c:pt idx="67">
                  <c:v>557.41144220282024</c:v>
                </c:pt>
                <c:pt idx="68">
                  <c:v>575.68890126042152</c:v>
                </c:pt>
                <c:pt idx="69">
                  <c:v>593.9542521947759</c:v>
                </c:pt>
                <c:pt idx="70">
                  <c:v>612.20791949490581</c:v>
                </c:pt>
                <c:pt idx="71">
                  <c:v>575.06952712161171</c:v>
                </c:pt>
                <c:pt idx="72">
                  <c:v>592.09729944083642</c:v>
                </c:pt>
                <c:pt idx="73">
                  <c:v>609.11488251844457</c:v>
                </c:pt>
                <c:pt idx="74">
                  <c:v>626.12260091177302</c:v>
                </c:pt>
                <c:pt idx="75">
                  <c:v>643.12076012119758</c:v>
                </c:pt>
                <c:pt idx="76">
                  <c:v>605.09344671374674</c:v>
                </c:pt>
                <c:pt idx="77">
                  <c:v>621.17590016893803</c:v>
                </c:pt>
                <c:pt idx="78">
                  <c:v>637.24973118867945</c:v>
                </c:pt>
                <c:pt idx="79">
                  <c:v>653.31518774818312</c:v>
                </c:pt>
                <c:pt idx="80">
                  <c:v>669.37250464126396</c:v>
                </c:pt>
                <c:pt idx="81">
                  <c:v>631.6866727650571</c:v>
                </c:pt>
                <c:pt idx="82">
                  <c:v>646.51927049967128</c:v>
                </c:pt>
                <c:pt idx="83">
                  <c:v>661.34484946507996</c:v>
                </c:pt>
                <c:pt idx="84">
                  <c:v>676.16358906976052</c:v>
                </c:pt>
                <c:pt idx="85">
                  <c:v>690.97566022245303</c:v>
                </c:pt>
                <c:pt idx="86">
                  <c:v>654.24179047884718</c:v>
                </c:pt>
                <c:pt idx="87">
                  <c:v>668.44633825452308</c:v>
                </c:pt>
                <c:pt idx="88">
                  <c:v>682.64468094518372</c:v>
                </c:pt>
                <c:pt idx="89">
                  <c:v>696.83696571346809</c:v>
                </c:pt>
                <c:pt idx="90">
                  <c:v>711.02333324275389</c:v>
                </c:pt>
                <c:pt idx="91">
                  <c:v>676.47224132243139</c:v>
                </c:pt>
                <c:pt idx="92">
                  <c:v>689.741571630051</c:v>
                </c:pt>
                <c:pt idx="93">
                  <c:v>703.00567062081757</c:v>
                </c:pt>
                <c:pt idx="94">
                  <c:v>716.26465084747326</c:v>
                </c:pt>
                <c:pt idx="95">
                  <c:v>729.51862035860461</c:v>
                </c:pt>
                <c:pt idx="96">
                  <c:v>695.91156378380265</c:v>
                </c:pt>
                <c:pt idx="97">
                  <c:v>708.55655798561486</c:v>
                </c:pt>
                <c:pt idx="98">
                  <c:v>721.19694014838376</c:v>
                </c:pt>
                <c:pt idx="99">
                  <c:v>733.83280245167361</c:v>
                </c:pt>
                <c:pt idx="100">
                  <c:v>746.46423364366728</c:v>
                </c:pt>
                <c:pt idx="101">
                  <c:v>713.79824639820242</c:v>
                </c:pt>
                <c:pt idx="102">
                  <c:v>725.82033615601756</c:v>
                </c:pt>
                <c:pt idx="103">
                  <c:v>737.83836601468522</c:v>
                </c:pt>
                <c:pt idx="104">
                  <c:v>749.85241138480615</c:v>
                </c:pt>
                <c:pt idx="105">
                  <c:v>761.86254506494276</c:v>
                </c:pt>
                <c:pt idx="106">
                  <c:v>730.13496384821019</c:v>
                </c:pt>
                <c:pt idx="107">
                  <c:v>741.5354163128369</c:v>
                </c:pt>
                <c:pt idx="108">
                  <c:v>752.93230290091105</c:v>
                </c:pt>
                <c:pt idx="109">
                  <c:v>764.3256851658407</c:v>
                </c:pt>
                <c:pt idx="110">
                  <c:v>775.71562267737272</c:v>
                </c:pt>
                <c:pt idx="111">
                  <c:v>744.92404955007294</c:v>
                </c:pt>
                <c:pt idx="112">
                  <c:v>755.7039863807662</c:v>
                </c:pt>
                <c:pt idx="113">
                  <c:v>766.48080063627015</c:v>
                </c:pt>
                <c:pt idx="114">
                  <c:v>777.25454238555574</c:v>
                </c:pt>
                <c:pt idx="115">
                  <c:v>788.02526019713798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2.2484083617422774</c:v>
                </c:pt>
                <c:pt idx="2">
                  <c:v>2.9858086378882205</c:v>
                </c:pt>
                <c:pt idx="3">
                  <c:v>3.966049385322425</c:v>
                </c:pt>
                <c:pt idx="4">
                  <c:v>5.2694125595905703</c:v>
                </c:pt>
                <c:pt idx="5">
                  <c:v>7.0028166718675555</c:v>
                </c:pt>
                <c:pt idx="6">
                  <c:v>9.308683920204837</c:v>
                </c:pt>
                <c:pt idx="7">
                  <c:v>12.376768160861985</c:v>
                </c:pt>
                <c:pt idx="8">
                  <c:v>16.45993513943974</c:v>
                </c:pt>
                <c:pt idx="9">
                  <c:v>21.895219213522427</c:v>
                </c:pt>
                <c:pt idx="10">
                  <c:v>29.131925588483782</c:v>
                </c:pt>
                <c:pt idx="11">
                  <c:v>40.38408275654303</c:v>
                </c:pt>
                <c:pt idx="12">
                  <c:v>61.778431447211325</c:v>
                </c:pt>
                <c:pt idx="13">
                  <c:v>82.977111558343836</c:v>
                </c:pt>
                <c:pt idx="14">
                  <c:v>104.03799845051206</c:v>
                </c:pt>
                <c:pt idx="15">
                  <c:v>124.99313535308771</c:v>
                </c:pt>
                <c:pt idx="16">
                  <c:v>87.603616131814988</c:v>
                </c:pt>
                <c:pt idx="17">
                  <c:v>110.65058636488233</c:v>
                </c:pt>
                <c:pt idx="18">
                  <c:v>133.57915795884722</c:v>
                </c:pt>
                <c:pt idx="19">
                  <c:v>156.41260103328369</c:v>
                </c:pt>
                <c:pt idx="20">
                  <c:v>179.16678741707778</c:v>
                </c:pt>
                <c:pt idx="21">
                  <c:v>143.2939477623888</c:v>
                </c:pt>
                <c:pt idx="22">
                  <c:v>167.22993767644604</c:v>
                </c:pt>
                <c:pt idx="23">
                  <c:v>191.08500506258926</c:v>
                </c:pt>
                <c:pt idx="24">
                  <c:v>214.87068229433348</c:v>
                </c:pt>
                <c:pt idx="25">
                  <c:v>238.59573324490532</c:v>
                </c:pt>
                <c:pt idx="26">
                  <c:v>202.41958191649721</c:v>
                </c:pt>
                <c:pt idx="27">
                  <c:v>225.61050422909818</c:v>
                </c:pt>
                <c:pt idx="28">
                  <c:v>248.7468092558544</c:v>
                </c:pt>
                <c:pt idx="29">
                  <c:v>271.83429043682327</c:v>
                </c:pt>
                <c:pt idx="30">
                  <c:v>294.87767605242163</c:v>
                </c:pt>
                <c:pt idx="31">
                  <c:v>257.19884285520715</c:v>
                </c:pt>
                <c:pt idx="32">
                  <c:v>278.58307172178723</c:v>
                </c:pt>
                <c:pt idx="33">
                  <c:v>299.93048004385565</c:v>
                </c:pt>
                <c:pt idx="34">
                  <c:v>321.24405593004218</c:v>
                </c:pt>
                <c:pt idx="35">
                  <c:v>342.52635862596304</c:v>
                </c:pt>
                <c:pt idx="36">
                  <c:v>302.17555997473158</c:v>
                </c:pt>
                <c:pt idx="37">
                  <c:v>320.6835834239742</c:v>
                </c:pt>
                <c:pt idx="38">
                  <c:v>339.16798011936345</c:v>
                </c:pt>
                <c:pt idx="39">
                  <c:v>357.63021843517191</c:v>
                </c:pt>
                <c:pt idx="40">
                  <c:v>376.07160279648701</c:v>
                </c:pt>
                <c:pt idx="41">
                  <c:v>336.08882358493884</c:v>
                </c:pt>
                <c:pt idx="42">
                  <c:v>352.0378599039052</c:v>
                </c:pt>
                <c:pt idx="43">
                  <c:v>367.97106108239922</c:v>
                </c:pt>
                <c:pt idx="44">
                  <c:v>383.88920919164838</c:v>
                </c:pt>
                <c:pt idx="45">
                  <c:v>399.79301616201747</c:v>
                </c:pt>
                <c:pt idx="46">
                  <c:v>377.18861860717419</c:v>
                </c:pt>
                <c:pt idx="47">
                  <c:v>390.86628899650509</c:v>
                </c:pt>
                <c:pt idx="48">
                  <c:v>404.5335783841735</c:v>
                </c:pt>
                <c:pt idx="49">
                  <c:v>418.19088688764913</c:v>
                </c:pt>
                <c:pt idx="50">
                  <c:v>431.83858635941419</c:v>
                </c:pt>
                <c:pt idx="51">
                  <c:v>414.28979501974959</c:v>
                </c:pt>
                <c:pt idx="52">
                  <c:v>425.99072614453195</c:v>
                </c:pt>
                <c:pt idx="53">
                  <c:v>437.68474556682253</c:v>
                </c:pt>
                <c:pt idx="54">
                  <c:v>449.37206399490151</c:v>
                </c:pt>
                <c:pt idx="55">
                  <c:v>461.05288028198453</c:v>
                </c:pt>
                <c:pt idx="56">
                  <c:v>446.31173599617085</c:v>
                </c:pt>
                <c:pt idx="57">
                  <c:v>456.60380000846493</c:v>
                </c:pt>
                <c:pt idx="58">
                  <c:v>466.89090926022874</c:v>
                </c:pt>
                <c:pt idx="59">
                  <c:v>477.17318832913844</c:v>
                </c:pt>
                <c:pt idx="60">
                  <c:v>487.45075598527472</c:v>
                </c:pt>
                <c:pt idx="61">
                  <c:v>472.17159422788382</c:v>
                </c:pt>
                <c:pt idx="62">
                  <c:v>480.5069641508781</c:v>
                </c:pt>
                <c:pt idx="63">
                  <c:v>488.83926137072262</c:v>
                </c:pt>
                <c:pt idx="64">
                  <c:v>497.16854566479316</c:v>
                </c:pt>
                <c:pt idx="65">
                  <c:v>505.4948746435191</c:v>
                </c:pt>
                <c:pt idx="66">
                  <c:v>490.50535738960554</c:v>
                </c:pt>
                <c:pt idx="67">
                  <c:v>497.72372558122476</c:v>
                </c:pt>
                <c:pt idx="68">
                  <c:v>504.93987686355644</c:v>
                </c:pt>
                <c:pt idx="69">
                  <c:v>512.15384740014088</c:v>
                </c:pt>
                <c:pt idx="70">
                  <c:v>519.36567225225326</c:v>
                </c:pt>
                <c:pt idx="71">
                  <c:v>505.21737736543542</c:v>
                </c:pt>
                <c:pt idx="72">
                  <c:v>511.87642689205774</c:v>
                </c:pt>
                <c:pt idx="73">
                  <c:v>518.53364702206557</c:v>
                </c:pt>
                <c:pt idx="74">
                  <c:v>525.18906456525599</c:v>
                </c:pt>
                <c:pt idx="75">
                  <c:v>531.84270559622837</c:v>
                </c:pt>
                <c:pt idx="76">
                  <c:v>517.97894789153088</c:v>
                </c:pt>
                <c:pt idx="77">
                  <c:v>523.52537773373467</c:v>
                </c:pt>
                <c:pt idx="78">
                  <c:v>529.07056941939629</c:v>
                </c:pt>
                <c:pt idx="79">
                  <c:v>534.61453776319513</c:v>
                </c:pt>
                <c:pt idx="80">
                  <c:v>540.15729724733058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9.8300743723308273</c:v>
                </c:pt>
                <c:pt idx="2">
                  <c:v>19.231364587020316</c:v>
                </c:pt>
                <c:pt idx="3">
                  <c:v>28.494179042409929</c:v>
                </c:pt>
                <c:pt idx="4">
                  <c:v>37.671633817791609</c:v>
                </c:pt>
                <c:pt idx="5">
                  <c:v>46.787802861560664</c:v>
                </c:pt>
                <c:pt idx="6">
                  <c:v>55.85641895899721</c:v>
                </c:pt>
                <c:pt idx="7">
                  <c:v>64.886335105785449</c:v>
                </c:pt>
                <c:pt idx="8">
                  <c:v>73.883717762935518</c:v>
                </c:pt>
                <c:pt idx="9">
                  <c:v>82.853099357733484</c:v>
                </c:pt>
                <c:pt idx="10">
                  <c:v>91.797946023526876</c:v>
                </c:pt>
                <c:pt idx="11">
                  <c:v>100.72099055181911</c:v>
                </c:pt>
                <c:pt idx="12">
                  <c:v>109.62444036403467</c:v>
                </c:pt>
                <c:pt idx="13">
                  <c:v>118.51011399861339</c:v>
                </c:pt>
                <c:pt idx="14">
                  <c:v>127.37953432582198</c:v>
                </c:pt>
                <c:pt idx="15">
                  <c:v>136.23399433545893</c:v>
                </c:pt>
                <c:pt idx="16">
                  <c:v>145.07460486529598</c:v>
                </c:pt>
                <c:pt idx="17">
                  <c:v>153.90233005028921</c:v>
                </c:pt>
                <c:pt idx="18">
                  <c:v>162.7180141901425</c:v>
                </c:pt>
                <c:pt idx="19">
                  <c:v>171.52240247513097</c:v>
                </c:pt>
                <c:pt idx="20">
                  <c:v>180.31615722411632</c:v>
                </c:pt>
                <c:pt idx="21">
                  <c:v>189.09987078266829</c:v>
                </c:pt>
                <c:pt idx="22">
                  <c:v>197.87407589479196</c:v>
                </c:pt>
                <c:pt idx="23">
                  <c:v>206.63925413557971</c:v>
                </c:pt>
                <c:pt idx="24">
                  <c:v>215.3958428359341</c:v>
                </c:pt>
                <c:pt idx="25">
                  <c:v>224.14424082064872</c:v>
                </c:pt>
                <c:pt idx="26">
                  <c:v>232.88481320255323</c:v>
                </c:pt>
                <c:pt idx="27">
                  <c:v>241.61789541835174</c:v>
                </c:pt>
                <c:pt idx="28">
                  <c:v>250.3437966497514</c:v>
                </c:pt>
                <c:pt idx="29">
                  <c:v>259.06280274212457</c:v>
                </c:pt>
                <c:pt idx="30">
                  <c:v>267.77517870928631</c:v>
                </c:pt>
                <c:pt idx="31">
                  <c:v>276.48117089492001</c:v>
                </c:pt>
                <c:pt idx="32">
                  <c:v>285.18100884727528</c:v>
                </c:pt>
                <c:pt idx="33">
                  <c:v>293.87490695294525</c:v>
                </c:pt>
                <c:pt idx="34">
                  <c:v>302.56306586704625</c:v>
                </c:pt>
                <c:pt idx="35">
                  <c:v>311.24567377041313</c:v>
                </c:pt>
                <c:pt idx="36">
                  <c:v>319.92290747907703</c:v>
                </c:pt>
                <c:pt idx="37">
                  <c:v>265.32547851180402</c:v>
                </c:pt>
                <c:pt idx="38">
                  <c:v>286.81156096168161</c:v>
                </c:pt>
                <c:pt idx="39">
                  <c:v>308.26164218176535</c:v>
                </c:pt>
                <c:pt idx="40">
                  <c:v>329.6785784135397</c:v>
                </c:pt>
                <c:pt idx="41">
                  <c:v>351.06482453796201</c:v>
                </c:pt>
                <c:pt idx="42">
                  <c:v>372.42251200019518</c:v>
                </c:pt>
                <c:pt idx="43">
                  <c:v>393.75350791228328</c:v>
                </c:pt>
                <c:pt idx="44">
                  <c:v>415.05946067388419</c:v>
                </c:pt>
                <c:pt idx="45">
                  <c:v>339.96932609764059</c:v>
                </c:pt>
                <c:pt idx="46">
                  <c:v>364.31523713398838</c:v>
                </c:pt>
                <c:pt idx="47">
                  <c:v>388.62561459421386</c:v>
                </c:pt>
                <c:pt idx="48">
                  <c:v>412.90299192267594</c:v>
                </c:pt>
                <c:pt idx="49">
                  <c:v>437.14958051503055</c:v>
                </c:pt>
                <c:pt idx="50">
                  <c:v>461.36732661320042</c:v>
                </c:pt>
                <c:pt idx="51">
                  <c:v>485.55795563023315</c:v>
                </c:pt>
                <c:pt idx="52">
                  <c:v>509.72300718239177</c:v>
                </c:pt>
                <c:pt idx="53">
                  <c:v>395.91218652535935</c:v>
                </c:pt>
                <c:pt idx="54">
                  <c:v>417.75470695489565</c:v>
                </c:pt>
                <c:pt idx="55">
                  <c:v>439.5726229652293</c:v>
                </c:pt>
                <c:pt idx="56">
                  <c:v>461.36732661320042</c:v>
                </c:pt>
                <c:pt idx="57">
                  <c:v>483.14006779889104</c:v>
                </c:pt>
                <c:pt idx="58">
                  <c:v>504.89197466478595</c:v>
                </c:pt>
                <c:pt idx="59">
                  <c:v>526.62407029747862</c:v>
                </c:pt>
                <c:pt idx="60">
                  <c:v>548.3372865300081</c:v>
                </c:pt>
                <c:pt idx="61">
                  <c:v>450.96608395211155</c:v>
                </c:pt>
                <c:pt idx="62">
                  <c:v>469.61302435390735</c:v>
                </c:pt>
                <c:pt idx="63">
                  <c:v>488.24419789739949</c:v>
                </c:pt>
                <c:pt idx="64">
                  <c:v>506.86029054843084</c:v>
                </c:pt>
                <c:pt idx="65">
                  <c:v>525.46193380622901</c:v>
                </c:pt>
                <c:pt idx="66">
                  <c:v>544.04971084254669</c:v>
                </c:pt>
                <c:pt idx="67">
                  <c:v>562.62416175853025</c:v>
                </c:pt>
                <c:pt idx="68">
                  <c:v>581.18578811162547</c:v>
                </c:pt>
                <c:pt idx="69">
                  <c:v>599.73505683441124</c:v>
                </c:pt>
                <c:pt idx="70">
                  <c:v>507.81456730697511</c:v>
                </c:pt>
                <c:pt idx="71">
                  <c:v>525.22354014492771</c:v>
                </c:pt>
                <c:pt idx="72">
                  <c:v>542.6203615929777</c:v>
                </c:pt>
                <c:pt idx="73">
                  <c:v>560.00547584538776</c:v>
                </c:pt>
                <c:pt idx="74">
                  <c:v>577.37929728560482</c:v>
                </c:pt>
                <c:pt idx="75">
                  <c:v>594.74221334211904</c:v>
                </c:pt>
                <c:pt idx="76">
                  <c:v>612.09458699367303</c:v>
                </c:pt>
                <c:pt idx="77">
                  <c:v>629.43675897578566</c:v>
                </c:pt>
                <c:pt idx="78">
                  <c:v>646.76904973162027</c:v>
                </c:pt>
                <c:pt idx="79">
                  <c:v>558.57699374416472</c:v>
                </c:pt>
                <c:pt idx="80">
                  <c:v>575.23791626765171</c:v>
                </c:pt>
                <c:pt idx="81">
                  <c:v>591.88876881386489</c:v>
                </c:pt>
                <c:pt idx="82">
                  <c:v>608.52987437995023</c:v>
                </c:pt>
                <c:pt idx="83">
                  <c:v>625.16153686899827</c:v>
                </c:pt>
                <c:pt idx="84">
                  <c:v>641.78404270715339</c:v>
                </c:pt>
                <c:pt idx="85">
                  <c:v>658.39766228458541</c:v>
                </c:pt>
                <c:pt idx="86">
                  <c:v>675.00265124355963</c:v>
                </c:pt>
                <c:pt idx="87">
                  <c:v>691.59925163326625</c:v>
                </c:pt>
                <c:pt idx="88">
                  <c:v>611.14403919111862</c:v>
                </c:pt>
                <c:pt idx="89">
                  <c:v>626.82419491945245</c:v>
                </c:pt>
                <c:pt idx="90">
                  <c:v>642.49623536140246</c:v>
                </c:pt>
                <c:pt idx="91">
                  <c:v>658.16038622061342</c:v>
                </c:pt>
                <c:pt idx="92">
                  <c:v>673.81686158879108</c:v>
                </c:pt>
                <c:pt idx="93">
                  <c:v>689.46586480458382</c:v>
                </c:pt>
                <c:pt idx="94">
                  <c:v>705.10758923049116</c:v>
                </c:pt>
                <c:pt idx="95">
                  <c:v>720.74221895730363</c:v>
                </c:pt>
                <c:pt idx="96">
                  <c:v>736.36992944428937</c:v>
                </c:pt>
                <c:pt idx="97">
                  <c:v>657.68582880641031</c:v>
                </c:pt>
                <c:pt idx="98">
                  <c:v>672.86819899586487</c:v>
                </c:pt>
                <c:pt idx="99">
                  <c:v>688.04353176205825</c:v>
                </c:pt>
                <c:pt idx="100">
                  <c:v>703.2120040774131</c:v>
                </c:pt>
                <c:pt idx="101">
                  <c:v>718.37378466282235</c:v>
                </c:pt>
                <c:pt idx="102">
                  <c:v>733.52903454200316</c:v>
                </c:pt>
                <c:pt idx="103">
                  <c:v>748.67790754769158</c:v>
                </c:pt>
                <c:pt idx="104">
                  <c:v>763.82055078477163</c:v>
                </c:pt>
                <c:pt idx="105">
                  <c:v>778.9571050548019</c:v>
                </c:pt>
                <c:pt idx="106">
                  <c:v>702.26417231534003</c:v>
                </c:pt>
                <c:pt idx="107">
                  <c:v>717.18950776806685</c:v>
                </c:pt>
                <c:pt idx="108">
                  <c:v>732.10850308988756</c:v>
                </c:pt>
                <c:pt idx="109">
                  <c:v>747.02130558454212</c:v>
                </c:pt>
                <c:pt idx="110">
                  <c:v>761.92805619967874</c:v>
                </c:pt>
                <c:pt idx="111">
                  <c:v>776.82888992266089</c:v>
                </c:pt>
                <c:pt idx="112">
                  <c:v>791.72393614445298</c:v>
                </c:pt>
                <c:pt idx="113">
                  <c:v>806.61331899472589</c:v>
                </c:pt>
                <c:pt idx="114">
                  <c:v>821.497157650953</c:v>
                </c:pt>
                <c:pt idx="115">
                  <c:v>744.65460170812833</c:v>
                </c:pt>
                <c:pt idx="116">
                  <c:v>759.32572031578832</c:v>
                </c:pt>
                <c:pt idx="117">
                  <c:v>773.99108596594078</c:v>
                </c:pt>
                <c:pt idx="118">
                  <c:v>788.65082293317255</c:v>
                </c:pt>
                <c:pt idx="119">
                  <c:v>803.30505049916974</c:v>
                </c:pt>
                <c:pt idx="120">
                  <c:v>817.95388324261091</c:v>
                </c:pt>
                <c:pt idx="121">
                  <c:v>832.59743130723098</c:v>
                </c:pt>
                <c:pt idx="122">
                  <c:v>847.23580065006502</c:v>
                </c:pt>
                <c:pt idx="123">
                  <c:v>861.86909327166234</c:v>
                </c:pt>
                <c:pt idx="124">
                  <c:v>789.59642197566109</c:v>
                </c:pt>
                <c:pt idx="125">
                  <c:v>804.48660647012127</c:v>
                </c:pt>
                <c:pt idx="126">
                  <c:v>819.3712300373146</c:v>
                </c:pt>
                <c:pt idx="127">
                  <c:v>834.25040783808424</c:v>
                </c:pt>
                <c:pt idx="128">
                  <c:v>849.12425059431791</c:v>
                </c:pt>
                <c:pt idx="129">
                  <c:v>863.99286483640378</c:v>
                </c:pt>
                <c:pt idx="130">
                  <c:v>878.85635313278044</c:v>
                </c:pt>
                <c:pt idx="131">
                  <c:v>893.71481430317328</c:v>
                </c:pt>
                <c:pt idx="132">
                  <c:v>908.56834361692279</c:v>
                </c:pt>
                <c:pt idx="133">
                  <c:v>834.4865419626525</c:v>
                </c:pt>
                <c:pt idx="134">
                  <c:v>849.59634989946483</c:v>
                </c:pt>
                <c:pt idx="135">
                  <c:v>864.70076543130153</c:v>
                </c:pt>
                <c:pt idx="136">
                  <c:v>879.79989592953541</c:v>
                </c:pt>
                <c:pt idx="137">
                  <c:v>894.89384478340492</c:v>
                </c:pt>
                <c:pt idx="138">
                  <c:v>909.98271161375123</c:v>
                </c:pt>
                <c:pt idx="139">
                  <c:v>925.06659247185326</c:v>
                </c:pt>
                <c:pt idx="140">
                  <c:v>940.14558002463798</c:v>
                </c:pt>
                <c:pt idx="141">
                  <c:v>955.21976372740301</c:v>
                </c:pt>
                <c:pt idx="142">
                  <c:v>874.7870923769766</c:v>
                </c:pt>
                <c:pt idx="143">
                  <c:v>889.82379307073563</c:v>
                </c:pt>
                <c:pt idx="144">
                  <c:v>904.85541856820555</c:v>
                </c:pt>
                <c:pt idx="145">
                  <c:v>919.88206497019212</c:v>
                </c:pt>
                <c:pt idx="146">
                  <c:v>934.90382498520512</c:v>
                </c:pt>
                <c:pt idx="147">
                  <c:v>949.92078810289877</c:v>
                </c:pt>
                <c:pt idx="148">
                  <c:v>964.93304075598735</c:v>
                </c:pt>
                <c:pt idx="149">
                  <c:v>979.94066647157388</c:v>
                </c:pt>
                <c:pt idx="150">
                  <c:v>994.94374601273728</c:v>
                </c:pt>
                <c:pt idx="151">
                  <c:v>1009.9423575111465</c:v>
                </c:pt>
                <c:pt idx="152">
                  <c:v>1024.9365765913979</c:v>
                </c:pt>
                <c:pt idx="153">
                  <c:v>1039.9264764877069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82" zoomScale="80" zoomScaleNormal="80" workbookViewId="0">
      <selection activeCell="H24" sqref="H2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12.86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25</v>
      </c>
      <c r="C9" s="32">
        <v>0.02</v>
      </c>
      <c r="D9" s="33">
        <f t="shared" ref="D9:D18" si="0">C9*$C$5</f>
        <v>0.25719999999999998</v>
      </c>
      <c r="E9" s="34">
        <v>115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0.36</v>
      </c>
      <c r="D10" s="33">
        <f t="shared" si="0"/>
        <v>4.6295999999999999</v>
      </c>
      <c r="E10" s="34">
        <v>153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</v>
      </c>
      <c r="C11" s="32">
        <v>0.28999999999999998</v>
      </c>
      <c r="D11" s="33">
        <f t="shared" si="0"/>
        <v>3.7293999999999996</v>
      </c>
      <c r="E11" s="34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29</v>
      </c>
      <c r="C12" s="32">
        <v>0.16</v>
      </c>
      <c r="D12" s="33">
        <f t="shared" si="0"/>
        <v>2.0575999999999999</v>
      </c>
      <c r="E12" s="34">
        <v>69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98</v>
      </c>
      <c r="C13" s="32">
        <v>7.0000000000000007E-2</v>
      </c>
      <c r="D13" s="33">
        <f t="shared" si="0"/>
        <v>0.9002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12</v>
      </c>
      <c r="C14" s="32">
        <v>0.1</v>
      </c>
      <c r="D14" s="33">
        <f t="shared" si="0"/>
        <v>1.286</v>
      </c>
      <c r="E14" s="34">
        <v>153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12.86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Hêtre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56</v>
      </c>
      <c r="C36" s="60">
        <v>1</v>
      </c>
      <c r="D36" s="60">
        <v>0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111</v>
      </c>
      <c r="C37" s="60">
        <v>2</v>
      </c>
      <c r="D37" s="60">
        <v>26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146</v>
      </c>
      <c r="C38" s="60">
        <v>3</v>
      </c>
      <c r="D38" s="60">
        <v>35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12.2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175</v>
      </c>
      <c r="C39" s="60">
        <v>4</v>
      </c>
      <c r="D39" s="60">
        <v>35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12.8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207</v>
      </c>
      <c r="C40" s="60">
        <v>5</v>
      </c>
      <c r="D40" s="60">
        <v>35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13.4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241</v>
      </c>
      <c r="C41" s="60">
        <v>6</v>
      </c>
      <c r="D41" s="60">
        <v>35</v>
      </c>
      <c r="E41" s="51">
        <v>0</v>
      </c>
      <c r="F41" s="51">
        <v>0</v>
      </c>
      <c r="G41" s="51">
        <v>0</v>
      </c>
      <c r="H41" s="51">
        <v>1</v>
      </c>
      <c r="I41" s="53">
        <f t="shared" si="1"/>
        <v>13.8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274</v>
      </c>
      <c r="C42" s="60">
        <v>7</v>
      </c>
      <c r="D42" s="60">
        <v>35</v>
      </c>
      <c r="E42" s="51">
        <v>0</v>
      </c>
      <c r="F42" s="51">
        <v>0.5</v>
      </c>
      <c r="G42" s="51">
        <v>0</v>
      </c>
      <c r="H42" s="51">
        <v>0.5</v>
      </c>
      <c r="I42" s="53">
        <f t="shared" si="1"/>
        <v>13.6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55</v>
      </c>
      <c r="B43" s="60">
        <v>306</v>
      </c>
      <c r="C43" s="60">
        <v>8</v>
      </c>
      <c r="D43" s="60">
        <v>35</v>
      </c>
      <c r="E43" s="51">
        <v>0</v>
      </c>
      <c r="F43" s="51">
        <v>0.5</v>
      </c>
      <c r="G43" s="51">
        <v>0</v>
      </c>
      <c r="H43" s="51">
        <v>0.5</v>
      </c>
      <c r="I43" s="49">
        <f t="shared" si="1"/>
        <v>13.4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60</v>
      </c>
      <c r="B44" s="60">
        <v>336</v>
      </c>
      <c r="C44" s="60">
        <v>9</v>
      </c>
      <c r="D44" s="60">
        <v>35</v>
      </c>
      <c r="E44" s="51">
        <v>0</v>
      </c>
      <c r="F44" s="51">
        <v>0.5</v>
      </c>
      <c r="G44" s="51">
        <v>0</v>
      </c>
      <c r="H44" s="51">
        <v>0.5</v>
      </c>
      <c r="I44" s="49">
        <f t="shared" si="1"/>
        <v>13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65</v>
      </c>
      <c r="B45" s="60">
        <v>363</v>
      </c>
      <c r="C45" s="60">
        <v>10</v>
      </c>
      <c r="D45" s="60">
        <v>35</v>
      </c>
      <c r="E45" s="51">
        <v>0</v>
      </c>
      <c r="F45" s="51">
        <v>0.5</v>
      </c>
      <c r="G45" s="51">
        <v>0</v>
      </c>
      <c r="H45" s="51">
        <v>0.5</v>
      </c>
      <c r="I45" s="49">
        <f t="shared" si="1"/>
        <v>12.4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70</v>
      </c>
      <c r="B46" s="60">
        <v>387</v>
      </c>
      <c r="C46" s="60">
        <v>11</v>
      </c>
      <c r="D46" s="60">
        <v>35</v>
      </c>
      <c r="E46" s="51">
        <v>0</v>
      </c>
      <c r="F46" s="51">
        <v>0.5</v>
      </c>
      <c r="G46" s="51">
        <v>0</v>
      </c>
      <c r="H46" s="51">
        <v>0.5</v>
      </c>
      <c r="I46" s="49">
        <f t="shared" si="1"/>
        <v>11.8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75</v>
      </c>
      <c r="B47" s="60">
        <v>407</v>
      </c>
      <c r="C47" s="60">
        <v>12</v>
      </c>
      <c r="D47" s="60">
        <v>35</v>
      </c>
      <c r="E47" s="51">
        <v>0.1</v>
      </c>
      <c r="F47" s="51">
        <v>0.5</v>
      </c>
      <c r="G47" s="51">
        <v>0</v>
      </c>
      <c r="H47" s="51">
        <v>0.4</v>
      </c>
      <c r="I47" s="49">
        <f t="shared" si="1"/>
        <v>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80</v>
      </c>
      <c r="B48" s="60">
        <v>424</v>
      </c>
      <c r="C48" s="60">
        <v>13</v>
      </c>
      <c r="D48" s="60">
        <v>34</v>
      </c>
      <c r="E48" s="51">
        <v>0.1</v>
      </c>
      <c r="F48" s="51">
        <v>0.5</v>
      </c>
      <c r="G48" s="51">
        <v>0</v>
      </c>
      <c r="H48" s="51">
        <v>0.4</v>
      </c>
      <c r="I48" s="49">
        <f t="shared" si="1"/>
        <v>10.4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85</v>
      </c>
      <c r="B49" s="60">
        <v>438</v>
      </c>
      <c r="C49" s="60">
        <v>14</v>
      </c>
      <c r="D49" s="60">
        <v>33</v>
      </c>
      <c r="E49" s="51">
        <v>0.1</v>
      </c>
      <c r="F49" s="51">
        <v>0.5</v>
      </c>
      <c r="G49" s="51">
        <v>0</v>
      </c>
      <c r="H49" s="51">
        <v>0.4</v>
      </c>
      <c r="I49" s="49">
        <f t="shared" si="1"/>
        <v>9.6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90</v>
      </c>
      <c r="B50" s="50">
        <v>451</v>
      </c>
      <c r="C50" s="50">
        <v>15</v>
      </c>
      <c r="D50" s="50">
        <v>31</v>
      </c>
      <c r="E50" s="51">
        <v>0.3</v>
      </c>
      <c r="F50" s="51">
        <v>0.35</v>
      </c>
      <c r="G50" s="51">
        <v>0</v>
      </c>
      <c r="H50" s="51">
        <v>0.35</v>
      </c>
      <c r="I50" s="49">
        <f t="shared" si="1"/>
        <v>9.1999999999999993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95</v>
      </c>
      <c r="B51" s="50">
        <v>463</v>
      </c>
      <c r="C51" s="50">
        <v>16</v>
      </c>
      <c r="D51" s="50">
        <v>30</v>
      </c>
      <c r="E51" s="51">
        <v>0.3</v>
      </c>
      <c r="F51" s="51">
        <v>0.35</v>
      </c>
      <c r="G51" s="51">
        <v>0</v>
      </c>
      <c r="H51" s="51">
        <v>0.35</v>
      </c>
      <c r="I51" s="49">
        <f t="shared" si="1"/>
        <v>8.6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100</v>
      </c>
      <c r="B52" s="50">
        <v>474</v>
      </c>
      <c r="C52" s="50">
        <v>17</v>
      </c>
      <c r="D52" s="50">
        <v>29</v>
      </c>
      <c r="E52" s="51">
        <v>0.3</v>
      </c>
      <c r="F52" s="51">
        <v>0.35</v>
      </c>
      <c r="G52" s="51">
        <v>0</v>
      </c>
      <c r="H52" s="51">
        <v>0.35</v>
      </c>
      <c r="I52" s="49">
        <f>IF(A52&lt;&gt;0,(B52-(B51-D51))/(A52-A51),"")</f>
        <v>8.1999999999999993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105</v>
      </c>
      <c r="B53" s="50">
        <v>484</v>
      </c>
      <c r="C53" s="50">
        <v>18</v>
      </c>
      <c r="D53" s="50">
        <v>28</v>
      </c>
      <c r="E53" s="51">
        <v>0.7</v>
      </c>
      <c r="F53" s="51">
        <v>0.1</v>
      </c>
      <c r="G53" s="51">
        <v>0</v>
      </c>
      <c r="H53" s="51">
        <v>0.2</v>
      </c>
      <c r="I53" s="49">
        <f>IF(A53&lt;&gt;0,(B53-(B52-D52))/(A53-A52),"")</f>
        <v>7.8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110</v>
      </c>
      <c r="B54" s="50">
        <v>493</v>
      </c>
      <c r="C54" s="50">
        <v>19</v>
      </c>
      <c r="D54" s="50">
        <v>27</v>
      </c>
      <c r="E54" s="51">
        <v>0.7</v>
      </c>
      <c r="F54" s="51">
        <v>0.1</v>
      </c>
      <c r="G54" s="51">
        <v>0</v>
      </c>
      <c r="H54" s="51">
        <v>0.2</v>
      </c>
      <c r="I54" s="49">
        <f>IF(A54&lt;&gt;0,(B54-(B53-D53))/(A54-A53),"")</f>
        <v>7.4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115</v>
      </c>
      <c r="B55" s="50">
        <v>501</v>
      </c>
      <c r="C55" s="50" t="s">
        <v>324</v>
      </c>
      <c r="D55" s="50">
        <v>501</v>
      </c>
      <c r="E55" s="51">
        <v>0.7</v>
      </c>
      <c r="F55" s="51">
        <v>0.1</v>
      </c>
      <c r="G55" s="51">
        <v>0</v>
      </c>
      <c r="H55" s="51">
        <v>0.2</v>
      </c>
      <c r="I55" s="49">
        <f t="shared" si="1"/>
        <v>7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36</v>
      </c>
      <c r="B62" s="60">
        <v>144</v>
      </c>
      <c r="C62" s="60">
        <v>1</v>
      </c>
      <c r="D62" s="60">
        <v>35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44</v>
      </c>
      <c r="B63" s="60">
        <v>188</v>
      </c>
      <c r="C63" s="60">
        <v>2</v>
      </c>
      <c r="D63" s="60">
        <v>46</v>
      </c>
      <c r="E63" s="51">
        <v>0</v>
      </c>
      <c r="F63" s="51">
        <v>0.5</v>
      </c>
      <c r="G63" s="51">
        <v>0</v>
      </c>
      <c r="H63" s="51">
        <v>0.5</v>
      </c>
      <c r="I63" s="49">
        <f>IF(A63&lt;&gt;0,(B63-(B62-D62))/(A63-A62),"")</f>
        <v>9.875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52</v>
      </c>
      <c r="B64" s="60">
        <v>232</v>
      </c>
      <c r="C64" s="60">
        <v>3</v>
      </c>
      <c r="D64" s="60">
        <v>63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11.25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60</v>
      </c>
      <c r="B65" s="60">
        <v>250</v>
      </c>
      <c r="C65" s="60">
        <v>4</v>
      </c>
      <c r="D65" s="60">
        <v>54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10.125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69</v>
      </c>
      <c r="B66" s="60">
        <v>274</v>
      </c>
      <c r="C66" s="60">
        <v>5</v>
      </c>
      <c r="D66" s="60">
        <v>51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8.6666666666666661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78</v>
      </c>
      <c r="B67" s="60">
        <v>296</v>
      </c>
      <c r="C67" s="60">
        <v>6</v>
      </c>
      <c r="D67" s="60">
        <v>49</v>
      </c>
      <c r="E67" s="51">
        <v>0.1</v>
      </c>
      <c r="F67" s="51">
        <v>0.5</v>
      </c>
      <c r="G67" s="51">
        <v>0</v>
      </c>
      <c r="H67" s="51">
        <v>0.4</v>
      </c>
      <c r="I67" s="49">
        <f t="shared" si="2"/>
        <v>8.1111111111111107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87</v>
      </c>
      <c r="B68" s="60">
        <v>317</v>
      </c>
      <c r="C68" s="60">
        <v>7</v>
      </c>
      <c r="D68" s="60">
        <v>45</v>
      </c>
      <c r="E68" s="51">
        <v>0.3</v>
      </c>
      <c r="F68" s="51">
        <v>0.35</v>
      </c>
      <c r="G68" s="51">
        <v>0</v>
      </c>
      <c r="H68" s="51">
        <v>0.35</v>
      </c>
      <c r="I68" s="49">
        <f t="shared" si="2"/>
        <v>7.7777777777777777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96</v>
      </c>
      <c r="B69" s="50">
        <v>338</v>
      </c>
      <c r="C69" s="50">
        <v>8</v>
      </c>
      <c r="D69" s="50">
        <v>44</v>
      </c>
      <c r="E69" s="51">
        <v>0.4</v>
      </c>
      <c r="F69" s="51">
        <v>0.3</v>
      </c>
      <c r="G69" s="51">
        <v>0</v>
      </c>
      <c r="H69" s="51">
        <v>0.3</v>
      </c>
      <c r="I69" s="49">
        <f t="shared" si="2"/>
        <v>7.333333333333333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105</v>
      </c>
      <c r="B70" s="50">
        <v>358</v>
      </c>
      <c r="C70" s="50">
        <v>9</v>
      </c>
      <c r="D70" s="50">
        <v>43</v>
      </c>
      <c r="E70" s="51">
        <v>0.7</v>
      </c>
      <c r="F70" s="51">
        <v>0.1</v>
      </c>
      <c r="G70" s="51">
        <v>0</v>
      </c>
      <c r="H70" s="51">
        <v>0.2</v>
      </c>
      <c r="I70" s="49">
        <f t="shared" si="2"/>
        <v>7.1111111111111107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114</v>
      </c>
      <c r="B71" s="50">
        <v>378</v>
      </c>
      <c r="C71" s="50">
        <v>10</v>
      </c>
      <c r="D71" s="50">
        <v>43</v>
      </c>
      <c r="E71" s="51">
        <v>0.7</v>
      </c>
      <c r="F71" s="51">
        <v>0.1</v>
      </c>
      <c r="G71" s="51">
        <v>0</v>
      </c>
      <c r="H71" s="51">
        <v>0.2</v>
      </c>
      <c r="I71" s="49">
        <f t="shared" si="2"/>
        <v>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123</v>
      </c>
      <c r="B72" s="50">
        <v>397</v>
      </c>
      <c r="C72" s="50">
        <v>11</v>
      </c>
      <c r="D72" s="50">
        <v>41</v>
      </c>
      <c r="E72" s="51">
        <v>0.7</v>
      </c>
      <c r="F72" s="51">
        <v>0.1</v>
      </c>
      <c r="G72" s="51">
        <v>0</v>
      </c>
      <c r="H72" s="51">
        <v>0.2</v>
      </c>
      <c r="I72" s="49">
        <f t="shared" si="2"/>
        <v>6.8888888888888893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132</v>
      </c>
      <c r="B73" s="50">
        <v>419</v>
      </c>
      <c r="C73" s="50">
        <v>12</v>
      </c>
      <c r="D73" s="50">
        <v>42</v>
      </c>
      <c r="E73" s="51">
        <v>0.7</v>
      </c>
      <c r="F73" s="51">
        <v>0.1</v>
      </c>
      <c r="G73" s="51">
        <v>0</v>
      </c>
      <c r="H73" s="51">
        <v>0.2</v>
      </c>
      <c r="I73" s="49">
        <f t="shared" si="2"/>
        <v>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141</v>
      </c>
      <c r="B74" s="50">
        <v>441</v>
      </c>
      <c r="C74" s="50">
        <v>13</v>
      </c>
      <c r="D74" s="50">
        <v>45</v>
      </c>
      <c r="E74" s="51">
        <v>0.7</v>
      </c>
      <c r="F74" s="51">
        <v>0.1</v>
      </c>
      <c r="G74" s="51">
        <v>0</v>
      </c>
      <c r="H74" s="51">
        <v>0.2</v>
      </c>
      <c r="I74" s="49">
        <f t="shared" si="2"/>
        <v>7.1111111111111107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153</v>
      </c>
      <c r="B75" s="50">
        <v>481</v>
      </c>
      <c r="C75" s="50" t="s">
        <v>324</v>
      </c>
      <c r="D75" s="50">
        <f>B75</f>
        <v>481</v>
      </c>
      <c r="E75" s="51">
        <v>0.7</v>
      </c>
      <c r="F75" s="51">
        <v>0.1</v>
      </c>
      <c r="G75" s="51">
        <v>0</v>
      </c>
      <c r="H75" s="51">
        <v>0.2</v>
      </c>
      <c r="I75" s="49">
        <f t="shared" si="2"/>
        <v>7.083333333333333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Châtaignier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56</v>
      </c>
      <c r="C88" s="60">
        <v>1</v>
      </c>
      <c r="D88" s="60">
        <v>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111</v>
      </c>
      <c r="C89" s="60">
        <v>2</v>
      </c>
      <c r="D89" s="60">
        <v>26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146</v>
      </c>
      <c r="C90" s="60">
        <v>3</v>
      </c>
      <c r="D90" s="60">
        <v>35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12.2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175</v>
      </c>
      <c r="C91" s="60">
        <v>4</v>
      </c>
      <c r="D91" s="60">
        <v>35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12.8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207</v>
      </c>
      <c r="C92" s="60">
        <v>5</v>
      </c>
      <c r="D92" s="60">
        <v>35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13.4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241</v>
      </c>
      <c r="C93" s="60">
        <v>6</v>
      </c>
      <c r="D93" s="60">
        <v>35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13.8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274</v>
      </c>
      <c r="C94" s="60">
        <v>7</v>
      </c>
      <c r="D94" s="60">
        <v>35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13.6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306</v>
      </c>
      <c r="C95" s="60">
        <v>8</v>
      </c>
      <c r="D95" s="60">
        <v>35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13.4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336</v>
      </c>
      <c r="C96" s="60">
        <v>9</v>
      </c>
      <c r="D96" s="60">
        <v>35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13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65</v>
      </c>
      <c r="B97" s="60">
        <v>363</v>
      </c>
      <c r="C97" s="60">
        <v>10</v>
      </c>
      <c r="D97" s="60">
        <v>35</v>
      </c>
      <c r="E97" s="87">
        <v>0</v>
      </c>
      <c r="F97" s="87">
        <v>0.5</v>
      </c>
      <c r="G97" s="87">
        <v>0</v>
      </c>
      <c r="H97" s="87">
        <v>0.5</v>
      </c>
      <c r="I97" s="53">
        <f t="shared" si="3"/>
        <v>12.4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70</v>
      </c>
      <c r="B98" s="60">
        <v>387</v>
      </c>
      <c r="C98" s="60">
        <v>11</v>
      </c>
      <c r="D98" s="60">
        <v>35</v>
      </c>
      <c r="E98" s="87">
        <v>0</v>
      </c>
      <c r="F98" s="87">
        <v>0.5</v>
      </c>
      <c r="G98" s="87">
        <v>0</v>
      </c>
      <c r="H98" s="87">
        <v>0.5</v>
      </c>
      <c r="I98" s="53">
        <f t="shared" si="3"/>
        <v>11.8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75</v>
      </c>
      <c r="B99" s="60">
        <v>407</v>
      </c>
      <c r="C99" s="60">
        <v>12</v>
      </c>
      <c r="D99" s="60">
        <v>35</v>
      </c>
      <c r="E99" s="87">
        <v>0.1</v>
      </c>
      <c r="F99" s="87">
        <v>0.5</v>
      </c>
      <c r="G99" s="87">
        <v>0</v>
      </c>
      <c r="H99" s="87">
        <v>0.4</v>
      </c>
      <c r="I99" s="53">
        <f t="shared" si="3"/>
        <v>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80</v>
      </c>
      <c r="B100" s="60">
        <v>424</v>
      </c>
      <c r="C100" s="60">
        <v>13</v>
      </c>
      <c r="D100" s="60">
        <v>34</v>
      </c>
      <c r="E100" s="65">
        <v>0.1</v>
      </c>
      <c r="F100" s="65">
        <v>0.5</v>
      </c>
      <c r="G100" s="65">
        <v>0</v>
      </c>
      <c r="H100" s="65">
        <v>0.4</v>
      </c>
      <c r="I100" s="53">
        <f t="shared" si="3"/>
        <v>10.4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85</v>
      </c>
      <c r="B101" s="60">
        <v>438</v>
      </c>
      <c r="C101" s="60">
        <v>14</v>
      </c>
      <c r="D101" s="60">
        <v>33</v>
      </c>
      <c r="E101" s="65">
        <v>0.1</v>
      </c>
      <c r="F101" s="65">
        <v>0.5</v>
      </c>
      <c r="G101" s="65">
        <v>0</v>
      </c>
      <c r="H101" s="65">
        <v>0.4</v>
      </c>
      <c r="I101" s="53">
        <f t="shared" si="3"/>
        <v>9.6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90</v>
      </c>
      <c r="B102" s="50">
        <v>451</v>
      </c>
      <c r="C102" s="60">
        <v>15</v>
      </c>
      <c r="D102" s="50">
        <v>31</v>
      </c>
      <c r="E102" s="54">
        <v>0.3</v>
      </c>
      <c r="F102" s="54">
        <v>0.35</v>
      </c>
      <c r="G102" s="54">
        <v>0</v>
      </c>
      <c r="H102" s="54">
        <v>0.35</v>
      </c>
      <c r="I102" s="53">
        <f t="shared" si="3"/>
        <v>9.1999999999999993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95</v>
      </c>
      <c r="B103" s="50">
        <v>463</v>
      </c>
      <c r="C103" s="60">
        <v>16</v>
      </c>
      <c r="D103" s="50">
        <v>30</v>
      </c>
      <c r="E103" s="54">
        <v>0.3</v>
      </c>
      <c r="F103" s="54">
        <v>0.35</v>
      </c>
      <c r="G103" s="54">
        <v>0</v>
      </c>
      <c r="H103" s="54">
        <v>0.35</v>
      </c>
      <c r="I103" s="53">
        <f t="shared" si="3"/>
        <v>8.6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100</v>
      </c>
      <c r="B104" s="50">
        <v>474</v>
      </c>
      <c r="C104" s="60">
        <v>17</v>
      </c>
      <c r="D104" s="50">
        <v>29</v>
      </c>
      <c r="E104" s="54">
        <v>0.3</v>
      </c>
      <c r="F104" s="54">
        <v>0.35</v>
      </c>
      <c r="G104" s="54">
        <v>0</v>
      </c>
      <c r="H104" s="54">
        <v>0.35</v>
      </c>
      <c r="I104" s="53">
        <f t="shared" si="3"/>
        <v>8.1999999999999993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>
        <v>105</v>
      </c>
      <c r="B105" s="50">
        <v>484</v>
      </c>
      <c r="C105" s="50">
        <v>18</v>
      </c>
      <c r="D105" s="50">
        <v>28</v>
      </c>
      <c r="E105" s="54">
        <v>0.7</v>
      </c>
      <c r="F105" s="54">
        <v>0.1</v>
      </c>
      <c r="G105" s="54">
        <v>0</v>
      </c>
      <c r="H105" s="54">
        <v>0.2</v>
      </c>
      <c r="I105" s="53">
        <f t="shared" si="3"/>
        <v>7.8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>
        <v>110</v>
      </c>
      <c r="B106" s="50">
        <v>493</v>
      </c>
      <c r="C106" s="50">
        <v>19</v>
      </c>
      <c r="D106" s="50">
        <v>27</v>
      </c>
      <c r="E106" s="54">
        <v>0.7</v>
      </c>
      <c r="F106" s="54">
        <v>0.1</v>
      </c>
      <c r="G106" s="54">
        <v>0</v>
      </c>
      <c r="H106" s="54">
        <v>0.2</v>
      </c>
      <c r="I106" s="53">
        <f t="shared" si="3"/>
        <v>7.4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>
        <v>115</v>
      </c>
      <c r="B107" s="50">
        <v>501</v>
      </c>
      <c r="C107" s="50" t="s">
        <v>324</v>
      </c>
      <c r="D107" s="50">
        <v>501</v>
      </c>
      <c r="E107" s="54">
        <v>0.7</v>
      </c>
      <c r="F107" s="54">
        <v>0.1</v>
      </c>
      <c r="G107" s="54">
        <v>0</v>
      </c>
      <c r="H107" s="54">
        <v>0.2</v>
      </c>
      <c r="I107" s="53">
        <f t="shared" si="3"/>
        <v>7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40</v>
      </c>
      <c r="C114" s="50">
        <v>1</v>
      </c>
      <c r="D114" s="60">
        <v>3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2.6666666666666665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85</v>
      </c>
      <c r="C115" s="50">
        <v>2</v>
      </c>
      <c r="D115" s="60">
        <v>25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25</v>
      </c>
      <c r="B116" s="60">
        <v>113</v>
      </c>
      <c r="C116" s="50">
        <v>3</v>
      </c>
      <c r="D116" s="60">
        <v>27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10.6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31</v>
      </c>
      <c r="B117" s="60">
        <v>155</v>
      </c>
      <c r="C117" s="50">
        <v>4</v>
      </c>
      <c r="D117" s="60">
        <v>36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37</v>
      </c>
      <c r="B118" s="60">
        <v>188</v>
      </c>
      <c r="C118" s="50">
        <v>5</v>
      </c>
      <c r="D118" s="60">
        <v>36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44</v>
      </c>
      <c r="B119" s="60">
        <v>230</v>
      </c>
      <c r="C119" s="50">
        <v>6</v>
      </c>
      <c r="D119" s="60">
        <v>43</v>
      </c>
      <c r="E119" s="51">
        <v>0</v>
      </c>
      <c r="F119" s="51">
        <v>0.3</v>
      </c>
      <c r="G119" s="51">
        <v>0.4</v>
      </c>
      <c r="H119" s="51">
        <v>0.3</v>
      </c>
      <c r="I119" s="53">
        <f t="shared" si="4"/>
        <v>11.142857142857142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52</v>
      </c>
      <c r="B120" s="60">
        <v>270</v>
      </c>
      <c r="C120" s="60">
        <v>7</v>
      </c>
      <c r="D120" s="60">
        <v>48</v>
      </c>
      <c r="E120" s="87">
        <v>0.1</v>
      </c>
      <c r="F120" s="87">
        <v>0.4</v>
      </c>
      <c r="G120" s="87">
        <v>0.3</v>
      </c>
      <c r="H120" s="87">
        <v>0.2</v>
      </c>
      <c r="I120" s="53">
        <f t="shared" si="4"/>
        <v>10.375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60</v>
      </c>
      <c r="B121" s="60">
        <v>297</v>
      </c>
      <c r="C121" s="60">
        <v>8</v>
      </c>
      <c r="D121" s="60">
        <v>47</v>
      </c>
      <c r="E121" s="87">
        <v>0.3</v>
      </c>
      <c r="F121" s="87">
        <v>0.2</v>
      </c>
      <c r="G121" s="87">
        <v>0.3</v>
      </c>
      <c r="H121" s="87">
        <v>0.2</v>
      </c>
      <c r="I121" s="53">
        <f t="shared" si="4"/>
        <v>9.375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69</v>
      </c>
      <c r="B122" s="60">
        <v>328</v>
      </c>
      <c r="C122" s="60" t="s">
        <v>324</v>
      </c>
      <c r="D122" s="60">
        <v>328</v>
      </c>
      <c r="E122" s="87">
        <v>0.5</v>
      </c>
      <c r="F122" s="87">
        <v>0</v>
      </c>
      <c r="G122" s="87">
        <v>0.3</v>
      </c>
      <c r="H122" s="87">
        <v>0.2</v>
      </c>
      <c r="I122" s="53">
        <f t="shared" si="4"/>
        <v>8.6666666666666661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Aulne à feuilles en cœur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19</v>
      </c>
      <c r="C140" s="50">
        <v>1</v>
      </c>
      <c r="D140" s="60">
        <v>7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15</v>
      </c>
      <c r="B141" s="60">
        <v>85</v>
      </c>
      <c r="C141" s="50">
        <v>2</v>
      </c>
      <c r="D141" s="60">
        <v>42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14.6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20</v>
      </c>
      <c r="B142" s="60">
        <v>123</v>
      </c>
      <c r="C142" s="50">
        <v>3</v>
      </c>
      <c r="D142" s="60">
        <v>42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25</v>
      </c>
      <c r="B143" s="60">
        <v>165</v>
      </c>
      <c r="C143" s="50">
        <v>4</v>
      </c>
      <c r="D143" s="60">
        <v>42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16.8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30</v>
      </c>
      <c r="B144" s="60">
        <v>205</v>
      </c>
      <c r="C144" s="50">
        <v>5</v>
      </c>
      <c r="D144" s="60">
        <v>42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16.399999999999999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35</v>
      </c>
      <c r="B145" s="60">
        <v>239</v>
      </c>
      <c r="C145" s="50">
        <v>6</v>
      </c>
      <c r="D145" s="60">
        <v>42</v>
      </c>
      <c r="E145" s="51">
        <v>0</v>
      </c>
      <c r="F145" s="51">
        <v>0.3</v>
      </c>
      <c r="G145" s="51">
        <v>0.4</v>
      </c>
      <c r="H145" s="51">
        <v>0.3</v>
      </c>
      <c r="I145" s="57">
        <f t="shared" si="5"/>
        <v>15.2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40</v>
      </c>
      <c r="B146" s="60">
        <v>263</v>
      </c>
      <c r="C146" s="50">
        <v>7</v>
      </c>
      <c r="D146" s="60">
        <v>40</v>
      </c>
      <c r="E146" s="51">
        <v>0.1</v>
      </c>
      <c r="F146" s="51">
        <v>0.4</v>
      </c>
      <c r="G146" s="51">
        <v>0.3</v>
      </c>
      <c r="H146" s="51">
        <v>0.2</v>
      </c>
      <c r="I146" s="57">
        <f t="shared" si="5"/>
        <v>13.2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45</v>
      </c>
      <c r="B147" s="60">
        <v>280</v>
      </c>
      <c r="C147" s="50">
        <v>8</v>
      </c>
      <c r="D147" s="60">
        <v>26</v>
      </c>
      <c r="E147" s="51">
        <v>0.3</v>
      </c>
      <c r="F147" s="51">
        <v>0.2</v>
      </c>
      <c r="G147" s="51">
        <v>0.3</v>
      </c>
      <c r="H147" s="51">
        <v>0.2</v>
      </c>
      <c r="I147" s="57">
        <f>IF(A147&lt;&gt;0,(B147-(B146-D146))/(A147-A146),"")</f>
        <v>11.4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50</v>
      </c>
      <c r="B148" s="60">
        <v>303</v>
      </c>
      <c r="C148" s="50">
        <v>9</v>
      </c>
      <c r="D148" s="60">
        <v>21</v>
      </c>
      <c r="E148" s="51">
        <v>0.5</v>
      </c>
      <c r="F148" s="51">
        <v>0</v>
      </c>
      <c r="G148" s="51">
        <v>0.3</v>
      </c>
      <c r="H148" s="51">
        <v>0.2</v>
      </c>
      <c r="I148" s="57">
        <f t="shared" si="5"/>
        <v>9.8000000000000007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55</v>
      </c>
      <c r="B149" s="60">
        <v>324</v>
      </c>
      <c r="C149" s="50">
        <v>10</v>
      </c>
      <c r="D149" s="60">
        <v>18</v>
      </c>
      <c r="E149" s="51">
        <v>0.7</v>
      </c>
      <c r="F149" s="51">
        <v>0</v>
      </c>
      <c r="G149" s="51">
        <v>0.2</v>
      </c>
      <c r="H149" s="51">
        <v>0.1</v>
      </c>
      <c r="I149" s="57">
        <f t="shared" si="5"/>
        <v>8.4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60</v>
      </c>
      <c r="B150" s="60">
        <v>343</v>
      </c>
      <c r="C150" s="50">
        <v>11</v>
      </c>
      <c r="D150" s="60">
        <v>17</v>
      </c>
      <c r="E150" s="51">
        <v>0.7</v>
      </c>
      <c r="F150" s="51">
        <v>0</v>
      </c>
      <c r="G150" s="51">
        <v>0.2</v>
      </c>
      <c r="H150" s="51">
        <v>0.1</v>
      </c>
      <c r="I150" s="57">
        <f t="shared" si="5"/>
        <v>7.4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65</v>
      </c>
      <c r="B151" s="60">
        <v>356</v>
      </c>
      <c r="C151" s="50">
        <v>12</v>
      </c>
      <c r="D151" s="60">
        <v>16</v>
      </c>
      <c r="E151" s="51">
        <v>0.7</v>
      </c>
      <c r="F151" s="51">
        <v>0</v>
      </c>
      <c r="G151" s="51">
        <v>0.2</v>
      </c>
      <c r="H151" s="51">
        <v>0.1</v>
      </c>
      <c r="I151" s="57">
        <f t="shared" si="5"/>
        <v>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70</v>
      </c>
      <c r="B152" s="60">
        <v>366</v>
      </c>
      <c r="C152" s="50">
        <v>13</v>
      </c>
      <c r="D152" s="60">
        <v>15</v>
      </c>
      <c r="E152" s="54">
        <v>0.7</v>
      </c>
      <c r="F152" s="54">
        <v>0</v>
      </c>
      <c r="G152" s="54">
        <v>0.2</v>
      </c>
      <c r="H152" s="54">
        <v>0.1</v>
      </c>
      <c r="I152" s="57">
        <f t="shared" si="5"/>
        <v>5.2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75</v>
      </c>
      <c r="B153" s="60">
        <v>375</v>
      </c>
      <c r="C153" s="50">
        <v>14</v>
      </c>
      <c r="D153" s="60">
        <v>14</v>
      </c>
      <c r="E153" s="54">
        <v>0.7</v>
      </c>
      <c r="F153" s="54">
        <v>0</v>
      </c>
      <c r="G153" s="54">
        <v>0.2</v>
      </c>
      <c r="H153" s="54">
        <v>0.1</v>
      </c>
      <c r="I153" s="57">
        <f t="shared" si="5"/>
        <v>4.8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>
        <v>80</v>
      </c>
      <c r="B154" s="56">
        <v>381</v>
      </c>
      <c r="C154" s="50" t="s">
        <v>324</v>
      </c>
      <c r="D154" s="50">
        <f>B154</f>
        <v>381</v>
      </c>
      <c r="E154" s="54">
        <v>0.7</v>
      </c>
      <c r="F154" s="54">
        <v>0</v>
      </c>
      <c r="G154" s="54">
        <v>0.2</v>
      </c>
      <c r="H154" s="54">
        <v>0.1</v>
      </c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 pubescent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36</v>
      </c>
      <c r="B166" s="60">
        <v>144</v>
      </c>
      <c r="C166" s="60">
        <v>1</v>
      </c>
      <c r="D166" s="60">
        <v>35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44</v>
      </c>
      <c r="B167" s="60">
        <v>188</v>
      </c>
      <c r="C167" s="60">
        <v>2</v>
      </c>
      <c r="D167" s="60">
        <v>46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9.875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52</v>
      </c>
      <c r="B168" s="60">
        <v>232</v>
      </c>
      <c r="C168" s="60">
        <v>3</v>
      </c>
      <c r="D168" s="60">
        <v>63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11.25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60</v>
      </c>
      <c r="B169" s="60">
        <v>250</v>
      </c>
      <c r="C169" s="60">
        <v>4</v>
      </c>
      <c r="D169" s="60">
        <v>54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10.125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69</v>
      </c>
      <c r="B170" s="60">
        <v>274</v>
      </c>
      <c r="C170" s="60">
        <v>5</v>
      </c>
      <c r="D170" s="60">
        <v>51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8.6666666666666661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78</v>
      </c>
      <c r="B171" s="60">
        <v>296</v>
      </c>
      <c r="C171" s="60">
        <v>6</v>
      </c>
      <c r="D171" s="60">
        <v>49</v>
      </c>
      <c r="E171" s="51">
        <v>0.1</v>
      </c>
      <c r="F171" s="51">
        <v>0.5</v>
      </c>
      <c r="G171" s="51">
        <v>0</v>
      </c>
      <c r="H171" s="51">
        <v>0.4</v>
      </c>
      <c r="I171" s="49">
        <f t="shared" si="6"/>
        <v>8.1111111111111107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87</v>
      </c>
      <c r="B172" s="60">
        <v>317</v>
      </c>
      <c r="C172" s="60">
        <v>7</v>
      </c>
      <c r="D172" s="60">
        <v>45</v>
      </c>
      <c r="E172" s="51">
        <v>0.3</v>
      </c>
      <c r="F172" s="51">
        <v>0.35</v>
      </c>
      <c r="G172" s="51">
        <v>0</v>
      </c>
      <c r="H172" s="51">
        <v>0.35</v>
      </c>
      <c r="I172" s="49">
        <f t="shared" si="6"/>
        <v>7.7777777777777777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96</v>
      </c>
      <c r="B173" s="50">
        <v>338</v>
      </c>
      <c r="C173" s="50">
        <v>8</v>
      </c>
      <c r="D173" s="50">
        <v>44</v>
      </c>
      <c r="E173" s="51">
        <v>0.4</v>
      </c>
      <c r="F173" s="51">
        <v>0.3</v>
      </c>
      <c r="G173" s="51">
        <v>0</v>
      </c>
      <c r="H173" s="51">
        <v>0.3</v>
      </c>
      <c r="I173" s="49">
        <f t="shared" si="6"/>
        <v>7.333333333333333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105</v>
      </c>
      <c r="B174" s="50">
        <v>358</v>
      </c>
      <c r="C174" s="50">
        <v>9</v>
      </c>
      <c r="D174" s="50">
        <v>43</v>
      </c>
      <c r="E174" s="51">
        <v>0.7</v>
      </c>
      <c r="F174" s="51">
        <v>0.1</v>
      </c>
      <c r="G174" s="51">
        <v>0</v>
      </c>
      <c r="H174" s="51">
        <v>0.2</v>
      </c>
      <c r="I174" s="49">
        <f t="shared" si="6"/>
        <v>7.1111111111111107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114</v>
      </c>
      <c r="B175" s="50">
        <v>378</v>
      </c>
      <c r="C175" s="50">
        <v>10</v>
      </c>
      <c r="D175" s="50">
        <v>43</v>
      </c>
      <c r="E175" s="51">
        <v>0.7</v>
      </c>
      <c r="F175" s="51">
        <v>0.1</v>
      </c>
      <c r="G175" s="51">
        <v>0</v>
      </c>
      <c r="H175" s="51">
        <v>0.2</v>
      </c>
      <c r="I175" s="49">
        <f t="shared" si="6"/>
        <v>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123</v>
      </c>
      <c r="B176" s="50">
        <v>397</v>
      </c>
      <c r="C176" s="50">
        <v>11</v>
      </c>
      <c r="D176" s="50">
        <v>41</v>
      </c>
      <c r="E176" s="51">
        <v>0.7</v>
      </c>
      <c r="F176" s="51">
        <v>0.1</v>
      </c>
      <c r="G176" s="51">
        <v>0</v>
      </c>
      <c r="H176" s="51">
        <v>0.2</v>
      </c>
      <c r="I176" s="49">
        <f t="shared" si="6"/>
        <v>6.8888888888888893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132</v>
      </c>
      <c r="B177" s="50">
        <v>419</v>
      </c>
      <c r="C177" s="50">
        <v>12</v>
      </c>
      <c r="D177" s="50">
        <v>42</v>
      </c>
      <c r="E177" s="51">
        <v>0.7</v>
      </c>
      <c r="F177" s="51">
        <v>0.1</v>
      </c>
      <c r="G177" s="51">
        <v>0</v>
      </c>
      <c r="H177" s="51">
        <v>0.2</v>
      </c>
      <c r="I177" s="49">
        <f t="shared" si="6"/>
        <v>7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141</v>
      </c>
      <c r="B178" s="50">
        <v>441</v>
      </c>
      <c r="C178" s="50">
        <v>13</v>
      </c>
      <c r="D178" s="50">
        <v>45</v>
      </c>
      <c r="E178" s="51">
        <v>0.7</v>
      </c>
      <c r="F178" s="51">
        <v>0.1</v>
      </c>
      <c r="G178" s="51">
        <v>0</v>
      </c>
      <c r="H178" s="51">
        <v>0.2</v>
      </c>
      <c r="I178" s="49">
        <f t="shared" si="6"/>
        <v>7.1111111111111107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153</v>
      </c>
      <c r="B179" s="50">
        <v>481</v>
      </c>
      <c r="C179" s="50" t="s">
        <v>324</v>
      </c>
      <c r="D179" s="50">
        <f>B179</f>
        <v>481</v>
      </c>
      <c r="E179" s="51">
        <v>0.7</v>
      </c>
      <c r="F179" s="51">
        <v>0.1</v>
      </c>
      <c r="G179" s="51">
        <v>0</v>
      </c>
      <c r="H179" s="51">
        <v>0.2</v>
      </c>
      <c r="I179" s="49">
        <f t="shared" si="6"/>
        <v>7.083333333333333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16" sqref="C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Hêtre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Châtaignier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Aulne à feuilles en cœur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pubescent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536.21423347711345</v>
      </c>
      <c r="T3" s="59">
        <f>IF('Données projet'!E9&gt;30,$R$33-$H$33,LOOKUP('Données projet'!$E$9,$A$3:$A$203,R3:R203)-LOOKUP('Données projet'!$E$9,$A$3:$A$203,$H$3:$H$203))</f>
        <v>312.14361830038712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528.15559695545812</v>
      </c>
      <c r="AO3" s="59">
        <f>IF('Données projet'!E10&gt;30,$AM$33-$H$33,LOOKUP('Données projet'!$E$10,$A$3:$A$203,AM3:AM203)-LOOKUP('Données projet'!$E$10,$A$3:$A$203,$H$3:$H$203))</f>
        <v>276.26988364830532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464.3681853739115</v>
      </c>
      <c r="BJ3" s="59">
        <f>IF('Données projet'!E11&gt;30,$BH$33-$H$33,LOOKUP('Données projet'!$E$11,$A$3:$A$203,BH3:BH203)-LOOKUP('Données projet'!$E$11,$A$3:$A$203,$H$3:$H$203))</f>
        <v>272.97841038165217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288.82868507674738</v>
      </c>
      <c r="CE3" s="59">
        <f>IF('Données projet'!E12&gt;30,$CC$33-$H$33,LOOKUP('Données projet'!$E$12,$A$3:$A$203,CC3:CC203)-LOOKUP('Données projet'!$E$12,$A$3:$A$203,$H$3:$H$203))</f>
        <v>283.48738729114024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340.49092994349405</v>
      </c>
      <c r="CZ3" s="59">
        <f>IF('Données projet'!E13&gt;30,$CX$33-$H$33,LOOKUP('Données projet'!$E$13,$A$3:$A$203,CX3:CX203)-LOOKUP('Données projet'!$E$13,$A$3:$A$203,$H$3:$H$203))</f>
        <v>331.54434271908832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586.50020405958992</v>
      </c>
      <c r="DU3" s="59">
        <f>IF('Données projet'!E14&gt;30,$DS$33-$H$33,LOOKUP('Données projet'!$E$14,$A$3:$A$203,DS3:DS203)-LOOKUP('Données projet'!$E$14,$A$3:$A$203,$H$3:$H$203))</f>
        <v>304.44184537595294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1.2229519710813024</v>
      </c>
      <c r="O4" s="13">
        <f>N4*VLOOKUP('Données projet'!$B$9,Paramètres!$A$1:$I$89,3,0)*VLOOKUP('Données projet'!$B$9,Paramètres!$A$1:$I$89,5,0)</f>
        <v>1.0492927911877574</v>
      </c>
      <c r="P4" s="13">
        <f>EXP(-1.0587+0.8836*LN(O4)+0.284)</f>
        <v>0.48085748368030745</v>
      </c>
      <c r="Q4" s="20">
        <f t="shared" ref="Q4:Q34" si="2">(O4+P4)*0.475*44/12</f>
        <v>2.6650117287285462</v>
      </c>
      <c r="R4" s="59">
        <f t="shared" si="0"/>
        <v>260.55390061761739</v>
      </c>
      <c r="S4" s="59">
        <f ca="1">AVERAGE(OFFSET($R$3,0,0,'Données projet'!$E$9+1,1))-AVERAGE(OFFSET($H$3,0,0,'Données projet'!$E$9+1,1))</f>
        <v>536.21423347711345</v>
      </c>
      <c r="T4" s="59">
        <f>$T$3</f>
        <v>312.14361830038712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</v>
      </c>
      <c r="AI4" s="13">
        <f>IF('Données projet'!$A$62&gt;35,AI3+AH4-AQ3,IF(A4&lt;'Données projet'!$A$62,$AF$205^A4,IF(A4='Données projet'!$A$62,'Données projet'!$B$62,AI3+AH4-AQ3)))</f>
        <v>4</v>
      </c>
      <c r="AJ4" s="13">
        <f>AI4*VLOOKUP('Données projet'!$B$10,Paramètres!$A$1:$I$89,3,0)*VLOOKUP('Données projet'!$B$10,Paramètres!$A$1:$I$89,5,0)</f>
        <v>3.6191999999999998</v>
      </c>
      <c r="AK4" s="13">
        <f>EXP(-1.0587+0.8836*LN(AJ4)+0.284)</f>
        <v>1.4359593421107981</v>
      </c>
      <c r="AL4" s="20">
        <f t="shared" ref="AL4:AL67" si="4">(AJ4+AK4)*0.475*44/12</f>
        <v>8.8044025208429719</v>
      </c>
      <c r="AM4" s="59">
        <f t="shared" ref="AM4:AM67" si="5">AL4+(AD4+AE4)*44/12</f>
        <v>266.69329140973184</v>
      </c>
      <c r="AN4" s="59">
        <f ca="1">AVERAGE(OFFSET($AM$3,0,0,'Données projet'!$E$10+1,1))-AVERAGE(OFFSET($H$3,0,0,'Données projet'!$E$10+1,1))</f>
        <v>528.15559695545812</v>
      </c>
      <c r="AO4" s="59">
        <f>$AO$3</f>
        <v>276.26988364830532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</v>
      </c>
      <c r="BD4" s="12">
        <f>IF('Données projet'!$A$88&gt;35,BD3+BC4-BL3,IF(A4&lt;'Données projet'!$A$88,$BA$205^A4,IF(A4='Données projet'!$A$88,'Données projet'!$B$88,BD3+BC4-BL3)))</f>
        <v>1.2229519710813024</v>
      </c>
      <c r="BE4" s="13">
        <f>BD4*VLOOKUP('Données projet'!$B$11,Paramètres!$A$1:$I$89,3,0)*VLOOKUP('Données projet'!$B$11,Paramètres!$A$1:$I$89,5,0)</f>
        <v>0.89666838519681091</v>
      </c>
      <c r="BF4" s="13">
        <f>EXP(-1.0587+0.8836*LN(BE4)+0.284)</f>
        <v>0.41850203514861517</v>
      </c>
      <c r="BG4" s="20">
        <f t="shared" ref="BG4:BG67" si="7">(BE4+BF4)*0.475*44/12</f>
        <v>2.2905884821016174</v>
      </c>
      <c r="BH4" s="59">
        <f t="shared" ref="BH4:BH67" si="8">BG4+(AY4+AZ4)*44/12</f>
        <v>260.17947737099047</v>
      </c>
      <c r="BI4" s="59">
        <f ca="1">AVERAGE(OFFSET($BH$3,0,0,'Données projet'!$E$11+1,1))-AVERAGE(OFFSET($H$3,0,0,'Données projet'!$E$11+1,1))</f>
        <v>464.3681853739115</v>
      </c>
      <c r="BJ4" s="59">
        <f>$BJ$3</f>
        <v>272.97841038165217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2.6666666666666665</v>
      </c>
      <c r="BY4" s="12">
        <f>IF('Données projet'!$A$114&gt;35,BY3+BX4-CG3,IF(A4&lt;'Données projet'!$A$114,$BV$205^A4,IF(A4='Données projet'!$A$114,'Données projet'!$B$114,BY3+BX4-CG3)))</f>
        <v>1.2788040393997409</v>
      </c>
      <c r="BZ4" s="13">
        <f>BY4*VLOOKUP('Données projet'!$B$12,Paramètres!$A$1:$I$89,3,0)*VLOOKUP('Données projet'!$B$12,Paramètres!$A$1:$I$89,5,0)</f>
        <v>0.99746715073179792</v>
      </c>
      <c r="CA4" s="13">
        <f>EXP(-1.0587+0.8836*LN(BZ4)+0.284)</f>
        <v>0.45981048445793882</v>
      </c>
      <c r="CB4" s="20">
        <f t="shared" ref="CB4:CB67" si="10">(BZ4+CA4)*0.475*44/12</f>
        <v>2.5380918812887914</v>
      </c>
      <c r="CC4" s="59">
        <f t="shared" ref="CC4:CC67" si="11">CB4+(BT4+BU4)*44/12</f>
        <v>260.42698077017764</v>
      </c>
      <c r="CD4" s="59">
        <f ca="1">AVERAGE(OFFSET($CC$3,0,0,'Données projet'!$E$12+1,1))-AVERAGE(OFFSET($H$3,0,0,'Données projet'!$E$12+1,1))</f>
        <v>288.82868507674738</v>
      </c>
      <c r="CE4" s="59">
        <f>$CE$3</f>
        <v>283.48738729114024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0.87952714731037107</v>
      </c>
      <c r="CV4" s="13">
        <f>EXP(-1.0587+0.8836*LN(CU4)+0.284)</f>
        <v>0.41142502211103227</v>
      </c>
      <c r="CW4" s="20">
        <f t="shared" ref="CW4:CW67" si="13">(CU4+CV4)*0.475*44/12</f>
        <v>2.2484083617422774</v>
      </c>
      <c r="CX4" s="59">
        <f t="shared" ref="CX4:CX67" si="14">CW4+(CO4+CP4)*44/12</f>
        <v>260.13729725063115</v>
      </c>
      <c r="CY4" s="59">
        <f ca="1">AVERAGE(OFFSET($CX$3,0,0,'Données projet'!$E$13+1,1))-AVERAGE(OFFSET($H$3,0,0,'Données projet'!$E$13+1,1))</f>
        <v>340.49092994349405</v>
      </c>
      <c r="CZ4" s="59">
        <f>$CZ$3</f>
        <v>331.54434271908832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</v>
      </c>
      <c r="DO4" s="12">
        <f>IF('Données projet'!$A$166&gt;35,DO3+DN4-DW3,IF(A4&lt;'Données projet'!$A$166,$DL$205^A4,IF(A4='Données projet'!$A$166,'Données projet'!$B$166,DO3+DN4-DW3)))</f>
        <v>4</v>
      </c>
      <c r="DP4" s="17">
        <f>DO4*VLOOKUP('Données projet'!$B$14,Paramètres!$A$1:$I$89,3,0)*VLOOKUP('Données projet'!$B$14,Paramètres!$A$1:$I$89,5,0)</f>
        <v>4.056</v>
      </c>
      <c r="DQ4" s="13">
        <f>EXP(-1.0587+0.8836*LN(DP4)+0.284)</f>
        <v>1.588061840572724</v>
      </c>
      <c r="DR4" s="20">
        <f t="shared" ref="DR4:DR67" si="16">(DP4+DQ4)*0.475*44/12</f>
        <v>9.8300743723308273</v>
      </c>
      <c r="DS4" s="59">
        <f t="shared" ref="DS4:DS67" si="17">DR4+(DJ4+DK4)*44/12</f>
        <v>267.7189632612197</v>
      </c>
      <c r="DT4" s="59">
        <f ca="1">AVERAGE(OFFSET($DS$3,0,0,'Données projet'!$E$14+1,1))-AVERAGE(OFFSET($H$3,0,0,'Données projet'!$E$14+1,1))</f>
        <v>586.50020405958992</v>
      </c>
      <c r="DU4" s="59">
        <f>$DU$3</f>
        <v>304.44184537595294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1.4956115235716427</v>
      </c>
      <c r="O5" s="13">
        <f>N5*VLOOKUP('Données projet'!$B$9,Paramètres!$A$1:$I$89,3,0)*VLOOKUP('Données projet'!$B$9,Paramètres!$A$1:$I$89,5,0)</f>
        <v>1.2832346872244698</v>
      </c>
      <c r="P5" s="13">
        <f t="shared" ref="P5:P68" si="33">EXP(-1.0587+0.8836*LN(O5)+0.284)</f>
        <v>0.57444879990343678</v>
      </c>
      <c r="Q5" s="20">
        <f t="shared" si="2"/>
        <v>3.2354654067477706</v>
      </c>
      <c r="R5" s="59">
        <f t="shared" si="0"/>
        <v>262.34657651785892</v>
      </c>
      <c r="S5" s="59">
        <f ca="1">AVERAGE(OFFSET($R$3,0,0,'Données projet'!$E$9+1,1))-AVERAGE(OFFSET($H$3,0,0,'Données projet'!$E$9+1,1))</f>
        <v>536.21423347711345</v>
      </c>
      <c r="T5" s="59">
        <f t="shared" ref="T5:T68" si="34">$T$3</f>
        <v>312.14361830038712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</v>
      </c>
      <c r="AI5" s="13">
        <f>IF('Données projet'!$A$62&gt;35,AI4+AH5-AQ4,IF(A5&lt;'Données projet'!$A$62,$AF$205^A5,IF(A5='Données projet'!$A$62,'Données projet'!$B$62,AI4+AH5-AQ4)))</f>
        <v>8</v>
      </c>
      <c r="AJ5" s="13">
        <f>AI5*VLOOKUP('Données projet'!$B$10,Paramètres!$A$1:$I$89,3,0)*VLOOKUP('Données projet'!$B$10,Paramètres!$A$1:$I$89,5,0)</f>
        <v>7.2383999999999995</v>
      </c>
      <c r="AK5" s="13">
        <f t="shared" ref="AK5:AK68" si="35">EXP(-1.0587+0.8836*LN(AJ5)+0.284)</f>
        <v>2.6493067597344675</v>
      </c>
      <c r="AL5" s="20">
        <f t="shared" si="4"/>
        <v>17.221089273204196</v>
      </c>
      <c r="AM5" s="59">
        <f t="shared" si="5"/>
        <v>276.33220038431534</v>
      </c>
      <c r="AN5" s="59">
        <f ca="1">AVERAGE(OFFSET($AM$3,0,0,'Données projet'!$E$10+1,1))-AVERAGE(OFFSET($H$3,0,0,'Données projet'!$E$10+1,1))</f>
        <v>528.15559695545812</v>
      </c>
      <c r="AO5" s="59">
        <f t="shared" ref="AO5:AO68" si="36">$AO$3</f>
        <v>276.26988364830532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</v>
      </c>
      <c r="BD5" s="12">
        <f>IF('Données projet'!$A$88&gt;35,BD4+BC5-BL4,IF(A5&lt;'Données projet'!$A$88,$BA$205^A5,IF(A5='Données projet'!$A$88,'Données projet'!$B$88,BD4+BC5-BL4)))</f>
        <v>1.4956115235716427</v>
      </c>
      <c r="BE5" s="13">
        <f>BD5*VLOOKUP('Données projet'!$B$11,Paramètres!$A$1:$I$89,3,0)*VLOOKUP('Données projet'!$B$11,Paramètres!$A$1:$I$89,5,0)</f>
        <v>1.0965823690827283</v>
      </c>
      <c r="BF5" s="13">
        <f t="shared" ref="BF5:BF68" si="37">EXP(-1.0587+0.8836*LN(BE5)+0.284)</f>
        <v>0.49995684793813105</v>
      </c>
      <c r="BG5" s="20">
        <f t="shared" si="7"/>
        <v>2.7806391363113296</v>
      </c>
      <c r="BH5" s="59">
        <f t="shared" si="8"/>
        <v>261.89175024742246</v>
      </c>
      <c r="BI5" s="59">
        <f ca="1">AVERAGE(OFFSET($BH$3,0,0,'Données projet'!$E$11+1,1))-AVERAGE(OFFSET($H$3,0,0,'Données projet'!$E$11+1,1))</f>
        <v>464.3681853739115</v>
      </c>
      <c r="BJ5" s="59">
        <f t="shared" ref="BJ5:BJ68" si="38">$BJ$3</f>
        <v>272.97841038165217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2.6666666666666665</v>
      </c>
      <c r="BY5" s="12">
        <f>IF('Données projet'!$A$114&gt;35,BY4+BX5-CG4,IF(A5&lt;'Données projet'!$A$114,$BV$205^A5,IF(A5='Données projet'!$A$114,'Données projet'!$B$114,BY4+BX5-CG4)))</f>
        <v>1.6353397711850939</v>
      </c>
      <c r="BZ5" s="13">
        <f>BY5*VLOOKUP('Données projet'!$B$12,Paramètres!$A$1:$I$89,3,0)*VLOOKUP('Données projet'!$B$12,Paramètres!$A$1:$I$89,5,0)</f>
        <v>1.2755650215243732</v>
      </c>
      <c r="CA5" s="13">
        <f t="shared" ref="CA5:CA68" si="39">EXP(-1.0587+0.8836*LN(BZ5)+0.284)</f>
        <v>0.57141400910743001</v>
      </c>
      <c r="CB5" s="20">
        <f t="shared" si="10"/>
        <v>3.2168218116837237</v>
      </c>
      <c r="CC5" s="59">
        <f t="shared" si="11"/>
        <v>262.32793292279484</v>
      </c>
      <c r="CD5" s="59">
        <f ca="1">AVERAGE(OFFSET($CC$3,0,0,'Données projet'!$E$12+1,1))-AVERAGE(OFFSET($H$3,0,0,'Données projet'!$E$12+1,1))</f>
        <v>288.82868507674738</v>
      </c>
      <c r="CE5" s="59">
        <f t="shared" ref="CE5:CE68" si="40">$CE$3</f>
        <v>283.48738729114024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1.1806593450181917</v>
      </c>
      <c r="CV5" s="13">
        <f t="shared" ref="CV5:CV68" si="41">EXP(-1.0587+0.8836*LN(CU5)+0.284)</f>
        <v>0.5336805427645186</v>
      </c>
      <c r="CW5" s="20">
        <f t="shared" si="13"/>
        <v>2.9858086378882205</v>
      </c>
      <c r="CX5" s="59">
        <f t="shared" si="14"/>
        <v>262.09691974899937</v>
      </c>
      <c r="CY5" s="59">
        <f ca="1">AVERAGE(OFFSET($CX$3,0,0,'Données projet'!$E$13+1,1))-AVERAGE(OFFSET($H$3,0,0,'Données projet'!$E$13+1,1))</f>
        <v>340.49092994349405</v>
      </c>
      <c r="CZ5" s="59">
        <f t="shared" ref="CZ5:CZ68" si="42">$CZ$3</f>
        <v>331.54434271908832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</v>
      </c>
      <c r="DO5" s="12">
        <f>IF('Données projet'!$A$166&gt;35,DO4+DN5-DW4,IF(A5&lt;'Données projet'!$A$166,$DL$205^A5,IF(A5='Données projet'!$A$166,'Données projet'!$B$166,DO4+DN5-DW4)))</f>
        <v>8</v>
      </c>
      <c r="DP5" s="17">
        <f>DO5*VLOOKUP('Données projet'!$B$14,Paramètres!$A$1:$I$89,3,0)*VLOOKUP('Données projet'!$B$14,Paramètres!$A$1:$I$89,5,0)</f>
        <v>8.1120000000000001</v>
      </c>
      <c r="DQ5" s="13">
        <f t="shared" ref="DQ5:DQ68" si="43">EXP(-1.0587+0.8836*LN(DP5)+0.284)</f>
        <v>2.9299318202987461</v>
      </c>
      <c r="DR5" s="20">
        <f t="shared" si="16"/>
        <v>19.231364587020316</v>
      </c>
      <c r="DS5" s="59">
        <f t="shared" si="17"/>
        <v>278.34247569813147</v>
      </c>
      <c r="DT5" s="59">
        <f ca="1">AVERAGE(OFFSET($DS$3,0,0,'Données projet'!$E$14+1,1))-AVERAGE(OFFSET($H$3,0,0,'Données projet'!$E$14+1,1))</f>
        <v>586.50020405958992</v>
      </c>
      <c r="DU5" s="59">
        <f t="shared" ref="DU5:DU68" si="44">$DU$3</f>
        <v>304.44184537595294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1.8290610607238502</v>
      </c>
      <c r="O6" s="13">
        <f>N6*VLOOKUP('Données projet'!$B$9,Paramètres!$A$1:$I$89,3,0)*VLOOKUP('Données projet'!$B$9,Paramètres!$A$1:$I$89,5,0)</f>
        <v>1.5693343901010637</v>
      </c>
      <c r="P6" s="13">
        <f t="shared" si="33"/>
        <v>0.68625618797666377</v>
      </c>
      <c r="Q6" s="20">
        <f t="shared" si="2"/>
        <v>3.9284869234853752</v>
      </c>
      <c r="R6" s="59">
        <f t="shared" si="0"/>
        <v>264.26182025681868</v>
      </c>
      <c r="S6" s="59">
        <f ca="1">AVERAGE(OFFSET($R$3,0,0,'Données projet'!$E$9+1,1))-AVERAGE(OFFSET($H$3,0,0,'Données projet'!$E$9+1,1))</f>
        <v>536.21423347711345</v>
      </c>
      <c r="T6" s="59">
        <f t="shared" si="34"/>
        <v>312.14361830038712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</v>
      </c>
      <c r="AI6" s="13">
        <f>IF('Données projet'!$A$62&gt;35,AI5+AH6-AQ5,IF(A6&lt;'Données projet'!$A$62,$AF$205^A6,IF(A6='Données projet'!$A$62,'Données projet'!$B$62,AI5+AH6-AQ5)))</f>
        <v>12</v>
      </c>
      <c r="AJ6" s="13">
        <f>AI6*VLOOKUP('Données projet'!$B$10,Paramètres!$A$1:$I$89,3,0)*VLOOKUP('Données projet'!$B$10,Paramètres!$A$1:$I$89,5,0)</f>
        <v>10.8576</v>
      </c>
      <c r="AK6" s="13">
        <f t="shared" si="35"/>
        <v>3.7907617001683773</v>
      </c>
      <c r="AL6" s="20">
        <f t="shared" si="4"/>
        <v>25.512563294459923</v>
      </c>
      <c r="AM6" s="59">
        <f t="shared" si="5"/>
        <v>285.84589662779325</v>
      </c>
      <c r="AN6" s="59">
        <f ca="1">AVERAGE(OFFSET($AM$3,0,0,'Données projet'!$E$10+1,1))-AVERAGE(OFFSET($H$3,0,0,'Données projet'!$E$10+1,1))</f>
        <v>528.15559695545812</v>
      </c>
      <c r="AO6" s="59">
        <f t="shared" si="36"/>
        <v>276.26988364830532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</v>
      </c>
      <c r="BD6" s="12">
        <f>IF('Données projet'!$A$88&gt;35,BD5+BC6-BL5,IF(A6&lt;'Données projet'!$A$88,$BA$205^A6,IF(A6='Données projet'!$A$88,'Données projet'!$B$88,BD5+BC6-BL5)))</f>
        <v>1.8290610607238502</v>
      </c>
      <c r="BE6" s="13">
        <f>BD6*VLOOKUP('Données projet'!$B$11,Paramètres!$A$1:$I$89,3,0)*VLOOKUP('Données projet'!$B$11,Paramètres!$A$1:$I$89,5,0)</f>
        <v>1.341067569722727</v>
      </c>
      <c r="BF6" s="13">
        <f t="shared" si="37"/>
        <v>0.5972655538257271</v>
      </c>
      <c r="BG6" s="20">
        <f t="shared" si="7"/>
        <v>3.3759301901802239</v>
      </c>
      <c r="BH6" s="59">
        <f t="shared" si="8"/>
        <v>263.70926352351353</v>
      </c>
      <c r="BI6" s="59">
        <f ca="1">AVERAGE(OFFSET($BH$3,0,0,'Données projet'!$E$11+1,1))-AVERAGE(OFFSET($H$3,0,0,'Données projet'!$E$11+1,1))</f>
        <v>464.3681853739115</v>
      </c>
      <c r="BJ6" s="59">
        <f t="shared" si="38"/>
        <v>272.97841038165217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2.6666666666666665</v>
      </c>
      <c r="BY6" s="12">
        <f>IF('Données projet'!$A$114&gt;35,BY5+BX6-CG5,IF(A6&lt;'Données projet'!$A$114,$BV$205^A6,IF(A6='Données projet'!$A$114,'Données projet'!$B$114,BY5+BX6-CG5)))</f>
        <v>2.0912791051825459</v>
      </c>
      <c r="BZ6" s="13">
        <f>BY6*VLOOKUP('Données projet'!$B$12,Paramètres!$A$1:$I$89,3,0)*VLOOKUP('Données projet'!$B$12,Paramètres!$A$1:$I$89,5,0)</f>
        <v>1.6311977020423858</v>
      </c>
      <c r="CA6" s="13">
        <f t="shared" si="39"/>
        <v>0.71010553443370616</v>
      </c>
      <c r="CB6" s="20">
        <f t="shared" si="10"/>
        <v>4.0777698035291934</v>
      </c>
      <c r="CC6" s="59">
        <f t="shared" si="11"/>
        <v>264.41110313686249</v>
      </c>
      <c r="CD6" s="59">
        <f ca="1">AVERAGE(OFFSET($CC$3,0,0,'Données projet'!$E$12+1,1))-AVERAGE(OFFSET($H$3,0,0,'Données projet'!$E$12+1,1))</f>
        <v>288.82868507674738</v>
      </c>
      <c r="CE6" s="59">
        <f t="shared" si="40"/>
        <v>283.48738729114024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1.5848930794706675</v>
      </c>
      <c r="CV6" s="13">
        <f t="shared" si="41"/>
        <v>0.69226446234125116</v>
      </c>
      <c r="CW6" s="20">
        <f t="shared" si="13"/>
        <v>3.966049385322425</v>
      </c>
      <c r="CX6" s="59">
        <f t="shared" si="14"/>
        <v>264.29938271865575</v>
      </c>
      <c r="CY6" s="59">
        <f ca="1">AVERAGE(OFFSET($CX$3,0,0,'Données projet'!$E$13+1,1))-AVERAGE(OFFSET($H$3,0,0,'Données projet'!$E$13+1,1))</f>
        <v>340.49092994349405</v>
      </c>
      <c r="CZ6" s="59">
        <f t="shared" si="42"/>
        <v>331.54434271908832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</v>
      </c>
      <c r="DO6" s="12">
        <f>IF('Données projet'!$A$166&gt;35,DO5+DN6-DW5,IF(A6&lt;'Données projet'!$A$166,$DL$205^A6,IF(A6='Données projet'!$A$166,'Données projet'!$B$166,DO5+DN6-DW5)))</f>
        <v>12</v>
      </c>
      <c r="DP6" s="17">
        <f>DO6*VLOOKUP('Données projet'!$B$14,Paramètres!$A$1:$I$89,3,0)*VLOOKUP('Données projet'!$B$14,Paramètres!$A$1:$I$89,5,0)</f>
        <v>12.168000000000001</v>
      </c>
      <c r="DQ6" s="13">
        <f t="shared" si="43"/>
        <v>4.192294187029626</v>
      </c>
      <c r="DR6" s="20">
        <f t="shared" si="16"/>
        <v>28.494179042409929</v>
      </c>
      <c r="DS6" s="59">
        <f t="shared" si="17"/>
        <v>288.82751237574325</v>
      </c>
      <c r="DT6" s="59">
        <f ca="1">AVERAGE(OFFSET($DS$3,0,0,'Données projet'!$E$14+1,1))-AVERAGE(OFFSET($H$3,0,0,'Données projet'!$E$14+1,1))</f>
        <v>586.50020405958992</v>
      </c>
      <c r="DU6" s="59">
        <f t="shared" si="44"/>
        <v>304.44184537595294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2.2368538294402907</v>
      </c>
      <c r="O7" s="13">
        <f>N7*VLOOKUP('Données projet'!$B$9,Paramètres!$A$1:$I$89,3,0)*VLOOKUP('Données projet'!$B$9,Paramètres!$A$1:$I$89,5,0)</f>
        <v>1.9192205856597695</v>
      </c>
      <c r="P7" s="13">
        <f t="shared" si="33"/>
        <v>0.8198251186449117</v>
      </c>
      <c r="Q7" s="20">
        <f t="shared" si="2"/>
        <v>4.770504601663986</v>
      </c>
      <c r="R7" s="59">
        <f t="shared" si="0"/>
        <v>266.3260601572195</v>
      </c>
      <c r="S7" s="59">
        <f ca="1">AVERAGE(OFFSET($R$3,0,0,'Données projet'!$E$9+1,1))-AVERAGE(OFFSET($H$3,0,0,'Données projet'!$E$9+1,1))</f>
        <v>536.21423347711345</v>
      </c>
      <c r="T7" s="59">
        <f t="shared" si="34"/>
        <v>312.14361830038712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</v>
      </c>
      <c r="AI7" s="13">
        <f>IF('Données projet'!$A$62&gt;35,AI6+AH7-AQ6,IF(A7&lt;'Données projet'!$A$62,$AF$205^A7,IF(A7='Données projet'!$A$62,'Données projet'!$B$62,AI6+AH7-AQ6)))</f>
        <v>16</v>
      </c>
      <c r="AJ7" s="13">
        <f>AI7*VLOOKUP('Données projet'!$B$10,Paramètres!$A$1:$I$89,3,0)*VLOOKUP('Données projet'!$B$10,Paramètres!$A$1:$I$89,5,0)</f>
        <v>14.476799999999999</v>
      </c>
      <c r="AK7" s="13">
        <f t="shared" si="35"/>
        <v>4.8879004449090973</v>
      </c>
      <c r="AL7" s="20">
        <f t="shared" si="4"/>
        <v>33.726853274883347</v>
      </c>
      <c r="AM7" s="59">
        <f t="shared" si="5"/>
        <v>295.2824088304389</v>
      </c>
      <c r="AN7" s="59">
        <f ca="1">AVERAGE(OFFSET($AM$3,0,0,'Données projet'!$E$10+1,1))-AVERAGE(OFFSET($H$3,0,0,'Données projet'!$E$10+1,1))</f>
        <v>528.15559695545812</v>
      </c>
      <c r="AO7" s="59">
        <f t="shared" si="36"/>
        <v>276.26988364830532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</v>
      </c>
      <c r="BD7" s="12">
        <f>IF('Données projet'!$A$88&gt;35,BD6+BC7-BL6,IF(A7&lt;'Données projet'!$A$88,$BA$205^A7,IF(A7='Données projet'!$A$88,'Données projet'!$B$88,BD6+BC7-BL6)))</f>
        <v>2.2368538294402907</v>
      </c>
      <c r="BE7" s="13">
        <f>BD7*VLOOKUP('Données projet'!$B$11,Paramètres!$A$1:$I$89,3,0)*VLOOKUP('Données projet'!$B$11,Paramètres!$A$1:$I$89,5,0)</f>
        <v>1.640061227745621</v>
      </c>
      <c r="BF7" s="13">
        <f t="shared" si="37"/>
        <v>0.71351386276220552</v>
      </c>
      <c r="BG7" s="20">
        <f t="shared" si="7"/>
        <v>4.099143282634464</v>
      </c>
      <c r="BH7" s="59">
        <f t="shared" si="8"/>
        <v>265.65469883819003</v>
      </c>
      <c r="BI7" s="59">
        <f ca="1">AVERAGE(OFFSET($BH$3,0,0,'Données projet'!$E$11+1,1))-AVERAGE(OFFSET($H$3,0,0,'Données projet'!$E$11+1,1))</f>
        <v>464.3681853739115</v>
      </c>
      <c r="BJ7" s="59">
        <f t="shared" si="38"/>
        <v>272.97841038165217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2.6666666666666665</v>
      </c>
      <c r="BY7" s="12">
        <f>IF('Données projet'!$A$114&gt;35,BY6+BX7-CG6,IF(A7&lt;'Données projet'!$A$114,$BV$205^A7,IF(A7='Données projet'!$A$114,'Données projet'!$B$114,BY6+BX7-CG6)))</f>
        <v>2.6743361672197152</v>
      </c>
      <c r="BZ7" s="13">
        <f>BY7*VLOOKUP('Données projet'!$B$12,Paramètres!$A$1:$I$89,3,0)*VLOOKUP('Données projet'!$B$12,Paramètres!$A$1:$I$89,5,0)</f>
        <v>2.0859822104313781</v>
      </c>
      <c r="CA7" s="13">
        <f t="shared" si="39"/>
        <v>0.88245976121767966</v>
      </c>
      <c r="CB7" s="20">
        <f t="shared" si="10"/>
        <v>5.1700364339554419</v>
      </c>
      <c r="CC7" s="59">
        <f t="shared" si="11"/>
        <v>266.72559198951097</v>
      </c>
      <c r="CD7" s="59">
        <f ca="1">AVERAGE(OFFSET($CC$3,0,0,'Données projet'!$E$12+1,1))-AVERAGE(OFFSET($H$3,0,0,'Données projet'!$E$12+1,1))</f>
        <v>288.82868507674738</v>
      </c>
      <c r="CE7" s="59">
        <f t="shared" si="40"/>
        <v>283.48738729114024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2.1275282188320901</v>
      </c>
      <c r="CV7" s="13">
        <f t="shared" si="41"/>
        <v>0.89797181538259174</v>
      </c>
      <c r="CW7" s="20">
        <f t="shared" si="13"/>
        <v>5.2694125595905703</v>
      </c>
      <c r="CX7" s="59">
        <f t="shared" si="14"/>
        <v>266.82496811514613</v>
      </c>
      <c r="CY7" s="59">
        <f ca="1">AVERAGE(OFFSET($CX$3,0,0,'Données projet'!$E$13+1,1))-AVERAGE(OFFSET($H$3,0,0,'Données projet'!$E$13+1,1))</f>
        <v>340.49092994349405</v>
      </c>
      <c r="CZ7" s="59">
        <f t="shared" si="42"/>
        <v>331.54434271908832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</v>
      </c>
      <c r="DO7" s="12">
        <f>IF('Données projet'!$A$166&gt;35,DO6+DN7-DW6,IF(A7&lt;'Données projet'!$A$166,$DL$205^A7,IF(A7='Données projet'!$A$166,'Données projet'!$B$166,DO6+DN7-DW6)))</f>
        <v>16</v>
      </c>
      <c r="DP7" s="17">
        <f>DO7*VLOOKUP('Données projet'!$B$14,Paramètres!$A$1:$I$89,3,0)*VLOOKUP('Données projet'!$B$14,Paramètres!$A$1:$I$89,5,0)</f>
        <v>16.224</v>
      </c>
      <c r="DQ7" s="13">
        <f t="shared" si="43"/>
        <v>5.4056462111722139</v>
      </c>
      <c r="DR7" s="20">
        <f t="shared" si="16"/>
        <v>37.671633817791609</v>
      </c>
      <c r="DS7" s="59">
        <f t="shared" si="17"/>
        <v>299.22718937334713</v>
      </c>
      <c r="DT7" s="59">
        <f ca="1">AVERAGE(OFFSET($DS$3,0,0,'Données projet'!$E$14+1,1))-AVERAGE(OFFSET($H$3,0,0,'Données projet'!$E$14+1,1))</f>
        <v>586.50020405958992</v>
      </c>
      <c r="DU7" s="59">
        <f t="shared" si="44"/>
        <v>304.44184537595294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2.735564799734763</v>
      </c>
      <c r="O8" s="13">
        <f>N8*VLOOKUP('Données projet'!$B$9,Paramètres!$A$1:$I$89,3,0)*VLOOKUP('Données projet'!$B$9,Paramètres!$A$1:$I$89,5,0)</f>
        <v>2.3471145981724271</v>
      </c>
      <c r="P8" s="13">
        <f t="shared" si="33"/>
        <v>0.97939113254888255</v>
      </c>
      <c r="Q8" s="20">
        <f t="shared" si="2"/>
        <v>5.7936641476729482</v>
      </c>
      <c r="R8" s="59">
        <f t="shared" si="0"/>
        <v>268.5714419254507</v>
      </c>
      <c r="S8" s="59">
        <f ca="1">AVERAGE(OFFSET($R$3,0,0,'Données projet'!$E$9+1,1))-AVERAGE(OFFSET($H$3,0,0,'Données projet'!$E$9+1,1))</f>
        <v>536.21423347711345</v>
      </c>
      <c r="T8" s="59">
        <f t="shared" si="34"/>
        <v>312.14361830038712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</v>
      </c>
      <c r="AI8" s="13">
        <f>IF('Données projet'!$A$62&gt;35,AI7+AH8-AQ7,IF(A8&lt;'Données projet'!$A$62,$AF$205^A8,IF(A8='Données projet'!$A$62,'Données projet'!$B$62,AI7+AH8-AQ7)))</f>
        <v>20</v>
      </c>
      <c r="AJ8" s="13">
        <f>AI8*VLOOKUP('Données projet'!$B$10,Paramètres!$A$1:$I$89,3,0)*VLOOKUP('Données projet'!$B$10,Paramètres!$A$1:$I$89,5,0)</f>
        <v>18.096</v>
      </c>
      <c r="AK8" s="13">
        <f t="shared" si="35"/>
        <v>5.9532214687411624</v>
      </c>
      <c r="AL8" s="20">
        <f t="shared" si="4"/>
        <v>41.885727391390851</v>
      </c>
      <c r="AM8" s="59">
        <f t="shared" si="5"/>
        <v>304.66350516916862</v>
      </c>
      <c r="AN8" s="59">
        <f ca="1">AVERAGE(OFFSET($AM$3,0,0,'Données projet'!$E$10+1,1))-AVERAGE(OFFSET($H$3,0,0,'Données projet'!$E$10+1,1))</f>
        <v>528.15559695545812</v>
      </c>
      <c r="AO8" s="59">
        <f t="shared" si="36"/>
        <v>276.26988364830532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</v>
      </c>
      <c r="BD8" s="12">
        <f>IF('Données projet'!$A$88&gt;35,BD7+BC8-BL7,IF(A8&lt;'Données projet'!$A$88,$BA$205^A8,IF(A8='Données projet'!$A$88,'Données projet'!$B$88,BD7+BC8-BL7)))</f>
        <v>2.735564799734763</v>
      </c>
      <c r="BE8" s="13">
        <f>BD8*VLOOKUP('Données projet'!$B$11,Paramètres!$A$1:$I$89,3,0)*VLOOKUP('Données projet'!$B$11,Paramètres!$A$1:$I$89,5,0)</f>
        <v>2.0057161111655284</v>
      </c>
      <c r="BF8" s="13">
        <f t="shared" si="37"/>
        <v>0.85238806941542067</v>
      </c>
      <c r="BG8" s="20">
        <f t="shared" si="7"/>
        <v>4.9778647811784866</v>
      </c>
      <c r="BH8" s="59">
        <f t="shared" si="8"/>
        <v>267.75564255895625</v>
      </c>
      <c r="BI8" s="59">
        <f ca="1">AVERAGE(OFFSET($BH$3,0,0,'Données projet'!$E$11+1,1))-AVERAGE(OFFSET($H$3,0,0,'Données projet'!$E$11+1,1))</f>
        <v>464.3681853739115</v>
      </c>
      <c r="BJ8" s="59">
        <f t="shared" si="38"/>
        <v>272.97841038165217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2.6666666666666665</v>
      </c>
      <c r="BY8" s="12">
        <f>IF('Données projet'!$A$114&gt;35,BY7+BX8-CG7,IF(A8&lt;'Données projet'!$A$114,$BV$205^A8,IF(A8='Données projet'!$A$114,'Données projet'!$B$114,BY7+BX8-CG7)))</f>
        <v>3.4199518933533928</v>
      </c>
      <c r="BZ8" s="13">
        <f>BY8*VLOOKUP('Données projet'!$B$12,Paramètres!$A$1:$I$89,3,0)*VLOOKUP('Données projet'!$B$12,Paramètres!$A$1:$I$89,5,0)</f>
        <v>2.6675624768156463</v>
      </c>
      <c r="CA8" s="13">
        <f t="shared" si="39"/>
        <v>1.0966471776471767</v>
      </c>
      <c r="CB8" s="20">
        <f t="shared" si="10"/>
        <v>6.5559984815227494</v>
      </c>
      <c r="CC8" s="59">
        <f t="shared" si="11"/>
        <v>269.33377625930052</v>
      </c>
      <c r="CD8" s="59">
        <f ca="1">AVERAGE(OFFSET($CC$3,0,0,'Données projet'!$E$12+1,1))-AVERAGE(OFFSET($H$3,0,0,'Données projet'!$E$12+1,1))</f>
        <v>288.82868507674738</v>
      </c>
      <c r="CE8" s="59">
        <f t="shared" si="40"/>
        <v>283.48738729114024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2.8559505878078499</v>
      </c>
      <c r="CV8" s="13">
        <f t="shared" si="41"/>
        <v>1.1648053960395504</v>
      </c>
      <c r="CW8" s="20">
        <f t="shared" si="13"/>
        <v>7.0028166718675555</v>
      </c>
      <c r="CX8" s="59">
        <f t="shared" si="14"/>
        <v>269.78059444964532</v>
      </c>
      <c r="CY8" s="59">
        <f ca="1">AVERAGE(OFFSET($CX$3,0,0,'Données projet'!$E$13+1,1))-AVERAGE(OFFSET($H$3,0,0,'Données projet'!$E$13+1,1))</f>
        <v>340.49092994349405</v>
      </c>
      <c r="CZ8" s="59">
        <f t="shared" si="42"/>
        <v>331.54434271908832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</v>
      </c>
      <c r="DO8" s="12">
        <f>IF('Données projet'!$A$166&gt;35,DO7+DN8-DW7,IF(A8&lt;'Données projet'!$A$166,$DL$205^A8,IF(A8='Données projet'!$A$166,'Données projet'!$B$166,DO7+DN8-DW7)))</f>
        <v>20</v>
      </c>
      <c r="DP8" s="17">
        <f>DO8*VLOOKUP('Données projet'!$B$14,Paramètres!$A$1:$I$89,3,0)*VLOOKUP('Données projet'!$B$14,Paramètres!$A$1:$I$89,5,0)</f>
        <v>20.28</v>
      </c>
      <c r="DQ8" s="13">
        <f t="shared" si="43"/>
        <v>6.5838102554415308</v>
      </c>
      <c r="DR8" s="20">
        <f t="shared" si="16"/>
        <v>46.787802861560664</v>
      </c>
      <c r="DS8" s="59">
        <f t="shared" si="17"/>
        <v>309.56558063933846</v>
      </c>
      <c r="DT8" s="59">
        <f ca="1">AVERAGE(OFFSET($DS$3,0,0,'Données projet'!$E$14+1,1))-AVERAGE(OFFSET($H$3,0,0,'Données projet'!$E$14+1,1))</f>
        <v>586.50020405958992</v>
      </c>
      <c r="DU8" s="59">
        <f t="shared" si="44"/>
        <v>304.44184537595294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3.3454643638562565</v>
      </c>
      <c r="O9" s="13">
        <f>N9*VLOOKUP('Données projet'!$B$9,Paramètres!$A$1:$I$89,3,0)*VLOOKUP('Données projet'!$B$9,Paramètres!$A$1:$I$89,5,0)</f>
        <v>2.8704084241886685</v>
      </c>
      <c r="P9" s="13">
        <f t="shared" si="33"/>
        <v>1.170014151433729</v>
      </c>
      <c r="Q9" s="20">
        <f t="shared" si="2"/>
        <v>7.0370693192090075</v>
      </c>
      <c r="R9" s="59">
        <f t="shared" si="0"/>
        <v>271.03706931920902</v>
      </c>
      <c r="S9" s="59">
        <f ca="1">AVERAGE(OFFSET($R$3,0,0,'Données projet'!$E$9+1,1))-AVERAGE(OFFSET($H$3,0,0,'Données projet'!$E$9+1,1))</f>
        <v>536.21423347711345</v>
      </c>
      <c r="T9" s="59">
        <f t="shared" si="34"/>
        <v>312.14361830038712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</v>
      </c>
      <c r="AI9" s="13">
        <f>IF('Données projet'!$A$62&gt;35,AI8+AH9-AQ8,IF(A9&lt;'Données projet'!$A$62,$AF$205^A9,IF(A9='Données projet'!$A$62,'Données projet'!$B$62,AI8+AH9-AQ8)))</f>
        <v>24</v>
      </c>
      <c r="AJ9" s="13">
        <f>AI9*VLOOKUP('Données projet'!$B$10,Paramètres!$A$1:$I$89,3,0)*VLOOKUP('Données projet'!$B$10,Paramètres!$A$1:$I$89,5,0)</f>
        <v>21.715199999999999</v>
      </c>
      <c r="AK9" s="13">
        <f t="shared" si="35"/>
        <v>6.9938544235075568</v>
      </c>
      <c r="AL9" s="20">
        <f t="shared" si="4"/>
        <v>50.00160312094232</v>
      </c>
      <c r="AM9" s="59">
        <f t="shared" si="5"/>
        <v>314.00160312094232</v>
      </c>
      <c r="AN9" s="59">
        <f ca="1">AVERAGE(OFFSET($AM$3,0,0,'Données projet'!$E$10+1,1))-AVERAGE(OFFSET($H$3,0,0,'Données projet'!$E$10+1,1))</f>
        <v>528.15559695545812</v>
      </c>
      <c r="AO9" s="59">
        <f t="shared" si="36"/>
        <v>276.26988364830532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</v>
      </c>
      <c r="BD9" s="12">
        <f>IF('Données projet'!$A$88&gt;35,BD8+BC9-BL8,IF(A9&lt;'Données projet'!$A$88,$BA$205^A9,IF(A9='Données projet'!$A$88,'Données projet'!$B$88,BD8+BC9-BL8)))</f>
        <v>3.3454643638562565</v>
      </c>
      <c r="BE9" s="13">
        <f>BD9*VLOOKUP('Données projet'!$B$11,Paramètres!$A$1:$I$89,3,0)*VLOOKUP('Données projet'!$B$11,Paramètres!$A$1:$I$89,5,0)</f>
        <v>2.4528944715794072</v>
      </c>
      <c r="BF9" s="13">
        <f t="shared" si="37"/>
        <v>1.0182919475019252</v>
      </c>
      <c r="BG9" s="20">
        <f t="shared" si="7"/>
        <v>6.045649679899987</v>
      </c>
      <c r="BH9" s="59">
        <f t="shared" si="8"/>
        <v>270.04564967990001</v>
      </c>
      <c r="BI9" s="59">
        <f ca="1">AVERAGE(OFFSET($BH$3,0,0,'Données projet'!$E$11+1,1))-AVERAGE(OFFSET($H$3,0,0,'Données projet'!$E$11+1,1))</f>
        <v>464.3681853739115</v>
      </c>
      <c r="BJ9" s="59">
        <f t="shared" si="38"/>
        <v>272.97841038165217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2.6666666666666665</v>
      </c>
      <c r="BY9" s="12">
        <f>IF('Données projet'!$A$114&gt;35,BY8+BX9-CG8,IF(A9&lt;'Données projet'!$A$114,$BV$205^A9,IF(A9='Données projet'!$A$114,'Données projet'!$B$114,BY8+BX9-CG8)))</f>
        <v>4.3734482957731098</v>
      </c>
      <c r="BZ9" s="13">
        <f>BY9*VLOOKUP('Données projet'!$B$12,Paramètres!$A$1:$I$89,3,0)*VLOOKUP('Données projet'!$B$12,Paramètres!$A$1:$I$89,5,0)</f>
        <v>3.4112896707030256</v>
      </c>
      <c r="CA9" s="13">
        <f t="shared" si="39"/>
        <v>1.3628213830192535</v>
      </c>
      <c r="CB9" s="20">
        <f t="shared" si="10"/>
        <v>8.3149100852329703</v>
      </c>
      <c r="CC9" s="59">
        <f t="shared" si="11"/>
        <v>272.31491008523295</v>
      </c>
      <c r="CD9" s="59">
        <f ca="1">AVERAGE(OFFSET($CC$3,0,0,'Données projet'!$E$12+1,1))-AVERAGE(OFFSET($H$3,0,0,'Données projet'!$E$12+1,1))</f>
        <v>288.82868507674738</v>
      </c>
      <c r="CE9" s="59">
        <f t="shared" si="40"/>
        <v>283.48738729114024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3.8337699532265201</v>
      </c>
      <c r="CV9" s="13">
        <f t="shared" si="41"/>
        <v>1.510928948326496</v>
      </c>
      <c r="CW9" s="20">
        <f t="shared" si="13"/>
        <v>9.308683920204837</v>
      </c>
      <c r="CX9" s="59">
        <f t="shared" si="14"/>
        <v>273.30868392020483</v>
      </c>
      <c r="CY9" s="59">
        <f ca="1">AVERAGE(OFFSET($CX$3,0,0,'Données projet'!$E$13+1,1))-AVERAGE(OFFSET($H$3,0,0,'Données projet'!$E$13+1,1))</f>
        <v>340.49092994349405</v>
      </c>
      <c r="CZ9" s="59">
        <f t="shared" si="42"/>
        <v>331.54434271908832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</v>
      </c>
      <c r="DO9" s="12">
        <f>IF('Données projet'!$A$166&gt;35,DO8+DN9-DW8,IF(A9&lt;'Données projet'!$A$166,$DL$205^A9,IF(A9='Données projet'!$A$166,'Données projet'!$B$166,DO8+DN9-DW8)))</f>
        <v>24</v>
      </c>
      <c r="DP9" s="17">
        <f>DO9*VLOOKUP('Données projet'!$B$14,Paramètres!$A$1:$I$89,3,0)*VLOOKUP('Données projet'!$B$14,Paramètres!$A$1:$I$89,5,0)</f>
        <v>24.336000000000002</v>
      </c>
      <c r="DQ9" s="13">
        <f t="shared" si="43"/>
        <v>7.7346711726299766</v>
      </c>
      <c r="DR9" s="20">
        <f t="shared" si="16"/>
        <v>55.85641895899721</v>
      </c>
      <c r="DS9" s="59">
        <f t="shared" si="17"/>
        <v>319.85641895899721</v>
      </c>
      <c r="DT9" s="59">
        <f ca="1">AVERAGE(OFFSET($DS$3,0,0,'Données projet'!$E$14+1,1))-AVERAGE(OFFSET($H$3,0,0,'Données projet'!$E$14+1,1))</f>
        <v>586.50020405958992</v>
      </c>
      <c r="DU9" s="59">
        <f t="shared" si="44"/>
        <v>304.44184537595294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4.091342237960264</v>
      </c>
      <c r="O10" s="13">
        <f>N10*VLOOKUP('Données projet'!$B$9,Paramètres!$A$1:$I$89,3,0)*VLOOKUP('Données projet'!$B$9,Paramètres!$A$1:$I$89,5,0)</f>
        <v>3.510371640169907</v>
      </c>
      <c r="P10" s="13">
        <f t="shared" si="33"/>
        <v>1.3977389309136552</v>
      </c>
      <c r="Q10" s="20">
        <f t="shared" si="2"/>
        <v>8.5482925779705372</v>
      </c>
      <c r="R10" s="59">
        <f t="shared" si="0"/>
        <v>273.77051480019276</v>
      </c>
      <c r="S10" s="59">
        <f ca="1">AVERAGE(OFFSET($R$3,0,0,'Données projet'!$E$9+1,1))-AVERAGE(OFFSET($H$3,0,0,'Données projet'!$E$9+1,1))</f>
        <v>536.21423347711345</v>
      </c>
      <c r="T10" s="59">
        <f t="shared" si="34"/>
        <v>312.14361830038712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</v>
      </c>
      <c r="AI10" s="13">
        <f>IF('Données projet'!$A$62&gt;35,AI9+AH10-AQ9,IF(A10&lt;'Données projet'!$A$62,$AF$205^A10,IF(A10='Données projet'!$A$62,'Données projet'!$B$62,AI9+AH10-AQ9)))</f>
        <v>28</v>
      </c>
      <c r="AJ10" s="13">
        <f>AI10*VLOOKUP('Données projet'!$B$10,Paramètres!$A$1:$I$89,3,0)*VLOOKUP('Données projet'!$B$10,Paramètres!$A$1:$I$89,5,0)</f>
        <v>25.334399999999999</v>
      </c>
      <c r="AK10" s="13">
        <f t="shared" si="35"/>
        <v>8.0143955200794572</v>
      </c>
      <c r="AL10" s="20">
        <f t="shared" si="4"/>
        <v>58.082485530805052</v>
      </c>
      <c r="AM10" s="59">
        <f t="shared" si="5"/>
        <v>323.30470775302729</v>
      </c>
      <c r="AN10" s="59">
        <f ca="1">AVERAGE(OFFSET($AM$3,0,0,'Données projet'!$E$10+1,1))-AVERAGE(OFFSET($H$3,0,0,'Données projet'!$E$10+1,1))</f>
        <v>528.15559695545812</v>
      </c>
      <c r="AO10" s="59">
        <f t="shared" si="36"/>
        <v>276.26988364830532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</v>
      </c>
      <c r="BD10" s="12">
        <f>IF('Données projet'!$A$88&gt;35,BD9+BC10-BL9,IF(A10&lt;'Données projet'!$A$88,$BA$205^A10,IF(A10='Données projet'!$A$88,'Données projet'!$B$88,BD9+BC10-BL9)))</f>
        <v>4.091342237960264</v>
      </c>
      <c r="BE10" s="13">
        <f>BD10*VLOOKUP('Données projet'!$B$11,Paramètres!$A$1:$I$89,3,0)*VLOOKUP('Données projet'!$B$11,Paramètres!$A$1:$I$89,5,0)</f>
        <v>2.9997721288724652</v>
      </c>
      <c r="BF10" s="13">
        <f t="shared" si="37"/>
        <v>1.2164863957544558</v>
      </c>
      <c r="BG10" s="20">
        <f t="shared" si="7"/>
        <v>7.3433169303918868</v>
      </c>
      <c r="BH10" s="59">
        <f t="shared" si="8"/>
        <v>272.56553915261412</v>
      </c>
      <c r="BI10" s="59">
        <f ca="1">AVERAGE(OFFSET($BH$3,0,0,'Données projet'!$E$11+1,1))-AVERAGE(OFFSET($H$3,0,0,'Données projet'!$E$11+1,1))</f>
        <v>464.3681853739115</v>
      </c>
      <c r="BJ10" s="59">
        <f t="shared" si="38"/>
        <v>272.97841038165217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2.6666666666666665</v>
      </c>
      <c r="BY10" s="12">
        <f>IF('Données projet'!$A$114&gt;35,BY9+BX10-CG9,IF(A10&lt;'Données projet'!$A$114,$BV$205^A10,IF(A10='Données projet'!$A$114,'Données projet'!$B$114,BY9+BX10-CG9)))</f>
        <v>5.5927833467405659</v>
      </c>
      <c r="BZ10" s="13">
        <f>BY10*VLOOKUP('Données projet'!$B$12,Paramètres!$A$1:$I$89,3,0)*VLOOKUP('Données projet'!$B$12,Paramètres!$A$1:$I$89,5,0)</f>
        <v>4.3623710104576414</v>
      </c>
      <c r="CA10" s="13">
        <f t="shared" si="39"/>
        <v>1.6936004212396314</v>
      </c>
      <c r="CB10" s="20">
        <f t="shared" si="10"/>
        <v>10.54748357687275</v>
      </c>
      <c r="CC10" s="59">
        <f t="shared" si="11"/>
        <v>275.76970579909499</v>
      </c>
      <c r="CD10" s="59">
        <f ca="1">AVERAGE(OFFSET($CC$3,0,0,'Données projet'!$E$12+1,1))-AVERAGE(OFFSET($H$3,0,0,'Données projet'!$E$12+1,1))</f>
        <v>288.82868507674738</v>
      </c>
      <c r="CE10" s="59">
        <f t="shared" si="40"/>
        <v>283.48738729114024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5.1463747716812209</v>
      </c>
      <c r="CV10" s="13">
        <f t="shared" si="41"/>
        <v>1.9599035981916897</v>
      </c>
      <c r="CW10" s="20">
        <f t="shared" si="13"/>
        <v>12.376768160861985</v>
      </c>
      <c r="CX10" s="59">
        <f t="shared" si="14"/>
        <v>277.59899038308424</v>
      </c>
      <c r="CY10" s="59">
        <f ca="1">AVERAGE(OFFSET($CX$3,0,0,'Données projet'!$E$13+1,1))-AVERAGE(OFFSET($H$3,0,0,'Données projet'!$E$13+1,1))</f>
        <v>340.49092994349405</v>
      </c>
      <c r="CZ10" s="59">
        <f t="shared" si="42"/>
        <v>331.54434271908832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</v>
      </c>
      <c r="DO10" s="12">
        <f>IF('Données projet'!$A$166&gt;35,DO9+DN10-DW9,IF(A10&lt;'Données projet'!$A$166,$DL$205^A10,IF(A10='Données projet'!$A$166,'Données projet'!$B$166,DO9+DN10-DW9)))</f>
        <v>28</v>
      </c>
      <c r="DP10" s="17">
        <f>DO10*VLOOKUP('Données projet'!$B$14,Paramètres!$A$1:$I$89,3,0)*VLOOKUP('Données projet'!$B$14,Paramètres!$A$1:$I$89,5,0)</f>
        <v>28.391999999999999</v>
      </c>
      <c r="DQ10" s="13">
        <f t="shared" si="43"/>
        <v>8.8633120224605495</v>
      </c>
      <c r="DR10" s="20">
        <f t="shared" si="16"/>
        <v>64.886335105785449</v>
      </c>
      <c r="DS10" s="59">
        <f t="shared" si="17"/>
        <v>330.10855732800769</v>
      </c>
      <c r="DT10" s="59">
        <f ca="1">AVERAGE(OFFSET($DS$3,0,0,'Données projet'!$E$14+1,1))-AVERAGE(OFFSET($H$3,0,0,'Données projet'!$E$14+1,1))</f>
        <v>586.50020405958992</v>
      </c>
      <c r="DU10" s="59">
        <f t="shared" si="44"/>
        <v>304.44184537595294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5.0035150542816931</v>
      </c>
      <c r="O11" s="13">
        <f>N11*VLOOKUP('Données projet'!$B$9,Paramètres!$A$1:$I$89,3,0)*VLOOKUP('Données projet'!$B$9,Paramètres!$A$1:$I$89,5,0)</f>
        <v>4.293015916573693</v>
      </c>
      <c r="P11" s="13">
        <f t="shared" si="33"/>
        <v>1.669786742833518</v>
      </c>
      <c r="Q11" s="20">
        <f t="shared" si="2"/>
        <v>10.385214631800892</v>
      </c>
      <c r="R11" s="59">
        <f t="shared" si="0"/>
        <v>276.82965907624532</v>
      </c>
      <c r="S11" s="59">
        <f ca="1">AVERAGE(OFFSET($R$3,0,0,'Données projet'!$E$9+1,1))-AVERAGE(OFFSET($H$3,0,0,'Données projet'!$E$9+1,1))</f>
        <v>536.21423347711345</v>
      </c>
      <c r="T11" s="59">
        <f t="shared" si="34"/>
        <v>312.14361830038712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</v>
      </c>
      <c r="AI11" s="13">
        <f>IF('Données projet'!$A$62&gt;35,AI10+AH11-AQ10,IF(A11&lt;'Données projet'!$A$62,$AF$205^A11,IF(A11='Données projet'!$A$62,'Données projet'!$B$62,AI10+AH11-AQ10)))</f>
        <v>32</v>
      </c>
      <c r="AJ11" s="13">
        <f>AI11*VLOOKUP('Données projet'!$B$10,Paramètres!$A$1:$I$89,3,0)*VLOOKUP('Données projet'!$B$10,Paramètres!$A$1:$I$89,5,0)</f>
        <v>28.953599999999998</v>
      </c>
      <c r="AK11" s="13">
        <f t="shared" si="35"/>
        <v>9.0180462007869302</v>
      </c>
      <c r="AL11" s="20">
        <f t="shared" si="4"/>
        <v>66.133950466370564</v>
      </c>
      <c r="AM11" s="59">
        <f t="shared" si="5"/>
        <v>332.57839491081501</v>
      </c>
      <c r="AN11" s="59">
        <f ca="1">AVERAGE(OFFSET($AM$3,0,0,'Données projet'!$E$10+1,1))-AVERAGE(OFFSET($H$3,0,0,'Données projet'!$E$10+1,1))</f>
        <v>528.15559695545812</v>
      </c>
      <c r="AO11" s="59">
        <f t="shared" si="36"/>
        <v>276.26988364830532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</v>
      </c>
      <c r="BD11" s="12">
        <f>IF('Données projet'!$A$88&gt;35,BD10+BC11-BL10,IF(A11&lt;'Données projet'!$A$88,$BA$205^A11,IF(A11='Données projet'!$A$88,'Données projet'!$B$88,BD10+BC11-BL10)))</f>
        <v>5.0035150542816931</v>
      </c>
      <c r="BE11" s="13">
        <f>BD11*VLOOKUP('Données projet'!$B$11,Paramètres!$A$1:$I$89,3,0)*VLOOKUP('Données projet'!$B$11,Paramètres!$A$1:$I$89,5,0)</f>
        <v>3.6685772377993371</v>
      </c>
      <c r="BF11" s="13">
        <f t="shared" si="37"/>
        <v>1.4532562637719066</v>
      </c>
      <c r="BG11" s="20">
        <f t="shared" si="7"/>
        <v>8.9205266819032492</v>
      </c>
      <c r="BH11" s="59">
        <f t="shared" si="8"/>
        <v>275.36497112634771</v>
      </c>
      <c r="BI11" s="59">
        <f ca="1">AVERAGE(OFFSET($BH$3,0,0,'Données projet'!$E$11+1,1))-AVERAGE(OFFSET($H$3,0,0,'Données projet'!$E$11+1,1))</f>
        <v>464.3681853739115</v>
      </c>
      <c r="BJ11" s="59">
        <f t="shared" si="38"/>
        <v>272.97841038165217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2.6666666666666665</v>
      </c>
      <c r="BY11" s="12">
        <f>IF('Données projet'!$A$114&gt;35,BY10+BX11-CG10,IF(A11&lt;'Données projet'!$A$114,$BV$205^A11,IF(A11='Données projet'!$A$114,'Données projet'!$B$114,BY10+BX11-CG10)))</f>
        <v>7.1520739352994367</v>
      </c>
      <c r="BZ11" s="13">
        <f>BY11*VLOOKUP('Données projet'!$B$12,Paramètres!$A$1:$I$89,3,0)*VLOOKUP('Données projet'!$B$12,Paramètres!$A$1:$I$89,5,0)</f>
        <v>5.5786176695335605</v>
      </c>
      <c r="CA11" s="13">
        <f t="shared" si="39"/>
        <v>2.1046649418345189</v>
      </c>
      <c r="CB11" s="20">
        <f t="shared" si="10"/>
        <v>13.381717214799407</v>
      </c>
      <c r="CC11" s="59">
        <f t="shared" si="11"/>
        <v>279.82616165924384</v>
      </c>
      <c r="CD11" s="59">
        <f ca="1">AVERAGE(OFFSET($CC$3,0,0,'Données projet'!$E$12+1,1))-AVERAGE(OFFSET($H$3,0,0,'Données projet'!$E$12+1,1))</f>
        <v>288.82868507674738</v>
      </c>
      <c r="CE11" s="59">
        <f t="shared" si="40"/>
        <v>283.48738729114024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6.90838876972962</v>
      </c>
      <c r="CV11" s="13">
        <f t="shared" si="41"/>
        <v>2.5422916931065935</v>
      </c>
      <c r="CW11" s="20">
        <f t="shared" si="13"/>
        <v>16.45993513943974</v>
      </c>
      <c r="CX11" s="59">
        <f t="shared" si="14"/>
        <v>282.90437958388418</v>
      </c>
      <c r="CY11" s="59">
        <f ca="1">AVERAGE(OFFSET($CX$3,0,0,'Données projet'!$E$13+1,1))-AVERAGE(OFFSET($H$3,0,0,'Données projet'!$E$13+1,1))</f>
        <v>340.49092994349405</v>
      </c>
      <c r="CZ11" s="59">
        <f t="shared" si="42"/>
        <v>331.54434271908832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</v>
      </c>
      <c r="DO11" s="12">
        <f>IF('Données projet'!$A$166&gt;35,DO10+DN11-DW10,IF(A11&lt;'Données projet'!$A$166,$DL$205^A11,IF(A11='Données projet'!$A$166,'Données projet'!$B$166,DO10+DN11-DW10)))</f>
        <v>32</v>
      </c>
      <c r="DP11" s="17">
        <f>DO11*VLOOKUP('Données projet'!$B$14,Paramètres!$A$1:$I$89,3,0)*VLOOKUP('Données projet'!$B$14,Paramètres!$A$1:$I$89,5,0)</f>
        <v>32.448</v>
      </c>
      <c r="DQ11" s="13">
        <f t="shared" si="43"/>
        <v>9.9732733567093899</v>
      </c>
      <c r="DR11" s="20">
        <f t="shared" si="16"/>
        <v>73.883717762935518</v>
      </c>
      <c r="DS11" s="59">
        <f t="shared" si="17"/>
        <v>340.32816220737999</v>
      </c>
      <c r="DT11" s="59">
        <f ca="1">AVERAGE(OFFSET($DS$3,0,0,'Données projet'!$E$14+1,1))-AVERAGE(OFFSET($H$3,0,0,'Données projet'!$E$14+1,1))</f>
        <v>586.50020405958992</v>
      </c>
      <c r="DU11" s="59">
        <f t="shared" si="44"/>
        <v>304.44184537595294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6.1190585979687659</v>
      </c>
      <c r="O12" s="13">
        <f>N12*VLOOKUP('Données projet'!$B$9,Paramètres!$A$1:$I$89,3,0)*VLOOKUP('Données projet'!$B$9,Paramètres!$A$1:$I$89,5,0)</f>
        <v>5.250152277057202</v>
      </c>
      <c r="P12" s="13">
        <f t="shared" si="33"/>
        <v>1.9947843655753528</v>
      </c>
      <c r="Q12" s="20">
        <f t="shared" si="2"/>
        <v>12.618264652585031</v>
      </c>
      <c r="R12" s="59">
        <f t="shared" si="0"/>
        <v>280.28493131925171</v>
      </c>
      <c r="S12" s="59">
        <f ca="1">AVERAGE(OFFSET($R$3,0,0,'Données projet'!$E$9+1,1))-AVERAGE(OFFSET($H$3,0,0,'Données projet'!$E$9+1,1))</f>
        <v>536.21423347711345</v>
      </c>
      <c r="T12" s="59">
        <f t="shared" si="34"/>
        <v>312.14361830038712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</v>
      </c>
      <c r="AI12" s="13">
        <f>IF('Données projet'!$A$62&gt;35,AI11+AH12-AQ11,IF(A12&lt;'Données projet'!$A$62,$AF$205^A12,IF(A12='Données projet'!$A$62,'Données projet'!$B$62,AI11+AH12-AQ11)))</f>
        <v>36</v>
      </c>
      <c r="AJ12" s="13">
        <f>AI12*VLOOKUP('Données projet'!$B$10,Paramètres!$A$1:$I$89,3,0)*VLOOKUP('Données projet'!$B$10,Paramètres!$A$1:$I$89,5,0)</f>
        <v>32.572800000000001</v>
      </c>
      <c r="AK12" s="13">
        <f t="shared" si="35"/>
        <v>10.007159566468195</v>
      </c>
      <c r="AL12" s="20">
        <f t="shared" si="4"/>
        <v>74.160096244932106</v>
      </c>
      <c r="AM12" s="59">
        <f t="shared" si="5"/>
        <v>341.82676291159879</v>
      </c>
      <c r="AN12" s="59">
        <f ca="1">AVERAGE(OFFSET($AM$3,0,0,'Données projet'!$E$10+1,1))-AVERAGE(OFFSET($H$3,0,0,'Données projet'!$E$10+1,1))</f>
        <v>528.15559695545812</v>
      </c>
      <c r="AO12" s="59">
        <f t="shared" si="36"/>
        <v>276.26988364830532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</v>
      </c>
      <c r="BD12" s="12">
        <f>IF('Données projet'!$A$88&gt;35,BD11+BC12-BL11,IF(A12&lt;'Données projet'!$A$88,$BA$205^A12,IF(A12='Données projet'!$A$88,'Données projet'!$B$88,BD11+BC12-BL11)))</f>
        <v>6.1190585979687659</v>
      </c>
      <c r="BE12" s="13">
        <f>BD12*VLOOKUP('Données projet'!$B$11,Paramètres!$A$1:$I$89,3,0)*VLOOKUP('Données projet'!$B$11,Paramètres!$A$1:$I$89,5,0)</f>
        <v>4.4864937640306986</v>
      </c>
      <c r="BF12" s="13">
        <f t="shared" si="37"/>
        <v>1.7361096478867435</v>
      </c>
      <c r="BG12" s="20">
        <f t="shared" si="7"/>
        <v>10.837700942422877</v>
      </c>
      <c r="BH12" s="59">
        <f t="shared" si="8"/>
        <v>278.50436760908957</v>
      </c>
      <c r="BI12" s="59">
        <f ca="1">AVERAGE(OFFSET($BH$3,0,0,'Données projet'!$E$11+1,1))-AVERAGE(OFFSET($H$3,0,0,'Données projet'!$E$11+1,1))</f>
        <v>464.3681853739115</v>
      </c>
      <c r="BJ12" s="59">
        <f t="shared" si="38"/>
        <v>272.97841038165217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2.6666666666666665</v>
      </c>
      <c r="BY12" s="12">
        <f>IF('Données projet'!$A$114&gt;35,BY11+BX12-CG11,IF(A12&lt;'Données projet'!$A$114,$BV$205^A12,IF(A12='Données projet'!$A$114,'Données projet'!$B$114,BY11+BX12-CG11)))</f>
        <v>9.1461010385465205</v>
      </c>
      <c r="BZ12" s="13">
        <f>BY12*VLOOKUP('Données projet'!$B$12,Paramètres!$A$1:$I$89,3,0)*VLOOKUP('Données projet'!$B$12,Paramètres!$A$1:$I$89,5,0)</f>
        <v>7.1339588100662858</v>
      </c>
      <c r="CA12" s="13">
        <f t="shared" si="39"/>
        <v>2.6155015444227643</v>
      </c>
      <c r="CB12" s="20">
        <f t="shared" si="10"/>
        <v>16.980310117401761</v>
      </c>
      <c r="CC12" s="59">
        <f t="shared" si="11"/>
        <v>284.64697678406844</v>
      </c>
      <c r="CD12" s="59">
        <f ca="1">AVERAGE(OFFSET($CC$3,0,0,'Données projet'!$E$12+1,1))-AVERAGE(OFFSET($H$3,0,0,'Données projet'!$E$12+1,1))</f>
        <v>288.82868507674738</v>
      </c>
      <c r="CE12" s="59">
        <f t="shared" si="40"/>
        <v>283.48738729114024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9.2736805054201739</v>
      </c>
      <c r="CV12" s="13">
        <f t="shared" si="41"/>
        <v>3.2977372248319372</v>
      </c>
      <c r="CW12" s="20">
        <f t="shared" si="13"/>
        <v>21.895219213522427</v>
      </c>
      <c r="CX12" s="59">
        <f t="shared" si="14"/>
        <v>289.5618858801891</v>
      </c>
      <c r="CY12" s="59">
        <f ca="1">AVERAGE(OFFSET($CX$3,0,0,'Données projet'!$E$13+1,1))-AVERAGE(OFFSET($H$3,0,0,'Données projet'!$E$13+1,1))</f>
        <v>340.49092994349405</v>
      </c>
      <c r="CZ12" s="59">
        <f t="shared" si="42"/>
        <v>331.54434271908832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</v>
      </c>
      <c r="DO12" s="12">
        <f>IF('Données projet'!$A$166&gt;35,DO11+DN12-DW11,IF(A12&lt;'Données projet'!$A$166,$DL$205^A12,IF(A12='Données projet'!$A$166,'Données projet'!$B$166,DO11+DN12-DW11)))</f>
        <v>36</v>
      </c>
      <c r="DP12" s="17">
        <f>DO12*VLOOKUP('Données projet'!$B$14,Paramètres!$A$1:$I$89,3,0)*VLOOKUP('Données projet'!$B$14,Paramètres!$A$1:$I$89,5,0)</f>
        <v>36.504000000000005</v>
      </c>
      <c r="DQ12" s="13">
        <f t="shared" si="43"/>
        <v>11.067157525971377</v>
      </c>
      <c r="DR12" s="20">
        <f t="shared" si="16"/>
        <v>82.853099357733484</v>
      </c>
      <c r="DS12" s="59">
        <f t="shared" si="17"/>
        <v>350.51976602440016</v>
      </c>
      <c r="DT12" s="59">
        <f ca="1">AVERAGE(OFFSET($DS$3,0,0,'Données projet'!$E$14+1,1))-AVERAGE(OFFSET($H$3,0,0,'Données projet'!$E$14+1,1))</f>
        <v>586.50020405958992</v>
      </c>
      <c r="DU12" s="59">
        <f t="shared" si="44"/>
        <v>304.44184537595294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7.4833147735478933</v>
      </c>
      <c r="O13" s="13">
        <f>N13*VLOOKUP('Données projet'!$B$9,Paramètres!$A$1:$I$89,3,0)*VLOOKUP('Données projet'!$B$9,Paramètres!$A$1:$I$89,5,0)</f>
        <v>6.4206840757040933</v>
      </c>
      <c r="P13" s="13">
        <f t="shared" si="33"/>
        <v>2.3830376437122043</v>
      </c>
      <c r="Q13" s="20">
        <f t="shared" si="2"/>
        <v>15.33314866131672</v>
      </c>
      <c r="R13" s="59">
        <f t="shared" si="0"/>
        <v>284.22203755020558</v>
      </c>
      <c r="S13" s="59">
        <f ca="1">AVERAGE(OFFSET($R$3,0,0,'Données projet'!$E$9+1,1))-AVERAGE(OFFSET($H$3,0,0,'Données projet'!$E$9+1,1))</f>
        <v>536.21423347711345</v>
      </c>
      <c r="T13" s="59">
        <f t="shared" si="34"/>
        <v>312.14361830038712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</v>
      </c>
      <c r="AI13" s="13">
        <f>IF('Données projet'!$A$62&gt;35,AI12+AH13-AQ12,IF(A13&lt;'Données projet'!$A$62,$AF$205^A13,IF(A13='Données projet'!$A$62,'Données projet'!$B$62,AI12+AH13-AQ12)))</f>
        <v>40</v>
      </c>
      <c r="AJ13" s="13">
        <f>AI13*VLOOKUP('Données projet'!$B$10,Paramètres!$A$1:$I$89,3,0)*VLOOKUP('Données projet'!$B$10,Paramètres!$A$1:$I$89,5,0)</f>
        <v>36.192</v>
      </c>
      <c r="AK13" s="13">
        <f t="shared" si="35"/>
        <v>10.98353513000465</v>
      </c>
      <c r="AL13" s="20">
        <f t="shared" si="4"/>
        <v>82.164057018091427</v>
      </c>
      <c r="AM13" s="59">
        <f t="shared" si="5"/>
        <v>351.05294590698031</v>
      </c>
      <c r="AN13" s="59">
        <f ca="1">AVERAGE(OFFSET($AM$3,0,0,'Données projet'!$E$10+1,1))-AVERAGE(OFFSET($H$3,0,0,'Données projet'!$E$10+1,1))</f>
        <v>528.15559695545812</v>
      </c>
      <c r="AO13" s="59">
        <f t="shared" si="36"/>
        <v>276.26988364830532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</v>
      </c>
      <c r="BD13" s="12">
        <f>IF('Données projet'!$A$88&gt;35,BD12+BC13-BL12,IF(A13&lt;'Données projet'!$A$88,$BA$205^A13,IF(A13='Données projet'!$A$88,'Données projet'!$B$88,BD12+BC13-BL12)))</f>
        <v>7.4833147735478933</v>
      </c>
      <c r="BE13" s="13">
        <f>BD13*VLOOKUP('Données projet'!$B$11,Paramètres!$A$1:$I$89,3,0)*VLOOKUP('Données projet'!$B$11,Paramètres!$A$1:$I$89,5,0)</f>
        <v>5.4867663919653147</v>
      </c>
      <c r="BF13" s="13">
        <f t="shared" si="37"/>
        <v>2.074015976826026</v>
      </c>
      <c r="BG13" s="20">
        <f t="shared" si="7"/>
        <v>13.168362625644917</v>
      </c>
      <c r="BH13" s="59">
        <f t="shared" si="8"/>
        <v>282.05725151453379</v>
      </c>
      <c r="BI13" s="59">
        <f ca="1">AVERAGE(OFFSET($BH$3,0,0,'Données projet'!$E$11+1,1))-AVERAGE(OFFSET($H$3,0,0,'Données projet'!$E$11+1,1))</f>
        <v>464.3681853739115</v>
      </c>
      <c r="BJ13" s="59">
        <f t="shared" si="38"/>
        <v>272.97841038165217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2.6666666666666665</v>
      </c>
      <c r="BY13" s="12">
        <f>IF('Données projet'!$A$114&gt;35,BY12+BX13-CG12,IF(A13&lt;'Données projet'!$A$114,$BV$205^A13,IF(A13='Données projet'!$A$114,'Données projet'!$B$114,BY12+BX13-CG12)))</f>
        <v>11.696070952851455</v>
      </c>
      <c r="BZ13" s="13">
        <f>BY13*VLOOKUP('Données projet'!$B$12,Paramètres!$A$1:$I$89,3,0)*VLOOKUP('Données projet'!$B$12,Paramètres!$A$1:$I$89,5,0)</f>
        <v>9.1229353432241354</v>
      </c>
      <c r="CA13" s="13">
        <f t="shared" si="39"/>
        <v>3.2503265450485803</v>
      </c>
      <c r="CB13" s="20">
        <f t="shared" si="10"/>
        <v>21.550097788741649</v>
      </c>
      <c r="CC13" s="59">
        <f t="shared" si="11"/>
        <v>290.43898667763051</v>
      </c>
      <c r="CD13" s="59">
        <f ca="1">AVERAGE(OFFSET($CC$3,0,0,'Données projet'!$E$12+1,1))-AVERAGE(OFFSET($H$3,0,0,'Données projet'!$E$12+1,1))</f>
        <v>288.82868507674738</v>
      </c>
      <c r="CE13" s="59">
        <f t="shared" si="40"/>
        <v>283.48738729114024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12.4488</v>
      </c>
      <c r="CV13" s="13">
        <f t="shared" si="41"/>
        <v>4.2776644527179633</v>
      </c>
      <c r="CW13" s="20">
        <f t="shared" si="13"/>
        <v>29.131925588483782</v>
      </c>
      <c r="CX13" s="59">
        <f t="shared" si="14"/>
        <v>298.02081447737265</v>
      </c>
      <c r="CY13" s="59">
        <f ca="1">AVERAGE(OFFSET($CX$3,0,0,'Données projet'!$E$13+1,1))-AVERAGE(OFFSET($H$3,0,0,'Données projet'!$E$13+1,1))</f>
        <v>340.49092994349405</v>
      </c>
      <c r="CZ13" s="59">
        <f t="shared" si="42"/>
        <v>331.54434271908832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</v>
      </c>
      <c r="DO13" s="12">
        <f>IF('Données projet'!$A$166&gt;35,DO12+DN13-DW12,IF(A13&lt;'Données projet'!$A$166,$DL$205^A13,IF(A13='Données projet'!$A$166,'Données projet'!$B$166,DO12+DN13-DW12)))</f>
        <v>40</v>
      </c>
      <c r="DP13" s="17">
        <f>DO13*VLOOKUP('Données projet'!$B$14,Paramètres!$A$1:$I$89,3,0)*VLOOKUP('Données projet'!$B$14,Paramètres!$A$1:$I$89,5,0)</f>
        <v>40.56</v>
      </c>
      <c r="DQ13" s="13">
        <f t="shared" si="43"/>
        <v>12.146954654656581</v>
      </c>
      <c r="DR13" s="20">
        <f t="shared" si="16"/>
        <v>91.797946023526876</v>
      </c>
      <c r="DS13" s="59">
        <f t="shared" si="17"/>
        <v>360.68683491241575</v>
      </c>
      <c r="DT13" s="59">
        <f ca="1">AVERAGE(OFFSET($DS$3,0,0,'Données projet'!$E$14+1,1))-AVERAGE(OFFSET($H$3,0,0,'Données projet'!$E$14+1,1))</f>
        <v>586.50020405958992</v>
      </c>
      <c r="DU13" s="59">
        <f t="shared" si="44"/>
        <v>304.44184537595294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9.1517345525322273</v>
      </c>
      <c r="O14" s="13">
        <f>N14*VLOOKUP('Données projet'!$B$9,Paramètres!$A$1:$I$89,3,0)*VLOOKUP('Données projet'!$B$9,Paramètres!$A$1:$I$89,5,0)</f>
        <v>7.8521882460726511</v>
      </c>
      <c r="P14" s="13">
        <f t="shared" si="33"/>
        <v>2.8468582917289242</v>
      </c>
      <c r="Q14" s="20">
        <f t="shared" si="2"/>
        <v>18.634172720004408</v>
      </c>
      <c r="R14" s="59">
        <f t="shared" si="0"/>
        <v>288.74528383111556</v>
      </c>
      <c r="S14" s="59">
        <f ca="1">AVERAGE(OFFSET($R$3,0,0,'Données projet'!$E$9+1,1))-AVERAGE(OFFSET($H$3,0,0,'Données projet'!$E$9+1,1))</f>
        <v>536.21423347711345</v>
      </c>
      <c r="T14" s="59">
        <f t="shared" si="34"/>
        <v>312.14361830038712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</v>
      </c>
      <c r="AI14" s="13">
        <f>IF('Données projet'!$A$62&gt;35,AI13+AH14-AQ13,IF(A14&lt;'Données projet'!$A$62,$AF$205^A14,IF(A14='Données projet'!$A$62,'Données projet'!$B$62,AI13+AH14-AQ13)))</f>
        <v>44</v>
      </c>
      <c r="AJ14" s="13">
        <f>AI14*VLOOKUP('Données projet'!$B$10,Paramètres!$A$1:$I$89,3,0)*VLOOKUP('Données projet'!$B$10,Paramètres!$A$1:$I$89,5,0)</f>
        <v>39.811199999999999</v>
      </c>
      <c r="AK14" s="13">
        <f t="shared" si="35"/>
        <v>11.948591675101238</v>
      </c>
      <c r="AL14" s="20">
        <f t="shared" si="4"/>
        <v>90.148303834134651</v>
      </c>
      <c r="AM14" s="59">
        <f t="shared" si="5"/>
        <v>360.25941494524579</v>
      </c>
      <c r="AN14" s="59">
        <f ca="1">AVERAGE(OFFSET($AM$3,0,0,'Données projet'!$E$10+1,1))-AVERAGE(OFFSET($H$3,0,0,'Données projet'!$E$10+1,1))</f>
        <v>528.15559695545812</v>
      </c>
      <c r="AO14" s="59">
        <f t="shared" si="36"/>
        <v>276.26988364830532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</v>
      </c>
      <c r="BD14" s="12">
        <f>IF('Données projet'!$A$88&gt;35,BD13+BC14-BL13,IF(A14&lt;'Données projet'!$A$88,$BA$205^A14,IF(A14='Données projet'!$A$88,'Données projet'!$B$88,BD13+BC14-BL13)))</f>
        <v>9.1517345525322273</v>
      </c>
      <c r="BE14" s="13">
        <f>BD14*VLOOKUP('Données projet'!$B$11,Paramètres!$A$1:$I$89,3,0)*VLOOKUP('Données projet'!$B$11,Paramètres!$A$1:$I$89,5,0)</f>
        <v>6.7100517739166285</v>
      </c>
      <c r="BF14" s="13">
        <f t="shared" si="37"/>
        <v>2.4776904369868635</v>
      </c>
      <c r="BG14" s="20">
        <f t="shared" si="7"/>
        <v>16.001984350656915</v>
      </c>
      <c r="BH14" s="59">
        <f t="shared" si="8"/>
        <v>286.11309546176807</v>
      </c>
      <c r="BI14" s="59">
        <f ca="1">AVERAGE(OFFSET($BH$3,0,0,'Données projet'!$E$11+1,1))-AVERAGE(OFFSET($H$3,0,0,'Données projet'!$E$11+1,1))</f>
        <v>464.3681853739115</v>
      </c>
      <c r="BJ14" s="59">
        <f t="shared" si="38"/>
        <v>272.97841038165217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2.6666666666666665</v>
      </c>
      <c r="BY14" s="12">
        <f>IF('Données projet'!$A$114&gt;35,BY13+BX14-CG13,IF(A14&lt;'Données projet'!$A$114,$BV$205^A14,IF(A14='Données projet'!$A$114,'Données projet'!$B$114,BY13+BX14-CG13)))</f>
        <v>14.956982779612416</v>
      </c>
      <c r="BZ14" s="13">
        <f>BY14*VLOOKUP('Données projet'!$B$12,Paramètres!$A$1:$I$89,3,0)*VLOOKUP('Données projet'!$B$12,Paramètres!$A$1:$I$89,5,0)</f>
        <v>11.666446568097685</v>
      </c>
      <c r="CA14" s="13">
        <f t="shared" si="39"/>
        <v>4.0392339557111736</v>
      </c>
      <c r="CB14" s="20">
        <f t="shared" si="10"/>
        <v>27.354060245633761</v>
      </c>
      <c r="CC14" s="59">
        <f t="shared" si="11"/>
        <v>297.46517135674492</v>
      </c>
      <c r="CD14" s="59">
        <f ca="1">AVERAGE(OFFSET($CC$3,0,0,'Données projet'!$E$12+1,1))-AVERAGE(OFFSET($H$3,0,0,'Données projet'!$E$12+1,1))</f>
        <v>288.82868507674738</v>
      </c>
      <c r="CE14" s="59">
        <f t="shared" si="40"/>
        <v>283.48738729114024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14.6</v>
      </c>
      <c r="CT14" s="12">
        <f>IF('Données projet'!$A$140&gt;35,CT13+CS14-DB13,IF(A14&lt;'Données projet'!$A$140,$CQ$205^A14,IF(A14='Données projet'!$A$140,'Données projet'!$B$140,CT13+CS14-DB13)))</f>
        <v>26.6</v>
      </c>
      <c r="CU14" s="17">
        <f>CT14*VLOOKUP('Données projet'!$B$13,Paramètres!$A$1:$I$89,3,0)*VLOOKUP('Données projet'!$B$13,Paramètres!$A$1:$I$89,5,0)</f>
        <v>17.428320000000003</v>
      </c>
      <c r="CV14" s="13">
        <f t="shared" si="41"/>
        <v>5.7587131616514986</v>
      </c>
      <c r="CW14" s="20">
        <f t="shared" si="13"/>
        <v>40.38408275654303</v>
      </c>
      <c r="CX14" s="59">
        <f t="shared" si="14"/>
        <v>310.49519386765417</v>
      </c>
      <c r="CY14" s="59">
        <f ca="1">AVERAGE(OFFSET($CX$3,0,0,'Données projet'!$E$13+1,1))-AVERAGE(OFFSET($H$3,0,0,'Données projet'!$E$13+1,1))</f>
        <v>340.49092994349405</v>
      </c>
      <c r="CZ14" s="59">
        <f t="shared" si="42"/>
        <v>331.54434271908832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</v>
      </c>
      <c r="DO14" s="12">
        <f>IF('Données projet'!$A$166&gt;35,DO13+DN14-DW13,IF(A14&lt;'Données projet'!$A$166,$DL$205^A14,IF(A14='Données projet'!$A$166,'Données projet'!$B$166,DO13+DN14-DW13)))</f>
        <v>44</v>
      </c>
      <c r="DP14" s="17">
        <f>DO14*VLOOKUP('Données projet'!$B$14,Paramètres!$A$1:$I$89,3,0)*VLOOKUP('Données projet'!$B$14,Paramètres!$A$1:$I$89,5,0)</f>
        <v>44.616000000000007</v>
      </c>
      <c r="DQ14" s="13">
        <f t="shared" si="43"/>
        <v>13.214233809656909</v>
      </c>
      <c r="DR14" s="20">
        <f t="shared" si="16"/>
        <v>100.72099055181911</v>
      </c>
      <c r="DS14" s="59">
        <f t="shared" si="17"/>
        <v>370.83210166293026</v>
      </c>
      <c r="DT14" s="59">
        <f ca="1">AVERAGE(OFFSET($DS$3,0,0,'Données projet'!$E$14+1,1))-AVERAGE(OFFSET($H$3,0,0,'Données projet'!$E$14+1,1))</f>
        <v>586.50020405958992</v>
      </c>
      <c r="DU14" s="59">
        <f t="shared" si="44"/>
        <v>304.44184537595294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11.19213180983215</v>
      </c>
      <c r="O15" s="13">
        <f>N15*VLOOKUP('Données projet'!$B$9,Paramètres!$A$1:$I$89,3,0)*VLOOKUP('Données projet'!$B$9,Paramètres!$A$1:$I$89,5,0)</f>
        <v>9.6028490928359851</v>
      </c>
      <c r="P15" s="13">
        <f t="shared" si="33"/>
        <v>3.4009543049268385</v>
      </c>
      <c r="Q15" s="20">
        <f t="shared" si="2"/>
        <v>22.64829091777025</v>
      </c>
      <c r="R15" s="59">
        <f t="shared" si="0"/>
        <v>293.98162425110354</v>
      </c>
      <c r="S15" s="59">
        <f ca="1">AVERAGE(OFFSET($R$3,0,0,'Données projet'!$E$9+1,1))-AVERAGE(OFFSET($H$3,0,0,'Données projet'!$E$9+1,1))</f>
        <v>536.21423347711345</v>
      </c>
      <c r="T15" s="59">
        <f t="shared" si="34"/>
        <v>312.14361830038712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</v>
      </c>
      <c r="AI15" s="13">
        <f>IF('Données projet'!$A$62&gt;35,AI14+AH15-AQ14,IF(A15&lt;'Données projet'!$A$62,$AF$205^A15,IF(A15='Données projet'!$A$62,'Données projet'!$B$62,AI14+AH15-AQ14)))</f>
        <v>48</v>
      </c>
      <c r="AJ15" s="13">
        <f>AI15*VLOOKUP('Données projet'!$B$10,Paramètres!$A$1:$I$89,3,0)*VLOOKUP('Données projet'!$B$10,Paramètres!$A$1:$I$89,5,0)</f>
        <v>43.430399999999999</v>
      </c>
      <c r="AK15" s="13">
        <f t="shared" si="35"/>
        <v>12.903475229013621</v>
      </c>
      <c r="AL15" s="20">
        <f t="shared" si="4"/>
        <v>98.114832690532054</v>
      </c>
      <c r="AM15" s="59">
        <f t="shared" si="5"/>
        <v>369.44816602386538</v>
      </c>
      <c r="AN15" s="59">
        <f ca="1">AVERAGE(OFFSET($AM$3,0,0,'Données projet'!$E$10+1,1))-AVERAGE(OFFSET($H$3,0,0,'Données projet'!$E$10+1,1))</f>
        <v>528.15559695545812</v>
      </c>
      <c r="AO15" s="59">
        <f t="shared" si="36"/>
        <v>276.26988364830532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</v>
      </c>
      <c r="BD15" s="12">
        <f>IF('Données projet'!$A$88&gt;35,BD14+BC15-BL14,IF(A15&lt;'Données projet'!$A$88,$BA$205^A15,IF(A15='Données projet'!$A$88,'Données projet'!$B$88,BD14+BC15-BL14)))</f>
        <v>11.19213180983215</v>
      </c>
      <c r="BE15" s="13">
        <f>BD15*VLOOKUP('Données projet'!$B$11,Paramètres!$A$1:$I$89,3,0)*VLOOKUP('Données projet'!$B$11,Paramètres!$A$1:$I$89,5,0)</f>
        <v>8.2060710429689312</v>
      </c>
      <c r="BF15" s="13">
        <f t="shared" si="37"/>
        <v>2.9599337566005186</v>
      </c>
      <c r="BG15" s="20">
        <f t="shared" si="7"/>
        <v>19.447458359250124</v>
      </c>
      <c r="BH15" s="59">
        <f t="shared" si="8"/>
        <v>290.78079169258342</v>
      </c>
      <c r="BI15" s="59">
        <f ca="1">AVERAGE(OFFSET($BH$3,0,0,'Données projet'!$E$11+1,1))-AVERAGE(OFFSET($H$3,0,0,'Données projet'!$E$11+1,1))</f>
        <v>464.3681853739115</v>
      </c>
      <c r="BJ15" s="59">
        <f t="shared" si="38"/>
        <v>272.97841038165217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2.6666666666666665</v>
      </c>
      <c r="BY15" s="12">
        <f>IF('Données projet'!$A$114&gt;35,BY14+BX15-CG14,IF(A15&lt;'Données projet'!$A$114,$BV$205^A15,IF(A15='Données projet'!$A$114,'Données projet'!$B$114,BY14+BX15-CG14)))</f>
        <v>19.127049995800721</v>
      </c>
      <c r="BZ15" s="13">
        <f>BY15*VLOOKUP('Données projet'!$B$12,Paramètres!$A$1:$I$89,3,0)*VLOOKUP('Données projet'!$B$12,Paramètres!$A$1:$I$89,5,0)</f>
        <v>14.919098996724562</v>
      </c>
      <c r="CA15" s="13">
        <f t="shared" si="39"/>
        <v>5.019622097301081</v>
      </c>
      <c r="CB15" s="20">
        <f t="shared" si="10"/>
        <v>34.726605905427995</v>
      </c>
      <c r="CC15" s="59">
        <f t="shared" si="11"/>
        <v>306.05993923876133</v>
      </c>
      <c r="CD15" s="59">
        <f ca="1">AVERAGE(OFFSET($CC$3,0,0,'Données projet'!$E$12+1,1))-AVERAGE(OFFSET($H$3,0,0,'Données projet'!$E$12+1,1))</f>
        <v>288.82868507674738</v>
      </c>
      <c r="CE15" s="59">
        <f t="shared" si="40"/>
        <v>283.48738729114024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14.6</v>
      </c>
      <c r="CT15" s="12">
        <f>IF('Données projet'!$A$140&gt;35,CT14+CS15-DB14,IF(A15&lt;'Données projet'!$A$140,$CQ$205^A15,IF(A15='Données projet'!$A$140,'Données projet'!$B$140,CT14+CS15-DB14)))</f>
        <v>41.2</v>
      </c>
      <c r="CU15" s="17">
        <f>CT15*VLOOKUP('Données projet'!$B$13,Paramètres!$A$1:$I$89,3,0)*VLOOKUP('Données projet'!$B$13,Paramètres!$A$1:$I$89,5,0)</f>
        <v>26.994240000000005</v>
      </c>
      <c r="CV15" s="13">
        <f t="shared" si="41"/>
        <v>8.4766297304562706</v>
      </c>
      <c r="CW15" s="20">
        <f t="shared" si="13"/>
        <v>61.778431447211325</v>
      </c>
      <c r="CX15" s="59">
        <f t="shared" si="14"/>
        <v>333.11176478054466</v>
      </c>
      <c r="CY15" s="59">
        <f ca="1">AVERAGE(OFFSET($CX$3,0,0,'Données projet'!$E$13+1,1))-AVERAGE(OFFSET($H$3,0,0,'Données projet'!$E$13+1,1))</f>
        <v>340.49092994349405</v>
      </c>
      <c r="CZ15" s="59">
        <f t="shared" si="42"/>
        <v>331.54434271908832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</v>
      </c>
      <c r="DO15" s="12">
        <f>IF('Données projet'!$A$166&gt;35,DO14+DN15-DW14,IF(A15&lt;'Données projet'!$A$166,$DL$205^A15,IF(A15='Données projet'!$A$166,'Données projet'!$B$166,DO14+DN15-DW14)))</f>
        <v>48</v>
      </c>
      <c r="DP15" s="17">
        <f>DO15*VLOOKUP('Données projet'!$B$14,Paramètres!$A$1:$I$89,3,0)*VLOOKUP('Données projet'!$B$14,Paramètres!$A$1:$I$89,5,0)</f>
        <v>48.672000000000004</v>
      </c>
      <c r="DQ15" s="13">
        <f t="shared" si="43"/>
        <v>14.270262409972053</v>
      </c>
      <c r="DR15" s="20">
        <f t="shared" si="16"/>
        <v>109.62444036403467</v>
      </c>
      <c r="DS15" s="59">
        <f t="shared" si="17"/>
        <v>380.957773697368</v>
      </c>
      <c r="DT15" s="59">
        <f ca="1">AVERAGE(OFFSET($DS$3,0,0,'Données projet'!$E$14+1,1))-AVERAGE(OFFSET($H$3,0,0,'Données projet'!$E$14+1,1))</f>
        <v>586.50020405958992</v>
      </c>
      <c r="DU15" s="59">
        <f t="shared" si="44"/>
        <v>304.44184537595294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13.687439657435972</v>
      </c>
      <c r="O16" s="13">
        <f>N16*VLOOKUP('Données projet'!$B$9,Paramètres!$A$1:$I$89,3,0)*VLOOKUP('Données projet'!$B$9,Paramètres!$A$1:$I$89,5,0)</f>
        <v>11.743823226080066</v>
      </c>
      <c r="P16" s="13">
        <f t="shared" si="33"/>
        <v>4.0628963576462231</v>
      </c>
      <c r="Q16" s="20">
        <f t="shared" si="2"/>
        <v>27.530036608323286</v>
      </c>
      <c r="R16" s="59">
        <f t="shared" si="0"/>
        <v>300.0855921638788</v>
      </c>
      <c r="S16" s="59">
        <f ca="1">AVERAGE(OFFSET($R$3,0,0,'Données projet'!$E$9+1,1))-AVERAGE(OFFSET($H$3,0,0,'Données projet'!$E$9+1,1))</f>
        <v>536.21423347711345</v>
      </c>
      <c r="T16" s="59">
        <f t="shared" si="34"/>
        <v>312.14361830038712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</v>
      </c>
      <c r="AI16" s="13">
        <f>IF('Données projet'!$A$62&gt;35,AI15+AH16-AQ15,IF(A16&lt;'Données projet'!$A$62,$AF$205^A16,IF(A16='Données projet'!$A$62,'Données projet'!$B$62,AI15+AH16-AQ15)))</f>
        <v>52</v>
      </c>
      <c r="AJ16" s="13">
        <f>AI16*VLOOKUP('Données projet'!$B$10,Paramètres!$A$1:$I$89,3,0)*VLOOKUP('Données projet'!$B$10,Paramètres!$A$1:$I$89,5,0)</f>
        <v>47.049599999999998</v>
      </c>
      <c r="AK16" s="13">
        <f t="shared" si="35"/>
        <v>13.849129922569936</v>
      </c>
      <c r="AL16" s="20">
        <f t="shared" si="4"/>
        <v>106.06528794847596</v>
      </c>
      <c r="AM16" s="59">
        <f t="shared" si="5"/>
        <v>378.62084350403148</v>
      </c>
      <c r="AN16" s="59">
        <f ca="1">AVERAGE(OFFSET($AM$3,0,0,'Données projet'!$E$10+1,1))-AVERAGE(OFFSET($H$3,0,0,'Données projet'!$E$10+1,1))</f>
        <v>528.15559695545812</v>
      </c>
      <c r="AO16" s="59">
        <f t="shared" si="36"/>
        <v>276.26988364830532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</v>
      </c>
      <c r="BD16" s="12">
        <f>IF('Données projet'!$A$88&gt;35,BD15+BC16-BL15,IF(A16&lt;'Données projet'!$A$88,$BA$205^A16,IF(A16='Données projet'!$A$88,'Données projet'!$B$88,BD15+BC16-BL15)))</f>
        <v>13.687439657435972</v>
      </c>
      <c r="BE16" s="13">
        <f>BD16*VLOOKUP('Données projet'!$B$11,Paramètres!$A$1:$I$89,3,0)*VLOOKUP('Données projet'!$B$11,Paramètres!$A$1:$I$89,5,0)</f>
        <v>10.035630756832054</v>
      </c>
      <c r="BF16" s="13">
        <f t="shared" si="37"/>
        <v>3.5360381235187024</v>
      </c>
      <c r="BG16" s="20">
        <f t="shared" si="7"/>
        <v>23.637323299944232</v>
      </c>
      <c r="BH16" s="59">
        <f t="shared" si="8"/>
        <v>296.19287885549977</v>
      </c>
      <c r="BI16" s="59">
        <f ca="1">AVERAGE(OFFSET($BH$3,0,0,'Données projet'!$E$11+1,1))-AVERAGE(OFFSET($H$3,0,0,'Données projet'!$E$11+1,1))</f>
        <v>464.3681853739115</v>
      </c>
      <c r="BJ16" s="59">
        <f t="shared" si="38"/>
        <v>272.97841038165217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2.6666666666666665</v>
      </c>
      <c r="BY16" s="12">
        <f>IF('Données projet'!$A$114&gt;35,BY15+BX16-CG15,IF(A16&lt;'Données projet'!$A$114,$BV$205^A16,IF(A16='Données projet'!$A$114,'Données projet'!$B$114,BY15+BX16-CG15)))</f>
        <v>24.459748796430759</v>
      </c>
      <c r="BZ16" s="13">
        <f>BY16*VLOOKUP('Données projet'!$B$12,Paramètres!$A$1:$I$89,3,0)*VLOOKUP('Données projet'!$B$12,Paramètres!$A$1:$I$89,5,0)</f>
        <v>19.078604061215994</v>
      </c>
      <c r="CA16" s="13">
        <f t="shared" si="39"/>
        <v>6.2379664748280286</v>
      </c>
      <c r="CB16" s="20">
        <f t="shared" si="10"/>
        <v>44.093027016943331</v>
      </c>
      <c r="CC16" s="59">
        <f t="shared" si="11"/>
        <v>316.64858257249887</v>
      </c>
      <c r="CD16" s="59">
        <f ca="1">AVERAGE(OFFSET($CC$3,0,0,'Données projet'!$E$12+1,1))-AVERAGE(OFFSET($H$3,0,0,'Données projet'!$E$12+1,1))</f>
        <v>288.82868507674738</v>
      </c>
      <c r="CE16" s="59">
        <f t="shared" si="40"/>
        <v>283.48738729114024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14.6</v>
      </c>
      <c r="CT16" s="12">
        <f>IF('Données projet'!$A$140&gt;35,CT15+CS16-DB15,IF(A16&lt;'Données projet'!$A$140,$CQ$205^A16,IF(A16='Données projet'!$A$140,'Données projet'!$B$140,CT15+CS16-DB15)))</f>
        <v>55.800000000000004</v>
      </c>
      <c r="CU16" s="17">
        <f>CT16*VLOOKUP('Données projet'!$B$13,Paramètres!$A$1:$I$89,3,0)*VLOOKUP('Données projet'!$B$13,Paramètres!$A$1:$I$89,5,0)</f>
        <v>36.560160000000003</v>
      </c>
      <c r="CV16" s="13">
        <f t="shared" si="41"/>
        <v>11.082200703355301</v>
      </c>
      <c r="CW16" s="20">
        <f t="shared" si="13"/>
        <v>82.977111558343836</v>
      </c>
      <c r="CX16" s="59">
        <f t="shared" si="14"/>
        <v>355.53266711389938</v>
      </c>
      <c r="CY16" s="59">
        <f ca="1">AVERAGE(OFFSET($CX$3,0,0,'Données projet'!$E$13+1,1))-AVERAGE(OFFSET($H$3,0,0,'Données projet'!$E$13+1,1))</f>
        <v>340.49092994349405</v>
      </c>
      <c r="CZ16" s="59">
        <f t="shared" si="42"/>
        <v>331.54434271908832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</v>
      </c>
      <c r="DO16" s="12">
        <f>IF('Données projet'!$A$166&gt;35,DO15+DN16-DW15,IF(A16&lt;'Données projet'!$A$166,$DL$205^A16,IF(A16='Données projet'!$A$166,'Données projet'!$B$166,DO15+DN16-DW15)))</f>
        <v>52</v>
      </c>
      <c r="DP16" s="17">
        <f>DO16*VLOOKUP('Données projet'!$B$14,Paramètres!$A$1:$I$89,3,0)*VLOOKUP('Données projet'!$B$14,Paramètres!$A$1:$I$89,5,0)</f>
        <v>52.728000000000009</v>
      </c>
      <c r="DQ16" s="13">
        <f t="shared" si="43"/>
        <v>15.316084592505286</v>
      </c>
      <c r="DR16" s="20">
        <f t="shared" si="16"/>
        <v>118.51011399861339</v>
      </c>
      <c r="DS16" s="59">
        <f t="shared" si="17"/>
        <v>391.06566955416895</v>
      </c>
      <c r="DT16" s="59">
        <f ca="1">AVERAGE(OFFSET($DS$3,0,0,'Données projet'!$E$14+1,1))-AVERAGE(OFFSET($H$3,0,0,'Données projet'!$E$14+1,1))</f>
        <v>586.50020405958992</v>
      </c>
      <c r="DU16" s="59">
        <f t="shared" si="44"/>
        <v>304.44184537595294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16.739081308117708</v>
      </c>
      <c r="O17" s="13">
        <f>N17*VLOOKUP('Données projet'!$B$9,Paramètres!$A$1:$I$89,3,0)*VLOOKUP('Données projet'!$B$9,Paramètres!$A$1:$I$89,5,0)</f>
        <v>14.362131762364994</v>
      </c>
      <c r="P17" s="13">
        <f t="shared" si="33"/>
        <v>4.8536749785381312</v>
      </c>
      <c r="Q17" s="20">
        <f t="shared" si="2"/>
        <v>33.46753007373961</v>
      </c>
      <c r="R17" s="59">
        <f t="shared" si="0"/>
        <v>307.2453078515174</v>
      </c>
      <c r="S17" s="59">
        <f ca="1">AVERAGE(OFFSET($R$3,0,0,'Données projet'!$E$9+1,1))-AVERAGE(OFFSET($H$3,0,0,'Données projet'!$E$9+1,1))</f>
        <v>536.21423347711345</v>
      </c>
      <c r="T17" s="59">
        <f t="shared" si="34"/>
        <v>312.14361830038712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</v>
      </c>
      <c r="AI17" s="13">
        <f>IF('Données projet'!$A$62&gt;35,AI16+AH17-AQ16,IF(A17&lt;'Données projet'!$A$62,$AF$205^A17,IF(A17='Données projet'!$A$62,'Données projet'!$B$62,AI16+AH17-AQ16)))</f>
        <v>56</v>
      </c>
      <c r="AJ17" s="13">
        <f>AI17*VLOOKUP('Données projet'!$B$10,Paramètres!$A$1:$I$89,3,0)*VLOOKUP('Données projet'!$B$10,Paramètres!$A$1:$I$89,5,0)</f>
        <v>50.668799999999997</v>
      </c>
      <c r="AK17" s="13">
        <f t="shared" si="35"/>
        <v>14.786346384516113</v>
      </c>
      <c r="AL17" s="20">
        <f t="shared" si="4"/>
        <v>114.0010466196989</v>
      </c>
      <c r="AM17" s="59">
        <f t="shared" si="5"/>
        <v>387.77882439747668</v>
      </c>
      <c r="AN17" s="59">
        <f ca="1">AVERAGE(OFFSET($AM$3,0,0,'Données projet'!$E$10+1,1))-AVERAGE(OFFSET($H$3,0,0,'Données projet'!$E$10+1,1))</f>
        <v>528.15559695545812</v>
      </c>
      <c r="AO17" s="59">
        <f t="shared" si="36"/>
        <v>276.26988364830532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</v>
      </c>
      <c r="BD17" s="12">
        <f>IF('Données projet'!$A$88&gt;35,BD16+BC17-BL16,IF(A17&lt;'Données projet'!$A$88,$BA$205^A17,IF(A17='Données projet'!$A$88,'Données projet'!$B$88,BD16+BC17-BL16)))</f>
        <v>16.739081308117708</v>
      </c>
      <c r="BE17" s="13">
        <f>BD17*VLOOKUP('Données projet'!$B$11,Paramètres!$A$1:$I$89,3,0)*VLOOKUP('Données projet'!$B$11,Paramètres!$A$1:$I$89,5,0)</f>
        <v>12.273094415111903</v>
      </c>
      <c r="BF17" s="13">
        <f t="shared" si="37"/>
        <v>4.2242721084873178</v>
      </c>
      <c r="BG17" s="20">
        <f t="shared" si="7"/>
        <v>28.732913361935303</v>
      </c>
      <c r="BH17" s="59">
        <f t="shared" si="8"/>
        <v>302.51069113971306</v>
      </c>
      <c r="BI17" s="59">
        <f ca="1">AVERAGE(OFFSET($BH$3,0,0,'Données projet'!$E$11+1,1))-AVERAGE(OFFSET($H$3,0,0,'Données projet'!$E$11+1,1))</f>
        <v>464.3681853739115</v>
      </c>
      <c r="BJ17" s="59">
        <f t="shared" si="38"/>
        <v>272.97841038165217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2.6666666666666665</v>
      </c>
      <c r="BY17" s="12">
        <f>IF('Données projet'!$A$114&gt;35,BY16+BX17-CG16,IF(A17&lt;'Données projet'!$A$114,$BV$205^A17,IF(A17='Données projet'!$A$114,'Données projet'!$B$114,BY16+BX17-CG16)))</f>
        <v>31.279225563578599</v>
      </c>
      <c r="BZ17" s="13">
        <f>BY17*VLOOKUP('Données projet'!$B$12,Paramètres!$A$1:$I$89,3,0)*VLOOKUP('Données projet'!$B$12,Paramètres!$A$1:$I$89,5,0)</f>
        <v>24.397795939591308</v>
      </c>
      <c r="CA17" s="13">
        <f t="shared" si="39"/>
        <v>7.75202295846145</v>
      </c>
      <c r="CB17" s="20">
        <f t="shared" si="10"/>
        <v>55.994267914108548</v>
      </c>
      <c r="CC17" s="59">
        <f t="shared" si="11"/>
        <v>329.77204569188632</v>
      </c>
      <c r="CD17" s="59">
        <f ca="1">AVERAGE(OFFSET($CC$3,0,0,'Données projet'!$E$12+1,1))-AVERAGE(OFFSET($H$3,0,0,'Données projet'!$E$12+1,1))</f>
        <v>288.82868507674738</v>
      </c>
      <c r="CE17" s="59">
        <f t="shared" si="40"/>
        <v>283.48738729114024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14.6</v>
      </c>
      <c r="CT17" s="12">
        <f>IF('Données projet'!$A$140&gt;35,CT16+CS17-DB16,IF(A17&lt;'Données projet'!$A$140,$CQ$205^A17,IF(A17='Données projet'!$A$140,'Données projet'!$B$140,CT16+CS17-DB16)))</f>
        <v>70.400000000000006</v>
      </c>
      <c r="CU17" s="17">
        <f>CT17*VLOOKUP('Données projet'!$B$13,Paramètres!$A$1:$I$89,3,0)*VLOOKUP('Données projet'!$B$13,Paramètres!$A$1:$I$89,5,0)</f>
        <v>46.126080000000002</v>
      </c>
      <c r="CV17" s="13">
        <f t="shared" si="41"/>
        <v>13.608655952447116</v>
      </c>
      <c r="CW17" s="20">
        <f t="shared" si="13"/>
        <v>104.03799845051206</v>
      </c>
      <c r="CX17" s="59">
        <f t="shared" si="14"/>
        <v>377.81577622828985</v>
      </c>
      <c r="CY17" s="59">
        <f ca="1">AVERAGE(OFFSET($CX$3,0,0,'Données projet'!$E$13+1,1))-AVERAGE(OFFSET($H$3,0,0,'Données projet'!$E$13+1,1))</f>
        <v>340.49092994349405</v>
      </c>
      <c r="CZ17" s="59">
        <f t="shared" si="42"/>
        <v>331.54434271908832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</v>
      </c>
      <c r="DO17" s="12">
        <f>IF('Données projet'!$A$166&gt;35,DO16+DN17-DW16,IF(A17&lt;'Données projet'!$A$166,$DL$205^A17,IF(A17='Données projet'!$A$166,'Données projet'!$B$166,DO16+DN17-DW16)))</f>
        <v>56</v>
      </c>
      <c r="DP17" s="17">
        <f>DO17*VLOOKUP('Données projet'!$B$14,Paramètres!$A$1:$I$89,3,0)*VLOOKUP('Données projet'!$B$14,Paramètres!$A$1:$I$89,5,0)</f>
        <v>56.783999999999999</v>
      </c>
      <c r="DQ17" s="13">
        <f t="shared" si="43"/>
        <v>16.352574732529362</v>
      </c>
      <c r="DR17" s="20">
        <f t="shared" si="16"/>
        <v>127.37953432582198</v>
      </c>
      <c r="DS17" s="59">
        <f t="shared" si="17"/>
        <v>401.15731210359974</v>
      </c>
      <c r="DT17" s="59">
        <f ca="1">AVERAGE(OFFSET($DS$3,0,0,'Données projet'!$E$14+1,1))-AVERAGE(OFFSET($H$3,0,0,'Données projet'!$E$14+1,1))</f>
        <v>586.50020405958992</v>
      </c>
      <c r="DU17" s="59">
        <f t="shared" si="44"/>
        <v>304.44184537595294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20.471092479852732</v>
      </c>
      <c r="O18" s="13">
        <f>N18*VLOOKUP('Données projet'!$B$9,Paramètres!$A$1:$I$89,3,0)*VLOOKUP('Données projet'!$B$9,Paramètres!$A$1:$I$89,5,0)</f>
        <v>17.564197347713648</v>
      </c>
      <c r="P18" s="13">
        <f t="shared" si="33"/>
        <v>5.7983661712048189</v>
      </c>
      <c r="Q18" s="20">
        <f t="shared" si="2"/>
        <v>40.689798128782996</v>
      </c>
      <c r="R18" s="59">
        <f t="shared" si="0"/>
        <v>315.68979812878297</v>
      </c>
      <c r="S18" s="59">
        <f ca="1">AVERAGE(OFFSET($R$3,0,0,'Données projet'!$E$9+1,1))-AVERAGE(OFFSET($H$3,0,0,'Données projet'!$E$9+1,1))</f>
        <v>536.21423347711345</v>
      </c>
      <c r="T18" s="59">
        <f t="shared" si="34"/>
        <v>312.14361830038712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</v>
      </c>
      <c r="AI18" s="13">
        <f>IF('Données projet'!$A$62&gt;35,AI17+AH18-AQ17,IF(A18&lt;'Données projet'!$A$62,$AF$205^A18,IF(A18='Données projet'!$A$62,'Données projet'!$B$62,AI17+AH18-AQ17)))</f>
        <v>60</v>
      </c>
      <c r="AJ18" s="13">
        <f>AI18*VLOOKUP('Données projet'!$B$10,Paramètres!$A$1:$I$89,3,0)*VLOOKUP('Données projet'!$B$10,Paramètres!$A$1:$I$89,5,0)</f>
        <v>54.287999999999997</v>
      </c>
      <c r="AK18" s="13">
        <f t="shared" si="35"/>
        <v>15.715795896526746</v>
      </c>
      <c r="AL18" s="20">
        <f t="shared" si="4"/>
        <v>121.9232778531174</v>
      </c>
      <c r="AM18" s="59">
        <f t="shared" si="5"/>
        <v>396.92327785311738</v>
      </c>
      <c r="AN18" s="59">
        <f ca="1">AVERAGE(OFFSET($AM$3,0,0,'Données projet'!$E$10+1,1))-AVERAGE(OFFSET($H$3,0,0,'Données projet'!$E$10+1,1))</f>
        <v>528.15559695545812</v>
      </c>
      <c r="AO18" s="59">
        <f t="shared" si="36"/>
        <v>276.26988364830532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2.8</v>
      </c>
      <c r="BD18" s="12">
        <f>IF('Données projet'!$A$88&gt;35,BD17+BC18-BL17,IF(A18&lt;'Données projet'!$A$88,$BA$205^A18,IF(A18='Données projet'!$A$88,'Données projet'!$B$88,BD17+BC18-BL17)))</f>
        <v>20.471092479852732</v>
      </c>
      <c r="BE18" s="13">
        <f>BD18*VLOOKUP('Données projet'!$B$11,Paramètres!$A$1:$I$89,3,0)*VLOOKUP('Données projet'!$B$11,Paramètres!$A$1:$I$89,5,0)</f>
        <v>15.009405006228024</v>
      </c>
      <c r="BF18" s="13">
        <f t="shared" si="37"/>
        <v>5.0464599710782805</v>
      </c>
      <c r="BG18" s="20">
        <f t="shared" si="7"/>
        <v>34.930631502141807</v>
      </c>
      <c r="BH18" s="59">
        <f t="shared" si="8"/>
        <v>309.93063150214181</v>
      </c>
      <c r="BI18" s="59">
        <f ca="1">AVERAGE(OFFSET($BH$3,0,0,'Données projet'!$E$11+1,1))-AVERAGE(OFFSET($H$3,0,0,'Données projet'!$E$11+1,1))</f>
        <v>464.3681853739115</v>
      </c>
      <c r="BJ18" s="59">
        <f t="shared" si="38"/>
        <v>272.97841038165217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40</v>
      </c>
      <c r="BW18" s="12">
        <f>VLOOKUP(A18,'Données projet'!$A$113:$I$133,9,0)</f>
        <v>2.6666666666666665</v>
      </c>
      <c r="BX18" s="12">
        <f t="array" ref="BX18">INDEX(BW:BW,MIN(IF(ISNUMBER(BW18:BW214),ROW(BW18:BW214),"")))</f>
        <v>2.6666666666666665</v>
      </c>
      <c r="BY18" s="12">
        <f>IF('Données projet'!$A$114&gt;35,BY17+BX18-CG17,IF(A18&lt;'Données projet'!$A$114,$BV$205^A18,IF(A18='Données projet'!$A$114,'Données projet'!$B$114,BY17+BX18-CG17)))</f>
        <v>40</v>
      </c>
      <c r="BZ18" s="13">
        <f>BY18*VLOOKUP('Données projet'!$B$12,Paramètres!$A$1:$I$89,3,0)*VLOOKUP('Données projet'!$B$12,Paramètres!$A$1:$I$89,5,0)</f>
        <v>31.200000000000003</v>
      </c>
      <c r="CA18" s="13">
        <f t="shared" si="39"/>
        <v>9.6335657126419925</v>
      </c>
      <c r="CB18" s="20">
        <f t="shared" si="10"/>
        <v>71.118460282851473</v>
      </c>
      <c r="CC18" s="59">
        <f t="shared" si="11"/>
        <v>346.11846028285146</v>
      </c>
      <c r="CD18" s="59">
        <f ca="1">AVERAGE(OFFSET($CC$3,0,0,'Données projet'!$E$12+1,1))-AVERAGE(OFFSET($H$3,0,0,'Données projet'!$E$12+1,1))</f>
        <v>288.82868507674738</v>
      </c>
      <c r="CE18" s="59">
        <f t="shared" si="40"/>
        <v>283.48738729114024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85</v>
      </c>
      <c r="CR18" s="12">
        <f>VLOOKUP(A18,'Données projet'!$A$139:$I$159,9,0)</f>
        <v>14.6</v>
      </c>
      <c r="CS18" s="12">
        <f t="array" ref="CS18">INDEX(CR:CR,MIN(IF(ISNUMBER(CR18:CR214),ROW(CR18:CR214),"")))</f>
        <v>14.6</v>
      </c>
      <c r="CT18" s="12">
        <f>IF('Données projet'!$A$140&gt;35,CT17+CS18-DB17,IF(A18&lt;'Données projet'!$A$140,$CQ$205^A18,IF(A18='Données projet'!$A$140,'Données projet'!$B$140,CT17+CS18-DB17)))</f>
        <v>85</v>
      </c>
      <c r="CU18" s="17">
        <f>CT18*VLOOKUP('Données projet'!$B$13,Paramètres!$A$1:$I$89,3,0)*VLOOKUP('Données projet'!$B$13,Paramètres!$A$1:$I$89,5,0)</f>
        <v>55.691999999999993</v>
      </c>
      <c r="CV18" s="13">
        <f t="shared" si="41"/>
        <v>16.074393504165204</v>
      </c>
      <c r="CW18" s="20">
        <f t="shared" si="13"/>
        <v>124.99313535308771</v>
      </c>
      <c r="CX18" s="59">
        <f t="shared" si="14"/>
        <v>399.99313535308772</v>
      </c>
      <c r="CY18" s="59">
        <f ca="1">AVERAGE(OFFSET($CX$3,0,0,'Données projet'!$E$13+1,1))-AVERAGE(OFFSET($H$3,0,0,'Données projet'!$E$13+1,1))</f>
        <v>340.49092994349405</v>
      </c>
      <c r="CZ18" s="59">
        <f t="shared" si="42"/>
        <v>331.54434271908832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</v>
      </c>
      <c r="DO18" s="12">
        <f>IF('Données projet'!$A$166&gt;35,DO17+DN18-DW17,IF(A18&lt;'Données projet'!$A$166,$DL$205^A18,IF(A18='Données projet'!$A$166,'Données projet'!$B$166,DO17+DN18-DW17)))</f>
        <v>60</v>
      </c>
      <c r="DP18" s="17">
        <f>DO18*VLOOKUP('Données projet'!$B$14,Paramètres!$A$1:$I$89,3,0)*VLOOKUP('Données projet'!$B$14,Paramètres!$A$1:$I$89,5,0)</f>
        <v>60.84</v>
      </c>
      <c r="DQ18" s="13">
        <f t="shared" si="43"/>
        <v>17.380475216531455</v>
      </c>
      <c r="DR18" s="20">
        <f t="shared" si="16"/>
        <v>136.23399433545893</v>
      </c>
      <c r="DS18" s="59">
        <f t="shared" si="17"/>
        <v>411.23399433545893</v>
      </c>
      <c r="DT18" s="59">
        <f ca="1">AVERAGE(OFFSET($DS$3,0,0,'Données projet'!$E$14+1,1))-AVERAGE(OFFSET($H$3,0,0,'Données projet'!$E$14+1,1))</f>
        <v>586.50020405958992</v>
      </c>
      <c r="DU18" s="59">
        <f t="shared" si="44"/>
        <v>304.44184537595294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25.035162898423533</v>
      </c>
      <c r="O19" s="13">
        <f>N19*VLOOKUP('Données projet'!$B$9,Paramètres!$A$1:$I$89,3,0)*VLOOKUP('Données projet'!$B$9,Paramètres!$A$1:$I$89,5,0)</f>
        <v>21.480169766847393</v>
      </c>
      <c r="P19" s="13">
        <f t="shared" si="33"/>
        <v>6.9269265873873334</v>
      </c>
      <c r="Q19" s="20">
        <f t="shared" si="2"/>
        <v>49.475692816958805</v>
      </c>
      <c r="R19" s="59">
        <f t="shared" si="0"/>
        <v>325.69791503918105</v>
      </c>
      <c r="S19" s="59">
        <f ca="1">AVERAGE(OFFSET($R$3,0,0,'Données projet'!$E$9+1,1))-AVERAGE(OFFSET($H$3,0,0,'Données projet'!$E$9+1,1))</f>
        <v>536.21423347711345</v>
      </c>
      <c r="T19" s="59">
        <f t="shared" si="34"/>
        <v>312.14361830038712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</v>
      </c>
      <c r="AI19" s="13">
        <f>IF('Données projet'!$A$62&gt;35,AI18+AH19-AQ18,IF(A19&lt;'Données projet'!$A$62,$AF$205^A19,IF(A19='Données projet'!$A$62,'Données projet'!$B$62,AI18+AH19-AQ18)))</f>
        <v>64</v>
      </c>
      <c r="AJ19" s="13">
        <f>AI19*VLOOKUP('Données projet'!$B$10,Paramètres!$A$1:$I$89,3,0)*VLOOKUP('Données projet'!$B$10,Paramètres!$A$1:$I$89,5,0)</f>
        <v>57.907199999999996</v>
      </c>
      <c r="AK19" s="13">
        <f t="shared" si="35"/>
        <v>16.638055172386</v>
      </c>
      <c r="AL19" s="20">
        <f t="shared" si="4"/>
        <v>129.83298609190561</v>
      </c>
      <c r="AM19" s="59">
        <f t="shared" si="5"/>
        <v>406.05520831412787</v>
      </c>
      <c r="AN19" s="59">
        <f ca="1">AVERAGE(OFFSET($AM$3,0,0,'Données projet'!$E$10+1,1))-AVERAGE(OFFSET($H$3,0,0,'Données projet'!$E$10+1,1))</f>
        <v>528.15559695545812</v>
      </c>
      <c r="AO19" s="59">
        <f t="shared" si="36"/>
        <v>276.26988364830532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2.8</v>
      </c>
      <c r="BD19" s="12">
        <f>IF('Données projet'!$A$88&gt;35,BD18+BC19-BL18,IF(A19&lt;'Données projet'!$A$88,$BA$205^A19,IF(A19='Données projet'!$A$88,'Données projet'!$B$88,BD18+BC19-BL18)))</f>
        <v>25.035162898423533</v>
      </c>
      <c r="BE19" s="13">
        <f>BD19*VLOOKUP('Données projet'!$B$11,Paramètres!$A$1:$I$89,3,0)*VLOOKUP('Données projet'!$B$11,Paramètres!$A$1:$I$89,5,0)</f>
        <v>18.355781437124133</v>
      </c>
      <c r="BF19" s="13">
        <f t="shared" si="37"/>
        <v>6.0286737183734314</v>
      </c>
      <c r="BG19" s="20">
        <f t="shared" si="7"/>
        <v>42.469592729158251</v>
      </c>
      <c r="BH19" s="59">
        <f t="shared" si="8"/>
        <v>318.69181495138048</v>
      </c>
      <c r="BI19" s="59">
        <f ca="1">AVERAGE(OFFSET($BH$3,0,0,'Données projet'!$E$11+1,1))-AVERAGE(OFFSET($H$3,0,0,'Données projet'!$E$11+1,1))</f>
        <v>464.3681853739115</v>
      </c>
      <c r="BJ19" s="59">
        <f t="shared" si="38"/>
        <v>272.97841038165217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46.6</v>
      </c>
      <c r="BZ19" s="13">
        <f>BY19*VLOOKUP('Données projet'!$B$12,Paramètres!$A$1:$I$89,3,0)*VLOOKUP('Données projet'!$B$12,Paramètres!$A$1:$I$89,5,0)</f>
        <v>36.347999999999999</v>
      </c>
      <c r="CA19" s="13">
        <f t="shared" si="39"/>
        <v>11.025356771848859</v>
      </c>
      <c r="CB19" s="20">
        <f t="shared" si="10"/>
        <v>82.508596377636763</v>
      </c>
      <c r="CC19" s="59">
        <f t="shared" si="11"/>
        <v>358.73081859985899</v>
      </c>
      <c r="CD19" s="59">
        <f ca="1">AVERAGE(OFFSET($CC$3,0,0,'Données projet'!$E$12+1,1))-AVERAGE(OFFSET($H$3,0,0,'Données projet'!$E$12+1,1))</f>
        <v>288.82868507674738</v>
      </c>
      <c r="CE19" s="59">
        <f t="shared" si="40"/>
        <v>283.48738729114024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16</v>
      </c>
      <c r="CT19" s="12">
        <f>IF('Données projet'!$A$140&gt;35,CT18+CS19-DB18,IF(A19&lt;'Données projet'!$A$140,$CQ$205^A19,IF(A19='Données projet'!$A$140,'Données projet'!$B$140,CT18+CS19-DB18)))</f>
        <v>59</v>
      </c>
      <c r="CU19" s="17">
        <f>CT19*VLOOKUP('Données projet'!$B$13,Paramètres!$A$1:$I$89,3,0)*VLOOKUP('Données projet'!$B$13,Paramètres!$A$1:$I$89,5,0)</f>
        <v>38.656799999999997</v>
      </c>
      <c r="CV19" s="13">
        <f t="shared" si="41"/>
        <v>11.641926965635404</v>
      </c>
      <c r="CW19" s="20">
        <f t="shared" si="13"/>
        <v>87.603616131814988</v>
      </c>
      <c r="CX19" s="59">
        <f t="shared" si="14"/>
        <v>363.82583835403722</v>
      </c>
      <c r="CY19" s="59">
        <f ca="1">AVERAGE(OFFSET($CX$3,0,0,'Données projet'!$E$13+1,1))-AVERAGE(OFFSET($H$3,0,0,'Données projet'!$E$13+1,1))</f>
        <v>340.49092994349405</v>
      </c>
      <c r="CZ19" s="59">
        <f t="shared" si="42"/>
        <v>331.54434271908832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</v>
      </c>
      <c r="DO19" s="12">
        <f>IF('Données projet'!$A$166&gt;35,DO18+DN19-DW18,IF(A19&lt;'Données projet'!$A$166,$DL$205^A19,IF(A19='Données projet'!$A$166,'Données projet'!$B$166,DO18+DN19-DW18)))</f>
        <v>64</v>
      </c>
      <c r="DP19" s="17">
        <f>DO19*VLOOKUP('Données projet'!$B$14,Paramètres!$A$1:$I$89,3,0)*VLOOKUP('Données projet'!$B$14,Paramètres!$A$1:$I$89,5,0)</f>
        <v>64.896000000000001</v>
      </c>
      <c r="DQ19" s="13">
        <f t="shared" si="43"/>
        <v>18.400423846102964</v>
      </c>
      <c r="DR19" s="20">
        <f t="shared" si="16"/>
        <v>145.07460486529598</v>
      </c>
      <c r="DS19" s="59">
        <f t="shared" si="17"/>
        <v>421.29682708751818</v>
      </c>
      <c r="DT19" s="59">
        <f ca="1">AVERAGE(OFFSET($DS$3,0,0,'Données projet'!$E$14+1,1))-AVERAGE(OFFSET($H$3,0,0,'Données projet'!$E$14+1,1))</f>
        <v>586.50020405958992</v>
      </c>
      <c r="DU19" s="59">
        <f t="shared" si="44"/>
        <v>304.44184537595294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30.61680181296855</v>
      </c>
      <c r="O20" s="13">
        <f>N20*VLOOKUP('Données projet'!$B$9,Paramètres!$A$1:$I$89,3,0)*VLOOKUP('Données projet'!$B$9,Paramètres!$A$1:$I$89,5,0)</f>
        <v>26.26921595552702</v>
      </c>
      <c r="P20" s="13">
        <f t="shared" si="33"/>
        <v>8.2751434680579159</v>
      </c>
      <c r="Q20" s="20">
        <f t="shared" si="2"/>
        <v>60.164759329410423</v>
      </c>
      <c r="R20" s="59">
        <f t="shared" si="0"/>
        <v>337.60920377385486</v>
      </c>
      <c r="S20" s="59">
        <f ca="1">AVERAGE(OFFSET($R$3,0,0,'Données projet'!$E$9+1,1))-AVERAGE(OFFSET($H$3,0,0,'Données projet'!$E$9+1,1))</f>
        <v>536.21423347711345</v>
      </c>
      <c r="T20" s="59">
        <f t="shared" si="34"/>
        <v>312.14361830038712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</v>
      </c>
      <c r="AI20" s="13">
        <f>IF('Données projet'!$A$62&gt;35,AI19+AH20-AQ19,IF(A20&lt;'Données projet'!$A$62,$AF$205^A20,IF(A20='Données projet'!$A$62,'Données projet'!$B$62,AI19+AH20-AQ19)))</f>
        <v>68</v>
      </c>
      <c r="AJ20" s="13">
        <f>AI20*VLOOKUP('Données projet'!$B$10,Paramètres!$A$1:$I$89,3,0)*VLOOKUP('Données projet'!$B$10,Paramètres!$A$1:$I$89,5,0)</f>
        <v>61.526399999999995</v>
      </c>
      <c r="AK20" s="13">
        <f t="shared" si="35"/>
        <v>17.553624762159014</v>
      </c>
      <c r="AL20" s="20">
        <f t="shared" si="4"/>
        <v>137.73104312742694</v>
      </c>
      <c r="AM20" s="59">
        <f t="shared" si="5"/>
        <v>415.17548757187137</v>
      </c>
      <c r="AN20" s="59">
        <f ca="1">AVERAGE(OFFSET($AM$3,0,0,'Données projet'!$E$10+1,1))-AVERAGE(OFFSET($H$3,0,0,'Données projet'!$E$10+1,1))</f>
        <v>528.15559695545812</v>
      </c>
      <c r="AO20" s="59">
        <f t="shared" si="36"/>
        <v>276.26988364830532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2.8</v>
      </c>
      <c r="BD20" s="12">
        <f>IF('Données projet'!$A$88&gt;35,BD19+BC20-BL19,IF(A20&lt;'Données projet'!$A$88,$BA$205^A20,IF(A20='Données projet'!$A$88,'Données projet'!$B$88,BD19+BC20-BL19)))</f>
        <v>30.61680181296855</v>
      </c>
      <c r="BE20" s="13">
        <f>BD20*VLOOKUP('Données projet'!$B$11,Paramètres!$A$1:$I$89,3,0)*VLOOKUP('Données projet'!$B$11,Paramètres!$A$1:$I$89,5,0)</f>
        <v>22.44823908926854</v>
      </c>
      <c r="BF20" s="13">
        <f t="shared" si="37"/>
        <v>7.2020598619433178</v>
      </c>
      <c r="BG20" s="20">
        <f t="shared" si="7"/>
        <v>51.640937340027314</v>
      </c>
      <c r="BH20" s="59">
        <f t="shared" si="8"/>
        <v>329.08538178447179</v>
      </c>
      <c r="BI20" s="59">
        <f ca="1">AVERAGE(OFFSET($BH$3,0,0,'Données projet'!$E$11+1,1))-AVERAGE(OFFSET($H$3,0,0,'Données projet'!$E$11+1,1))</f>
        <v>464.3681853739115</v>
      </c>
      <c r="BJ20" s="59">
        <f t="shared" si="38"/>
        <v>272.97841038165217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56.2</v>
      </c>
      <c r="BZ20" s="13">
        <f>BY20*VLOOKUP('Données projet'!$B$12,Paramètres!$A$1:$I$89,3,0)*VLOOKUP('Données projet'!$B$12,Paramètres!$A$1:$I$89,5,0)</f>
        <v>43.836000000000006</v>
      </c>
      <c r="CA20" s="13">
        <f t="shared" si="39"/>
        <v>13.009897179721728</v>
      </c>
      <c r="CB20" s="20">
        <f t="shared" si="10"/>
        <v>99.006604254682017</v>
      </c>
      <c r="CC20" s="59">
        <f t="shared" si="11"/>
        <v>376.45104869912649</v>
      </c>
      <c r="CD20" s="59">
        <f ca="1">AVERAGE(OFFSET($CC$3,0,0,'Données projet'!$E$12+1,1))-AVERAGE(OFFSET($H$3,0,0,'Données projet'!$E$12+1,1))</f>
        <v>288.82868507674738</v>
      </c>
      <c r="CE20" s="59">
        <f t="shared" si="40"/>
        <v>283.48738729114024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16</v>
      </c>
      <c r="CT20" s="12">
        <f>IF('Données projet'!$A$140&gt;35,CT19+CS20-DB19,IF(A20&lt;'Données projet'!$A$140,$CQ$205^A20,IF(A20='Données projet'!$A$140,'Données projet'!$B$140,CT19+CS20-DB19)))</f>
        <v>75</v>
      </c>
      <c r="CU20" s="17">
        <f>CT20*VLOOKUP('Données projet'!$B$13,Paramètres!$A$1:$I$89,3,0)*VLOOKUP('Données projet'!$B$13,Paramètres!$A$1:$I$89,5,0)</f>
        <v>49.14</v>
      </c>
      <c r="CV20" s="13">
        <f t="shared" si="41"/>
        <v>14.391437147300868</v>
      </c>
      <c r="CW20" s="20">
        <f t="shared" si="13"/>
        <v>110.65058636488233</v>
      </c>
      <c r="CX20" s="59">
        <f t="shared" si="14"/>
        <v>388.09503080932677</v>
      </c>
      <c r="CY20" s="59">
        <f ca="1">AVERAGE(OFFSET($CX$3,0,0,'Données projet'!$E$13+1,1))-AVERAGE(OFFSET($H$3,0,0,'Données projet'!$E$13+1,1))</f>
        <v>340.49092994349405</v>
      </c>
      <c r="CZ20" s="59">
        <f t="shared" si="42"/>
        <v>331.54434271908832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</v>
      </c>
      <c r="DO20" s="12">
        <f>IF('Données projet'!$A$166&gt;35,DO19+DN20-DW19,IF(A20&lt;'Données projet'!$A$166,$DL$205^A20,IF(A20='Données projet'!$A$166,'Données projet'!$B$166,DO19+DN20-DW19)))</f>
        <v>68</v>
      </c>
      <c r="DP20" s="17">
        <f>DO20*VLOOKUP('Données projet'!$B$14,Paramètres!$A$1:$I$89,3,0)*VLOOKUP('Données projet'!$B$14,Paramètres!$A$1:$I$89,5,0)</f>
        <v>68.952000000000012</v>
      </c>
      <c r="DQ20" s="13">
        <f t="shared" si="43"/>
        <v>19.412974191553594</v>
      </c>
      <c r="DR20" s="20">
        <f t="shared" si="16"/>
        <v>153.90233005028921</v>
      </c>
      <c r="DS20" s="59">
        <f t="shared" si="17"/>
        <v>431.34677449473367</v>
      </c>
      <c r="DT20" s="59">
        <f ca="1">AVERAGE(OFFSET($DS$3,0,0,'Données projet'!$E$14+1,1))-AVERAGE(OFFSET($H$3,0,0,'Données projet'!$E$14+1,1))</f>
        <v>586.50020405958992</v>
      </c>
      <c r="DU20" s="59">
        <f t="shared" si="44"/>
        <v>304.44184537595294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37.442878125375486</v>
      </c>
      <c r="O21" s="13">
        <f>N21*VLOOKUP('Données projet'!$B$9,Paramètres!$A$1:$I$89,3,0)*VLOOKUP('Données projet'!$B$9,Paramètres!$A$1:$I$89,5,0)</f>
        <v>32.125989431572172</v>
      </c>
      <c r="P21" s="13">
        <f t="shared" si="33"/>
        <v>9.8857694755459775</v>
      </c>
      <c r="Q21" s="20">
        <f t="shared" si="2"/>
        <v>73.170480096564106</v>
      </c>
      <c r="R21" s="59">
        <f t="shared" si="0"/>
        <v>351.83714676323081</v>
      </c>
      <c r="S21" s="59">
        <f ca="1">AVERAGE(OFFSET($R$3,0,0,'Données projet'!$E$9+1,1))-AVERAGE(OFFSET($H$3,0,0,'Données projet'!$E$9+1,1))</f>
        <v>536.21423347711345</v>
      </c>
      <c r="T21" s="59">
        <f t="shared" si="34"/>
        <v>312.14361830038712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</v>
      </c>
      <c r="AI21" s="13">
        <f>IF('Données projet'!$A$62&gt;35,AI20+AH21-AQ20,IF(A21&lt;'Données projet'!$A$62,$AF$205^A21,IF(A21='Données projet'!$A$62,'Données projet'!$B$62,AI20+AH21-AQ20)))</f>
        <v>72</v>
      </c>
      <c r="AJ21" s="13">
        <f>AI21*VLOOKUP('Données projet'!$B$10,Paramètres!$A$1:$I$89,3,0)*VLOOKUP('Données projet'!$B$10,Paramètres!$A$1:$I$89,5,0)</f>
        <v>65.145600000000002</v>
      </c>
      <c r="AK21" s="13">
        <f t="shared" si="35"/>
        <v>18.462943001028204</v>
      </c>
      <c r="AL21" s="20">
        <f t="shared" si="4"/>
        <v>145.61821239345747</v>
      </c>
      <c r="AM21" s="59">
        <f t="shared" si="5"/>
        <v>424.28487906012413</v>
      </c>
      <c r="AN21" s="59">
        <f ca="1">AVERAGE(OFFSET($AM$3,0,0,'Données projet'!$E$10+1,1))-AVERAGE(OFFSET($H$3,0,0,'Données projet'!$E$10+1,1))</f>
        <v>528.15559695545812</v>
      </c>
      <c r="AO21" s="59">
        <f t="shared" si="36"/>
        <v>276.26988364830532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2.8</v>
      </c>
      <c r="BD21" s="12">
        <f>IF('Données projet'!$A$88&gt;35,BD20+BC21-BL20,IF(A21&lt;'Données projet'!$A$88,$BA$205^A21,IF(A21='Données projet'!$A$88,'Données projet'!$B$88,BD20+BC21-BL20)))</f>
        <v>37.442878125375486</v>
      </c>
      <c r="BE21" s="13">
        <f>BD21*VLOOKUP('Données projet'!$B$11,Paramètres!$A$1:$I$89,3,0)*VLOOKUP('Données projet'!$B$11,Paramètres!$A$1:$I$89,5,0)</f>
        <v>27.453118241525306</v>
      </c>
      <c r="BF21" s="13">
        <f t="shared" si="37"/>
        <v>8.6038270900170275</v>
      </c>
      <c r="BG21" s="20">
        <f t="shared" si="7"/>
        <v>62.799179785769574</v>
      </c>
      <c r="BH21" s="59">
        <f t="shared" si="8"/>
        <v>341.46584645243627</v>
      </c>
      <c r="BI21" s="59">
        <f ca="1">AVERAGE(OFFSET($BH$3,0,0,'Données projet'!$E$11+1,1))-AVERAGE(OFFSET($H$3,0,0,'Données projet'!$E$11+1,1))</f>
        <v>464.3681853739115</v>
      </c>
      <c r="BJ21" s="59">
        <f t="shared" si="38"/>
        <v>272.97841038165217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65.8</v>
      </c>
      <c r="BZ21" s="13">
        <f>BY21*VLOOKUP('Données projet'!$B$12,Paramètres!$A$1:$I$89,3,0)*VLOOKUP('Données projet'!$B$12,Paramètres!$A$1:$I$89,5,0)</f>
        <v>51.323999999999998</v>
      </c>
      <c r="CA21" s="13">
        <f t="shared" si="39"/>
        <v>14.95516659950003</v>
      </c>
      <c r="CB21" s="20">
        <f t="shared" si="10"/>
        <v>115.43621516079588</v>
      </c>
      <c r="CC21" s="59">
        <f t="shared" si="11"/>
        <v>394.10288182746257</v>
      </c>
      <c r="CD21" s="59">
        <f ca="1">AVERAGE(OFFSET($CC$3,0,0,'Données projet'!$E$12+1,1))-AVERAGE(OFFSET($H$3,0,0,'Données projet'!$E$12+1,1))</f>
        <v>288.82868507674738</v>
      </c>
      <c r="CE21" s="59">
        <f t="shared" si="40"/>
        <v>283.48738729114024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16</v>
      </c>
      <c r="CT21" s="12">
        <f>IF('Données projet'!$A$140&gt;35,CT20+CS21-DB20,IF(A21&lt;'Données projet'!$A$140,$CQ$205^A21,IF(A21='Données projet'!$A$140,'Données projet'!$B$140,CT20+CS21-DB20)))</f>
        <v>91</v>
      </c>
      <c r="CU21" s="17">
        <f>CT21*VLOOKUP('Données projet'!$B$13,Paramètres!$A$1:$I$89,3,0)*VLOOKUP('Données projet'!$B$13,Paramètres!$A$1:$I$89,5,0)</f>
        <v>59.623199999999997</v>
      </c>
      <c r="CV21" s="13">
        <f t="shared" si="41"/>
        <v>17.072967249098898</v>
      </c>
      <c r="CW21" s="20">
        <f t="shared" si="13"/>
        <v>133.57915795884722</v>
      </c>
      <c r="CX21" s="59">
        <f t="shared" si="14"/>
        <v>412.24582462551393</v>
      </c>
      <c r="CY21" s="59">
        <f ca="1">AVERAGE(OFFSET($CX$3,0,0,'Données projet'!$E$13+1,1))-AVERAGE(OFFSET($H$3,0,0,'Données projet'!$E$13+1,1))</f>
        <v>340.49092994349405</v>
      </c>
      <c r="CZ21" s="59">
        <f t="shared" si="42"/>
        <v>331.54434271908832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</v>
      </c>
      <c r="DO21" s="12">
        <f>IF('Données projet'!$A$166&gt;35,DO20+DN21-DW20,IF(A21&lt;'Données projet'!$A$166,$DL$205^A21,IF(A21='Données projet'!$A$166,'Données projet'!$B$166,DO20+DN21-DW20)))</f>
        <v>72</v>
      </c>
      <c r="DP21" s="17">
        <f>DO21*VLOOKUP('Données projet'!$B$14,Paramètres!$A$1:$I$89,3,0)*VLOOKUP('Données projet'!$B$14,Paramètres!$A$1:$I$89,5,0)</f>
        <v>73.00800000000001</v>
      </c>
      <c r="DQ21" s="13">
        <f t="shared" si="43"/>
        <v>20.418611018263636</v>
      </c>
      <c r="DR21" s="20">
        <f t="shared" si="16"/>
        <v>162.7180141901425</v>
      </c>
      <c r="DS21" s="59">
        <f t="shared" si="17"/>
        <v>441.38468085680915</v>
      </c>
      <c r="DT21" s="59">
        <f ca="1">AVERAGE(OFFSET($DS$3,0,0,'Données projet'!$E$14+1,1))-AVERAGE(OFFSET($H$3,0,0,'Données projet'!$E$14+1,1))</f>
        <v>586.50020405958992</v>
      </c>
      <c r="DU21" s="59">
        <f t="shared" si="44"/>
        <v>304.44184537595294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45.79084160638493</v>
      </c>
      <c r="O22" s="13">
        <f>N22*VLOOKUP('Données projet'!$B$9,Paramètres!$A$1:$I$89,3,0)*VLOOKUP('Données projet'!$B$9,Paramètres!$A$1:$I$89,5,0)</f>
        <v>39.28854209827827</v>
      </c>
      <c r="P22" s="13">
        <f t="shared" si="33"/>
        <v>11.809878402817876</v>
      </c>
      <c r="Q22" s="20">
        <f t="shared" si="2"/>
        <v>88.99641570607578</v>
      </c>
      <c r="R22" s="59">
        <f t="shared" si="0"/>
        <v>368.88530459496462</v>
      </c>
      <c r="S22" s="59">
        <f ca="1">AVERAGE(OFFSET($R$3,0,0,'Données projet'!$E$9+1,1))-AVERAGE(OFFSET($H$3,0,0,'Données projet'!$E$9+1,1))</f>
        <v>536.21423347711345</v>
      </c>
      <c r="T22" s="59">
        <f t="shared" si="34"/>
        <v>312.14361830038712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</v>
      </c>
      <c r="AI22" s="13">
        <f>IF('Données projet'!$A$62&gt;35,AI21+AH22-AQ21,IF(A22&lt;'Données projet'!$A$62,$AF$205^A22,IF(A22='Données projet'!$A$62,'Données projet'!$B$62,AI21+AH22-AQ21)))</f>
        <v>76</v>
      </c>
      <c r="AJ22" s="13">
        <f>AI22*VLOOKUP('Données projet'!$B$10,Paramètres!$A$1:$I$89,3,0)*VLOOKUP('Données projet'!$B$10,Paramètres!$A$1:$I$89,5,0)</f>
        <v>68.764799999999994</v>
      </c>
      <c r="AK22" s="13">
        <f t="shared" si="35"/>
        <v>19.366396769521369</v>
      </c>
      <c r="AL22" s="20">
        <f t="shared" si="4"/>
        <v>153.49516770691636</v>
      </c>
      <c r="AM22" s="59">
        <f t="shared" si="5"/>
        <v>433.38405659580519</v>
      </c>
      <c r="AN22" s="59">
        <f ca="1">AVERAGE(OFFSET($AM$3,0,0,'Données projet'!$E$10+1,1))-AVERAGE(OFFSET($H$3,0,0,'Données projet'!$E$10+1,1))</f>
        <v>528.15559695545812</v>
      </c>
      <c r="AO22" s="59">
        <f t="shared" si="36"/>
        <v>276.26988364830532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2.8</v>
      </c>
      <c r="BD22" s="12">
        <f>IF('Données projet'!$A$88&gt;35,BD21+BC22-BL21,IF(A22&lt;'Données projet'!$A$88,$BA$205^A22,IF(A22='Données projet'!$A$88,'Données projet'!$B$88,BD21+BC22-BL21)))</f>
        <v>45.79084160638493</v>
      </c>
      <c r="BE22" s="13">
        <f>BD22*VLOOKUP('Données projet'!$B$11,Paramètres!$A$1:$I$89,3,0)*VLOOKUP('Données projet'!$B$11,Paramètres!$A$1:$I$89,5,0)</f>
        <v>33.573845065801436</v>
      </c>
      <c r="BF22" s="13">
        <f t="shared" si="37"/>
        <v>10.27842617444402</v>
      </c>
      <c r="BG22" s="20">
        <f t="shared" si="7"/>
        <v>76.376039076760833</v>
      </c>
      <c r="BH22" s="59">
        <f t="shared" si="8"/>
        <v>356.26492796564969</v>
      </c>
      <c r="BI22" s="59">
        <f ca="1">AVERAGE(OFFSET($BH$3,0,0,'Données projet'!$E$11+1,1))-AVERAGE(OFFSET($H$3,0,0,'Données projet'!$E$11+1,1))</f>
        <v>464.3681853739115</v>
      </c>
      <c r="BJ22" s="59">
        <f t="shared" si="38"/>
        <v>272.97841038165217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75.399999999999991</v>
      </c>
      <c r="BZ22" s="13">
        <f>BY22*VLOOKUP('Données projet'!$B$12,Paramètres!$A$1:$I$89,3,0)*VLOOKUP('Données projet'!$B$12,Paramètres!$A$1:$I$89,5,0)</f>
        <v>58.811999999999998</v>
      </c>
      <c r="CA22" s="13">
        <f t="shared" si="39"/>
        <v>16.86755663452599</v>
      </c>
      <c r="CB22" s="20">
        <f t="shared" si="10"/>
        <v>131.8085611384661</v>
      </c>
      <c r="CC22" s="59">
        <f t="shared" si="11"/>
        <v>411.69745002735499</v>
      </c>
      <c r="CD22" s="59">
        <f ca="1">AVERAGE(OFFSET($CC$3,0,0,'Données projet'!$E$12+1,1))-AVERAGE(OFFSET($H$3,0,0,'Données projet'!$E$12+1,1))</f>
        <v>288.82868507674738</v>
      </c>
      <c r="CE22" s="59">
        <f t="shared" si="40"/>
        <v>283.48738729114024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16</v>
      </c>
      <c r="CT22" s="12">
        <f>IF('Données projet'!$A$140&gt;35,CT21+CS22-DB21,IF(A22&lt;'Données projet'!$A$140,$CQ$205^A22,IF(A22='Données projet'!$A$140,'Données projet'!$B$140,CT21+CS22-DB21)))</f>
        <v>107</v>
      </c>
      <c r="CU22" s="17">
        <f>CT22*VLOOKUP('Données projet'!$B$13,Paramètres!$A$1:$I$89,3,0)*VLOOKUP('Données projet'!$B$13,Paramètres!$A$1:$I$89,5,0)</f>
        <v>70.106399999999994</v>
      </c>
      <c r="CV22" s="13">
        <f t="shared" si="41"/>
        <v>19.699878105234674</v>
      </c>
      <c r="CW22" s="20">
        <f t="shared" si="13"/>
        <v>156.41260103328369</v>
      </c>
      <c r="CX22" s="59">
        <f t="shared" si="14"/>
        <v>436.30148992217255</v>
      </c>
      <c r="CY22" s="59">
        <f ca="1">AVERAGE(OFFSET($CX$3,0,0,'Données projet'!$E$13+1,1))-AVERAGE(OFFSET($H$3,0,0,'Données projet'!$E$13+1,1))</f>
        <v>340.49092994349405</v>
      </c>
      <c r="CZ22" s="59">
        <f t="shared" si="42"/>
        <v>331.54434271908832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</v>
      </c>
      <c r="DO22" s="12">
        <f>IF('Données projet'!$A$166&gt;35,DO21+DN22-DW21,IF(A22&lt;'Données projet'!$A$166,$DL$205^A22,IF(A22='Données projet'!$A$166,'Données projet'!$B$166,DO21+DN22-DW21)))</f>
        <v>76</v>
      </c>
      <c r="DP22" s="17">
        <f>DO22*VLOOKUP('Données projet'!$B$14,Paramètres!$A$1:$I$89,3,0)*VLOOKUP('Données projet'!$B$14,Paramètres!$A$1:$I$89,5,0)</f>
        <v>77.064000000000007</v>
      </c>
      <c r="DQ22" s="13">
        <f t="shared" si="43"/>
        <v>21.417762186678065</v>
      </c>
      <c r="DR22" s="20">
        <f t="shared" si="16"/>
        <v>171.52240247513097</v>
      </c>
      <c r="DS22" s="59">
        <f t="shared" si="17"/>
        <v>451.4112913640198</v>
      </c>
      <c r="DT22" s="59">
        <f ca="1">AVERAGE(OFFSET($DS$3,0,0,'Données projet'!$E$14+1,1))-AVERAGE(OFFSET($H$3,0,0,'Données projet'!$E$14+1,1))</f>
        <v>586.50020405958992</v>
      </c>
      <c r="DU22" s="59">
        <f t="shared" si="44"/>
        <v>304.44184537595294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56</v>
      </c>
      <c r="L23" s="12">
        <f>VLOOKUP(A23,'Données projet'!$A$35:$I$55,9,0)</f>
        <v>2.8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56</v>
      </c>
      <c r="O23" s="13">
        <f>N23*VLOOKUP('Données projet'!$B$9,Paramètres!$A$1:$I$89,3,0)*VLOOKUP('Données projet'!$B$9,Paramètres!$A$1:$I$89,5,0)</f>
        <v>48.048000000000009</v>
      </c>
      <c r="P23" s="13">
        <f t="shared" si="33"/>
        <v>14.108484750160622</v>
      </c>
      <c r="Q23" s="20">
        <f t="shared" si="2"/>
        <v>108.25587760652975</v>
      </c>
      <c r="R23" s="59">
        <f t="shared" si="0"/>
        <v>389.36698871764088</v>
      </c>
      <c r="S23" s="59">
        <f ca="1">AVERAGE(OFFSET($R$3,0,0,'Données projet'!$E$9+1,1))-AVERAGE(OFFSET($H$3,0,0,'Données projet'!$E$9+1,1))</f>
        <v>536.21423347711345</v>
      </c>
      <c r="T23" s="59">
        <f t="shared" si="34"/>
        <v>312.14361830038712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72.384</v>
      </c>
      <c r="AK23" s="13">
        <f t="shared" si="35"/>
        <v>20.264329923804397</v>
      </c>
      <c r="AL23" s="20">
        <f t="shared" si="4"/>
        <v>161.362507950626</v>
      </c>
      <c r="AM23" s="59">
        <f t="shared" si="5"/>
        <v>442.47361906173717</v>
      </c>
      <c r="AN23" s="59">
        <f ca="1">AVERAGE(OFFSET($AM$3,0,0,'Données projet'!$E$10+1,1))-AVERAGE(OFFSET($H$3,0,0,'Données projet'!$E$10+1,1))</f>
        <v>528.15559695545812</v>
      </c>
      <c r="AO23" s="59">
        <f t="shared" si="36"/>
        <v>276.26988364830532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56</v>
      </c>
      <c r="BB23" s="12">
        <f>VLOOKUP(A23,'Données projet'!$A$87:$I$107,9,0)</f>
        <v>2.8</v>
      </c>
      <c r="BC23" s="12">
        <f t="array" ref="BC23">INDEX(BB:BB,MIN(IF(ISNUMBER(BB23:BB219),ROW(BB23:BB219),"")))</f>
        <v>2.8</v>
      </c>
      <c r="BD23" s="12">
        <f>IF('Données projet'!$A$88&gt;35,BD22+BC23-BL22,IF(A23&lt;'Données projet'!$A$88,$BA$205^A23,IF(A23='Données projet'!$A$88,'Données projet'!$B$88,BD22+BC23-BL22)))</f>
        <v>56</v>
      </c>
      <c r="BE23" s="13">
        <f>BD23*VLOOKUP('Données projet'!$B$11,Paramètres!$A$1:$I$89,3,0)*VLOOKUP('Données projet'!$B$11,Paramètres!$A$1:$I$89,5,0)</f>
        <v>41.059200000000004</v>
      </c>
      <c r="BF23" s="13">
        <f t="shared" si="37"/>
        <v>12.278959527914743</v>
      </c>
      <c r="BG23" s="20">
        <f t="shared" si="7"/>
        <v>92.897294511118176</v>
      </c>
      <c r="BH23" s="59">
        <f t="shared" si="8"/>
        <v>374.0084056222293</v>
      </c>
      <c r="BI23" s="59">
        <f ca="1">AVERAGE(OFFSET($BH$3,0,0,'Données projet'!$E$11+1,1))-AVERAGE(OFFSET($H$3,0,0,'Données projet'!$E$11+1,1))</f>
        <v>464.3681853739115</v>
      </c>
      <c r="BJ23" s="59">
        <f t="shared" si="38"/>
        <v>272.97841038165217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85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84.999999999999986</v>
      </c>
      <c r="BZ23" s="13">
        <f>BY23*VLOOKUP('Données projet'!$B$12,Paramètres!$A$1:$I$89,3,0)*VLOOKUP('Données projet'!$B$12,Paramètres!$A$1:$I$89,5,0)</f>
        <v>66.3</v>
      </c>
      <c r="CA23" s="13">
        <f t="shared" si="39"/>
        <v>18.751733344032118</v>
      </c>
      <c r="CB23" s="20">
        <f t="shared" si="10"/>
        <v>148.13176890752257</v>
      </c>
      <c r="CC23" s="59">
        <f t="shared" si="11"/>
        <v>429.24288001863374</v>
      </c>
      <c r="CD23" s="59">
        <f ca="1">AVERAGE(OFFSET($CC$3,0,0,'Données projet'!$E$12+1,1))-AVERAGE(OFFSET($H$3,0,0,'Données projet'!$E$12+1,1))</f>
        <v>288.82868507674738</v>
      </c>
      <c r="CE23" s="59">
        <f t="shared" si="40"/>
        <v>283.48738729114024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123</v>
      </c>
      <c r="CR23" s="12">
        <f>VLOOKUP(A23,'Données projet'!$A$139:$I$159,9,0)</f>
        <v>16</v>
      </c>
      <c r="CS23" s="12">
        <f t="array" ref="CS23">INDEX(CR:CR,MIN(IF(ISNUMBER(CR23:CR219),ROW(CR23:CR219),"")))</f>
        <v>16</v>
      </c>
      <c r="CT23" s="12">
        <f>IF('Données projet'!$A$140&gt;35,CT22+CS23-DB22,IF(A23&lt;'Données projet'!$A$140,$CQ$205^A23,IF(A23='Données projet'!$A$140,'Données projet'!$B$140,CT22+CS23-DB22)))</f>
        <v>123</v>
      </c>
      <c r="CU23" s="17">
        <f>CT23*VLOOKUP('Données projet'!$B$13,Paramètres!$A$1:$I$89,3,0)*VLOOKUP('Données projet'!$B$13,Paramètres!$A$1:$I$89,5,0)</f>
        <v>80.589600000000004</v>
      </c>
      <c r="CV23" s="13">
        <f t="shared" si="41"/>
        <v>22.281282727508763</v>
      </c>
      <c r="CW23" s="20">
        <f t="shared" si="13"/>
        <v>179.16678741707778</v>
      </c>
      <c r="CX23" s="59">
        <f t="shared" si="14"/>
        <v>460.27789852818893</v>
      </c>
      <c r="CY23" s="59">
        <f ca="1">AVERAGE(OFFSET($CX$3,0,0,'Données projet'!$E$13+1,1))-AVERAGE(OFFSET($H$3,0,0,'Données projet'!$E$13+1,1))</f>
        <v>340.49092994349405</v>
      </c>
      <c r="CZ23" s="59">
        <f t="shared" si="42"/>
        <v>331.54434271908832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81.12</v>
      </c>
      <c r="DQ23" s="13">
        <f t="shared" si="43"/>
        <v>22.410807975569174</v>
      </c>
      <c r="DR23" s="20">
        <f t="shared" si="16"/>
        <v>180.31615722411632</v>
      </c>
      <c r="DS23" s="59">
        <f t="shared" si="17"/>
        <v>461.4272683352275</v>
      </c>
      <c r="DT23" s="59">
        <f ca="1">AVERAGE(OFFSET($DS$3,0,0,'Données projet'!$E$14+1,1))-AVERAGE(OFFSET($H$3,0,0,'Données projet'!$E$14+1,1))</f>
        <v>586.50020405958992</v>
      </c>
      <c r="DU23" s="59">
        <f t="shared" si="44"/>
        <v>304.44184537595294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</v>
      </c>
      <c r="N24" s="13">
        <f>IF('Données projet'!$A$36&gt;35,N23+M24-V23,IF(A24&lt;'Données projet'!$A$36,$K$205^A24,IF(A24='Données projet'!$A$36,'Données projet'!$B$36,N23+M24-V23)))</f>
        <v>67</v>
      </c>
      <c r="O24" s="13">
        <f>N24*VLOOKUP('Données projet'!$B$9,Paramètres!$A$1:$I$89,3,0)*VLOOKUP('Données projet'!$B$9,Paramètres!$A$1:$I$89,5,0)</f>
        <v>57.486000000000004</v>
      </c>
      <c r="P24" s="13">
        <f t="shared" si="33"/>
        <v>16.531076211754396</v>
      </c>
      <c r="Q24" s="20">
        <f t="shared" si="2"/>
        <v>128.9130744021389</v>
      </c>
      <c r="R24" s="59">
        <f t="shared" si="0"/>
        <v>411.24640773547219</v>
      </c>
      <c r="S24" s="59">
        <f ca="1">AVERAGE(OFFSET($R$3,0,0,'Données projet'!$E$9+1,1))-AVERAGE(OFFSET($H$3,0,0,'Données projet'!$E$9+1,1))</f>
        <v>536.21423347711345</v>
      </c>
      <c r="T24" s="59">
        <f t="shared" si="34"/>
        <v>312.14361830038712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</v>
      </c>
      <c r="AI24" s="13">
        <f>IF('Données projet'!$A$62&gt;35,AI23+AH24-AQ23,IF(A24&lt;'Données projet'!$A$62,$AF$205^A24,IF(A24='Données projet'!$A$62,'Données projet'!$B$62,AI23+AH24-AQ23)))</f>
        <v>84</v>
      </c>
      <c r="AJ24" s="13">
        <f>AI24*VLOOKUP('Données projet'!$B$10,Paramètres!$A$1:$I$89,3,0)*VLOOKUP('Données projet'!$B$10,Paramètres!$A$1:$I$89,5,0)</f>
        <v>76.003200000000007</v>
      </c>
      <c r="AK24" s="13">
        <f t="shared" si="35"/>
        <v>21.157049992000456</v>
      </c>
      <c r="AL24" s="20">
        <f t="shared" si="4"/>
        <v>169.22076873606747</v>
      </c>
      <c r="AM24" s="59">
        <f t="shared" si="5"/>
        <v>451.55410206940076</v>
      </c>
      <c r="AN24" s="59">
        <f ca="1">AVERAGE(OFFSET($AM$3,0,0,'Données projet'!$E$10+1,1))-AVERAGE(OFFSET($H$3,0,0,'Données projet'!$E$10+1,1))</f>
        <v>528.15559695545812</v>
      </c>
      <c r="AO24" s="59">
        <f t="shared" si="36"/>
        <v>276.26988364830532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11</v>
      </c>
      <c r="BD24" s="12">
        <f>IF('Données projet'!$A$88&gt;35,BD23+BC24-BL23,IF(A24&lt;'Données projet'!$A$88,$BA$205^A24,IF(A24='Données projet'!$A$88,'Données projet'!$B$88,BD23+BC24-BL23)))</f>
        <v>67</v>
      </c>
      <c r="BE24" s="13">
        <f>BD24*VLOOKUP('Données projet'!$B$11,Paramètres!$A$1:$I$89,3,0)*VLOOKUP('Données projet'!$B$11,Paramètres!$A$1:$I$89,5,0)</f>
        <v>49.124400000000001</v>
      </c>
      <c r="BF24" s="13">
        <f t="shared" si="37"/>
        <v>14.38740016036772</v>
      </c>
      <c r="BG24" s="20">
        <f t="shared" si="7"/>
        <v>110.61638527930711</v>
      </c>
      <c r="BH24" s="59">
        <f t="shared" si="8"/>
        <v>392.94971861264042</v>
      </c>
      <c r="BI24" s="59">
        <f ca="1">AVERAGE(OFFSET($BH$3,0,0,'Données projet'!$E$11+1,1))-AVERAGE(OFFSET($H$3,0,0,'Données projet'!$E$11+1,1))</f>
        <v>464.3681853739115</v>
      </c>
      <c r="BJ24" s="59">
        <f t="shared" si="38"/>
        <v>272.97841038165217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10.6</v>
      </c>
      <c r="BY24" s="12">
        <f>IF('Données projet'!$A$114&gt;35,BY23+BX24-CG23,IF(A24&lt;'Données projet'!$A$114,$BV$205^A24,IF(A24='Données projet'!$A$114,'Données projet'!$B$114,BY23+BX24-CG23)))</f>
        <v>70.59999999999998</v>
      </c>
      <c r="BZ24" s="13">
        <f>BY24*VLOOKUP('Données projet'!$B$12,Paramètres!$A$1:$I$89,3,0)*VLOOKUP('Données projet'!$B$12,Paramètres!$A$1:$I$89,5,0)</f>
        <v>55.067999999999984</v>
      </c>
      <c r="CA24" s="13">
        <f t="shared" si="39"/>
        <v>15.915148294580479</v>
      </c>
      <c r="CB24" s="20">
        <f t="shared" si="10"/>
        <v>123.62898327972762</v>
      </c>
      <c r="CC24" s="59">
        <f t="shared" si="11"/>
        <v>405.96231661306092</v>
      </c>
      <c r="CD24" s="59">
        <f ca="1">AVERAGE(OFFSET($CC$3,0,0,'Données projet'!$E$12+1,1))-AVERAGE(OFFSET($H$3,0,0,'Données projet'!$E$12+1,1))</f>
        <v>288.82868507674738</v>
      </c>
      <c r="CE24" s="59">
        <f t="shared" si="40"/>
        <v>283.48738729114024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16.8</v>
      </c>
      <c r="CT24" s="12">
        <f>IF('Données projet'!$A$140&gt;35,CT23+CS24-DB23,IF(A24&lt;'Données projet'!$A$140,$CQ$205^A24,IF(A24='Données projet'!$A$140,'Données projet'!$B$140,CT23+CS24-DB23)))</f>
        <v>97.800000000000011</v>
      </c>
      <c r="CU24" s="17">
        <f>CT24*VLOOKUP('Données projet'!$B$13,Paramètres!$A$1:$I$89,3,0)*VLOOKUP('Données projet'!$B$13,Paramètres!$A$1:$I$89,5,0)</f>
        <v>64.078559999999996</v>
      </c>
      <c r="CV24" s="13">
        <f t="shared" si="41"/>
        <v>18.195476992759129</v>
      </c>
      <c r="CW24" s="20">
        <f t="shared" si="13"/>
        <v>143.2939477623888</v>
      </c>
      <c r="CX24" s="59">
        <f t="shared" si="14"/>
        <v>425.62728109572208</v>
      </c>
      <c r="CY24" s="59">
        <f ca="1">AVERAGE(OFFSET($CX$3,0,0,'Données projet'!$E$13+1,1))-AVERAGE(OFFSET($H$3,0,0,'Données projet'!$E$13+1,1))</f>
        <v>340.49092994349405</v>
      </c>
      <c r="CZ24" s="59">
        <f t="shared" si="42"/>
        <v>331.54434271908832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</v>
      </c>
      <c r="DO24" s="12">
        <f>IF('Données projet'!$A$166&gt;35,DO23+DN24-DW23,IF(A24&lt;'Données projet'!$A$166,$DL$205^A24,IF(A24='Données projet'!$A$166,'Données projet'!$B$166,DO23+DN24-DW23)))</f>
        <v>84</v>
      </c>
      <c r="DP24" s="17">
        <f>DO24*VLOOKUP('Données projet'!$B$14,Paramètres!$A$1:$I$89,3,0)*VLOOKUP('Données projet'!$B$14,Paramètres!$A$1:$I$89,5,0)</f>
        <v>85.176000000000002</v>
      </c>
      <c r="DQ24" s="13">
        <f t="shared" si="43"/>
        <v>23.398088487656441</v>
      </c>
      <c r="DR24" s="20">
        <f t="shared" si="16"/>
        <v>189.09987078266829</v>
      </c>
      <c r="DS24" s="59">
        <f t="shared" si="17"/>
        <v>471.4332041160016</v>
      </c>
      <c r="DT24" s="59">
        <f ca="1">AVERAGE(OFFSET($DS$3,0,0,'Données projet'!$E$14+1,1))-AVERAGE(OFFSET($H$3,0,0,'Données projet'!$E$14+1,1))</f>
        <v>586.50020405958992</v>
      </c>
      <c r="DU24" s="59">
        <f t="shared" si="44"/>
        <v>304.44184537595294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</v>
      </c>
      <c r="N25" s="13">
        <f>IF('Données projet'!$A$36&gt;35,N24+M25-V24,IF(A25&lt;'Données projet'!$A$36,$K$205^A25,IF(A25='Données projet'!$A$36,'Données projet'!$B$36,N24+M25-V24)))</f>
        <v>78</v>
      </c>
      <c r="O25" s="13">
        <f>N25*VLOOKUP('Données projet'!$B$9,Paramètres!$A$1:$I$89,3,0)*VLOOKUP('Données projet'!$B$9,Paramètres!$A$1:$I$89,5,0)</f>
        <v>66.924000000000007</v>
      </c>
      <c r="P25" s="13">
        <f t="shared" si="33"/>
        <v>18.90759204786767</v>
      </c>
      <c r="Q25" s="20">
        <f t="shared" si="2"/>
        <v>149.49002281670286</v>
      </c>
      <c r="R25" s="59">
        <f t="shared" si="0"/>
        <v>433.04557837225843</v>
      </c>
      <c r="S25" s="59">
        <f ca="1">AVERAGE(OFFSET($R$3,0,0,'Données projet'!$E$9+1,1))-AVERAGE(OFFSET($H$3,0,0,'Données projet'!$E$9+1,1))</f>
        <v>536.21423347711345</v>
      </c>
      <c r="T25" s="59">
        <f t="shared" si="34"/>
        <v>312.14361830038712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</v>
      </c>
      <c r="AI25" s="13">
        <f>IF('Données projet'!$A$62&gt;35,AI24+AH25-AQ24,IF(A25&lt;'Données projet'!$A$62,$AF$205^A25,IF(A25='Données projet'!$A$62,'Données projet'!$B$62,AI24+AH25-AQ24)))</f>
        <v>88</v>
      </c>
      <c r="AJ25" s="13">
        <f>AI25*VLOOKUP('Données projet'!$B$10,Paramètres!$A$1:$I$89,3,0)*VLOOKUP('Données projet'!$B$10,Paramètres!$A$1:$I$89,5,0)</f>
        <v>79.622399999999999</v>
      </c>
      <c r="AK25" s="13">
        <f t="shared" si="35"/>
        <v>22.044833558880924</v>
      </c>
      <c r="AL25" s="20">
        <f t="shared" si="4"/>
        <v>177.07043178171759</v>
      </c>
      <c r="AM25" s="59">
        <f t="shared" si="5"/>
        <v>460.62598733727316</v>
      </c>
      <c r="AN25" s="59">
        <f ca="1">AVERAGE(OFFSET($AM$3,0,0,'Données projet'!$E$10+1,1))-AVERAGE(OFFSET($H$3,0,0,'Données projet'!$E$10+1,1))</f>
        <v>528.15559695545812</v>
      </c>
      <c r="AO25" s="59">
        <f t="shared" si="36"/>
        <v>276.26988364830532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11</v>
      </c>
      <c r="BD25" s="12">
        <f>IF('Données projet'!$A$88&gt;35,BD24+BC25-BL24,IF(A25&lt;'Données projet'!$A$88,$BA$205^A25,IF(A25='Données projet'!$A$88,'Données projet'!$B$88,BD24+BC25-BL24)))</f>
        <v>78</v>
      </c>
      <c r="BE25" s="13">
        <f>BD25*VLOOKUP('Données projet'!$B$11,Paramètres!$A$1:$I$89,3,0)*VLOOKUP('Données projet'!$B$11,Paramètres!$A$1:$I$89,5,0)</f>
        <v>57.189599999999999</v>
      </c>
      <c r="BF25" s="13">
        <f t="shared" si="37"/>
        <v>16.455740048444721</v>
      </c>
      <c r="BG25" s="20">
        <f t="shared" si="7"/>
        <v>128.2656339177079</v>
      </c>
      <c r="BH25" s="59">
        <f t="shared" si="8"/>
        <v>411.82118947326342</v>
      </c>
      <c r="BI25" s="59">
        <f ca="1">AVERAGE(OFFSET($BH$3,0,0,'Données projet'!$E$11+1,1))-AVERAGE(OFFSET($H$3,0,0,'Données projet'!$E$11+1,1))</f>
        <v>464.3681853739115</v>
      </c>
      <c r="BJ25" s="59">
        <f t="shared" si="38"/>
        <v>272.97841038165217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10.6</v>
      </c>
      <c r="BY25" s="12">
        <f>IF('Données projet'!$A$114&gt;35,BY24+BX25-CG24,IF(A25&lt;'Données projet'!$A$114,$BV$205^A25,IF(A25='Données projet'!$A$114,'Données projet'!$B$114,BY24+BX25-CG24)))</f>
        <v>81.199999999999974</v>
      </c>
      <c r="BZ25" s="13">
        <f>BY25*VLOOKUP('Données projet'!$B$12,Paramètres!$A$1:$I$89,3,0)*VLOOKUP('Données projet'!$B$12,Paramètres!$A$1:$I$89,5,0)</f>
        <v>63.335999999999984</v>
      </c>
      <c r="CA25" s="13">
        <f t="shared" si="39"/>
        <v>18.009040022946227</v>
      </c>
      <c r="CB25" s="20">
        <f t="shared" si="10"/>
        <v>141.67594470663133</v>
      </c>
      <c r="CC25" s="59">
        <f t="shared" si="11"/>
        <v>425.23150026218684</v>
      </c>
      <c r="CD25" s="59">
        <f ca="1">AVERAGE(OFFSET($CC$3,0,0,'Données projet'!$E$12+1,1))-AVERAGE(OFFSET($H$3,0,0,'Données projet'!$E$12+1,1))</f>
        <v>288.82868507674738</v>
      </c>
      <c r="CE25" s="59">
        <f t="shared" si="40"/>
        <v>283.48738729114024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16.8</v>
      </c>
      <c r="CT25" s="12">
        <f>IF('Données projet'!$A$140&gt;35,CT24+CS25-DB24,IF(A25&lt;'Données projet'!$A$140,$CQ$205^A25,IF(A25='Données projet'!$A$140,'Données projet'!$B$140,CT24+CS25-DB24)))</f>
        <v>114.60000000000001</v>
      </c>
      <c r="CU25" s="17">
        <f>CT25*VLOOKUP('Données projet'!$B$13,Paramètres!$A$1:$I$89,3,0)*VLOOKUP('Données projet'!$B$13,Paramètres!$A$1:$I$89,5,0)</f>
        <v>75.085920000000016</v>
      </c>
      <c r="CV25" s="13">
        <f t="shared" si="41"/>
        <v>20.931269096524034</v>
      </c>
      <c r="CW25" s="20">
        <f t="shared" si="13"/>
        <v>167.22993767644604</v>
      </c>
      <c r="CX25" s="59">
        <f t="shared" si="14"/>
        <v>450.78549323200161</v>
      </c>
      <c r="CY25" s="59">
        <f ca="1">AVERAGE(OFFSET($CX$3,0,0,'Données projet'!$E$13+1,1))-AVERAGE(OFFSET($H$3,0,0,'Données projet'!$E$13+1,1))</f>
        <v>340.49092994349405</v>
      </c>
      <c r="CZ25" s="59">
        <f t="shared" si="42"/>
        <v>331.54434271908832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</v>
      </c>
      <c r="DO25" s="12">
        <f>IF('Données projet'!$A$166&gt;35,DO24+DN25-DW24,IF(A25&lt;'Données projet'!$A$166,$DL$205^A25,IF(A25='Données projet'!$A$166,'Données projet'!$B$166,DO24+DN25-DW24)))</f>
        <v>88</v>
      </c>
      <c r="DP25" s="17">
        <f>DO25*VLOOKUP('Données projet'!$B$14,Paramètres!$A$1:$I$89,3,0)*VLOOKUP('Données projet'!$B$14,Paramètres!$A$1:$I$89,5,0)</f>
        <v>89.232000000000014</v>
      </c>
      <c r="DQ25" s="13">
        <f t="shared" si="43"/>
        <v>24.379909604665222</v>
      </c>
      <c r="DR25" s="20">
        <f t="shared" si="16"/>
        <v>197.87407589479196</v>
      </c>
      <c r="DS25" s="59">
        <f t="shared" si="17"/>
        <v>481.42963145034753</v>
      </c>
      <c r="DT25" s="59">
        <f ca="1">AVERAGE(OFFSET($DS$3,0,0,'Données projet'!$E$14+1,1))-AVERAGE(OFFSET($H$3,0,0,'Données projet'!$E$14+1,1))</f>
        <v>586.50020405958992</v>
      </c>
      <c r="DU25" s="59">
        <f t="shared" si="44"/>
        <v>304.44184537595294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</v>
      </c>
      <c r="N26" s="13">
        <f>IF('Données projet'!$A$36&gt;35,N25+M26-V25,IF(A26&lt;'Données projet'!$A$36,$K$205^A26,IF(A26='Données projet'!$A$36,'Données projet'!$B$36,N25+M26-V25)))</f>
        <v>89</v>
      </c>
      <c r="O26" s="13">
        <f>N26*VLOOKUP('Données projet'!$B$9,Paramètres!$A$1:$I$89,3,0)*VLOOKUP('Données projet'!$B$9,Paramètres!$A$1:$I$89,5,0)</f>
        <v>76.362000000000009</v>
      </c>
      <c r="P26" s="13">
        <f t="shared" si="33"/>
        <v>21.245279172340783</v>
      </c>
      <c r="Q26" s="20">
        <f t="shared" si="2"/>
        <v>169.99934455849356</v>
      </c>
      <c r="R26" s="59">
        <f t="shared" si="0"/>
        <v>454.7771223362713</v>
      </c>
      <c r="S26" s="59">
        <f ca="1">AVERAGE(OFFSET($R$3,0,0,'Données projet'!$E$9+1,1))-AVERAGE(OFFSET($H$3,0,0,'Données projet'!$E$9+1,1))</f>
        <v>536.21423347711345</v>
      </c>
      <c r="T26" s="59">
        <f t="shared" si="34"/>
        <v>312.14361830038712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</v>
      </c>
      <c r="AI26" s="13">
        <f>IF('Données projet'!$A$62&gt;35,AI25+AH26-AQ25,IF(A26&lt;'Données projet'!$A$62,$AF$205^A26,IF(A26='Données projet'!$A$62,'Données projet'!$B$62,AI25+AH26-AQ25)))</f>
        <v>92</v>
      </c>
      <c r="AJ26" s="13">
        <f>AI26*VLOOKUP('Données projet'!$B$10,Paramètres!$A$1:$I$89,3,0)*VLOOKUP('Données projet'!$B$10,Paramètres!$A$1:$I$89,5,0)</f>
        <v>83.241600000000005</v>
      </c>
      <c r="AK26" s="13">
        <f t="shared" si="35"/>
        <v>22.927930643846508</v>
      </c>
      <c r="AL26" s="20">
        <f t="shared" si="4"/>
        <v>184.91193253803269</v>
      </c>
      <c r="AM26" s="59">
        <f t="shared" si="5"/>
        <v>469.68971031581043</v>
      </c>
      <c r="AN26" s="59">
        <f ca="1">AVERAGE(OFFSET($AM$3,0,0,'Données projet'!$E$10+1,1))-AVERAGE(OFFSET($H$3,0,0,'Données projet'!$E$10+1,1))</f>
        <v>528.15559695545812</v>
      </c>
      <c r="AO26" s="59">
        <f t="shared" si="36"/>
        <v>276.26988364830532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</v>
      </c>
      <c r="BD26" s="12">
        <f>IF('Données projet'!$A$88&gt;35,BD25+BC26-BL25,IF(A26&lt;'Données projet'!$A$88,$BA$205^A26,IF(A26='Données projet'!$A$88,'Données projet'!$B$88,BD25+BC26-BL25)))</f>
        <v>89</v>
      </c>
      <c r="BE26" s="13">
        <f>BD26*VLOOKUP('Données projet'!$B$11,Paramètres!$A$1:$I$89,3,0)*VLOOKUP('Données projet'!$B$11,Paramètres!$A$1:$I$89,5,0)</f>
        <v>65.254800000000003</v>
      </c>
      <c r="BF26" s="13">
        <f t="shared" si="37"/>
        <v>18.490286358600809</v>
      </c>
      <c r="BG26" s="20">
        <f t="shared" si="7"/>
        <v>145.85602540789642</v>
      </c>
      <c r="BH26" s="59">
        <f t="shared" si="8"/>
        <v>430.6338031856742</v>
      </c>
      <c r="BI26" s="59">
        <f ca="1">AVERAGE(OFFSET($BH$3,0,0,'Données projet'!$E$11+1,1))-AVERAGE(OFFSET($H$3,0,0,'Données projet'!$E$11+1,1))</f>
        <v>464.3681853739115</v>
      </c>
      <c r="BJ26" s="59">
        <f t="shared" si="38"/>
        <v>272.97841038165217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10.6</v>
      </c>
      <c r="BY26" s="12">
        <f>IF('Données projet'!$A$114&gt;35,BY25+BX26-CG25,IF(A26&lt;'Données projet'!$A$114,$BV$205^A26,IF(A26='Données projet'!$A$114,'Données projet'!$B$114,BY25+BX26-CG25)))</f>
        <v>91.799999999999969</v>
      </c>
      <c r="BZ26" s="13">
        <f>BY26*VLOOKUP('Données projet'!$B$12,Paramètres!$A$1:$I$89,3,0)*VLOOKUP('Données projet'!$B$12,Paramètres!$A$1:$I$89,5,0)</f>
        <v>71.603999999999985</v>
      </c>
      <c r="CA26" s="13">
        <f t="shared" si="39"/>
        <v>20.071260561992585</v>
      </c>
      <c r="CB26" s="20">
        <f t="shared" si="10"/>
        <v>159.66774547880371</v>
      </c>
      <c r="CC26" s="59">
        <f t="shared" si="11"/>
        <v>444.44552325658151</v>
      </c>
      <c r="CD26" s="59">
        <f ca="1">AVERAGE(OFFSET($CC$3,0,0,'Données projet'!$E$12+1,1))-AVERAGE(OFFSET($H$3,0,0,'Données projet'!$E$12+1,1))</f>
        <v>288.82868507674738</v>
      </c>
      <c r="CE26" s="59">
        <f t="shared" si="40"/>
        <v>283.48738729114024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16.8</v>
      </c>
      <c r="CT26" s="12">
        <f>IF('Données projet'!$A$140&gt;35,CT25+CS26-DB25,IF(A26&lt;'Données projet'!$A$140,$CQ$205^A26,IF(A26='Données projet'!$A$140,'Données projet'!$B$140,CT25+CS26-DB25)))</f>
        <v>131.4</v>
      </c>
      <c r="CU26" s="17">
        <f>CT26*VLOOKUP('Données projet'!$B$13,Paramètres!$A$1:$I$89,3,0)*VLOOKUP('Données projet'!$B$13,Paramètres!$A$1:$I$89,5,0)</f>
        <v>86.093280000000007</v>
      </c>
      <c r="CV26" s="13">
        <f t="shared" si="41"/>
        <v>23.620598504835936</v>
      </c>
      <c r="CW26" s="20">
        <f t="shared" si="13"/>
        <v>191.08500506258926</v>
      </c>
      <c r="CX26" s="59">
        <f t="shared" si="14"/>
        <v>475.862782840367</v>
      </c>
      <c r="CY26" s="59">
        <f ca="1">AVERAGE(OFFSET($CX$3,0,0,'Données projet'!$E$13+1,1))-AVERAGE(OFFSET($H$3,0,0,'Données projet'!$E$13+1,1))</f>
        <v>340.49092994349405</v>
      </c>
      <c r="CZ26" s="59">
        <f t="shared" si="42"/>
        <v>331.54434271908832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</v>
      </c>
      <c r="DO26" s="12">
        <f>IF('Données projet'!$A$166&gt;35,DO25+DN26-DW25,IF(A26&lt;'Données projet'!$A$166,$DL$205^A26,IF(A26='Données projet'!$A$166,'Données projet'!$B$166,DO25+DN26-DW25)))</f>
        <v>92</v>
      </c>
      <c r="DP26" s="17">
        <f>DO26*VLOOKUP('Données projet'!$B$14,Paramètres!$A$1:$I$89,3,0)*VLOOKUP('Données projet'!$B$14,Paramètres!$A$1:$I$89,5,0)</f>
        <v>93.288000000000011</v>
      </c>
      <c r="DQ26" s="13">
        <f t="shared" si="43"/>
        <v>25.356547829040977</v>
      </c>
      <c r="DR26" s="20">
        <f t="shared" si="16"/>
        <v>206.63925413557971</v>
      </c>
      <c r="DS26" s="59">
        <f t="shared" si="17"/>
        <v>491.4170319133575</v>
      </c>
      <c r="DT26" s="59">
        <f ca="1">AVERAGE(OFFSET($DS$3,0,0,'Données projet'!$E$14+1,1))-AVERAGE(OFFSET($H$3,0,0,'Données projet'!$E$14+1,1))</f>
        <v>586.50020405958992</v>
      </c>
      <c r="DU26" s="59">
        <f t="shared" si="44"/>
        <v>304.44184537595294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</v>
      </c>
      <c r="N27" s="13">
        <f>IF('Données projet'!$A$36&gt;35,N26+M27-V26,IF(A27&lt;'Données projet'!$A$36,$K$205^A27,IF(A27='Données projet'!$A$36,'Données projet'!$B$36,N26+M27-V26)))</f>
        <v>100</v>
      </c>
      <c r="O27" s="13">
        <f>N27*VLOOKUP('Données projet'!$B$9,Paramètres!$A$1:$I$89,3,0)*VLOOKUP('Données projet'!$B$9,Paramètres!$A$1:$I$89,5,0)</f>
        <v>85.800000000000011</v>
      </c>
      <c r="P27" s="13">
        <f t="shared" si="33"/>
        <v>23.549485995669766</v>
      </c>
      <c r="Q27" s="20">
        <f t="shared" si="2"/>
        <v>190.45035477579154</v>
      </c>
      <c r="R27" s="59">
        <f t="shared" si="0"/>
        <v>476.45035477579154</v>
      </c>
      <c r="S27" s="59">
        <f ca="1">AVERAGE(OFFSET($R$3,0,0,'Données projet'!$E$9+1,1))-AVERAGE(OFFSET($H$3,0,0,'Données projet'!$E$9+1,1))</f>
        <v>536.21423347711345</v>
      </c>
      <c r="T27" s="59">
        <f t="shared" si="34"/>
        <v>312.14361830038712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</v>
      </c>
      <c r="AI27" s="13">
        <f>IF('Données projet'!$A$62&gt;35,AI26+AH27-AQ26,IF(A27&lt;'Données projet'!$A$62,$AF$205^A27,IF(A27='Données projet'!$A$62,'Données projet'!$B$62,AI26+AH27-AQ26)))</f>
        <v>96</v>
      </c>
      <c r="AJ27" s="13">
        <f>AI27*VLOOKUP('Données projet'!$B$10,Paramètres!$A$1:$I$89,3,0)*VLOOKUP('Données projet'!$B$10,Paramètres!$A$1:$I$89,5,0)</f>
        <v>86.860799999999998</v>
      </c>
      <c r="AK27" s="13">
        <f t="shared" si="35"/>
        <v>23.806568296036275</v>
      </c>
      <c r="AL27" s="20">
        <f t="shared" si="4"/>
        <v>192.74566644892982</v>
      </c>
      <c r="AM27" s="59">
        <f t="shared" si="5"/>
        <v>478.7456664489298</v>
      </c>
      <c r="AN27" s="59">
        <f ca="1">AVERAGE(OFFSET($AM$3,0,0,'Données projet'!$E$10+1,1))-AVERAGE(OFFSET($H$3,0,0,'Données projet'!$E$10+1,1))</f>
        <v>528.15559695545812</v>
      </c>
      <c r="AO27" s="59">
        <f t="shared" si="36"/>
        <v>276.26988364830532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11</v>
      </c>
      <c r="BD27" s="12">
        <f>IF('Données projet'!$A$88&gt;35,BD26+BC27-BL26,IF(A27&lt;'Données projet'!$A$88,$BA$205^A27,IF(A27='Données projet'!$A$88,'Données projet'!$B$88,BD26+BC27-BL26)))</f>
        <v>100</v>
      </c>
      <c r="BE27" s="13">
        <f>BD27*VLOOKUP('Données projet'!$B$11,Paramètres!$A$1:$I$89,3,0)*VLOOKUP('Données projet'!$B$11,Paramètres!$A$1:$I$89,5,0)</f>
        <v>73.320000000000007</v>
      </c>
      <c r="BF27" s="13">
        <f t="shared" si="37"/>
        <v>20.495693943372068</v>
      </c>
      <c r="BG27" s="20">
        <f t="shared" si="7"/>
        <v>163.39566695137304</v>
      </c>
      <c r="BH27" s="59">
        <f t="shared" si="8"/>
        <v>449.39566695137307</v>
      </c>
      <c r="BI27" s="59">
        <f ca="1">AVERAGE(OFFSET($BH$3,0,0,'Données projet'!$E$11+1,1))-AVERAGE(OFFSET($H$3,0,0,'Données projet'!$E$11+1,1))</f>
        <v>464.3681853739115</v>
      </c>
      <c r="BJ27" s="59">
        <f t="shared" si="38"/>
        <v>272.97841038165217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10.6</v>
      </c>
      <c r="BY27" s="12">
        <f>IF('Données projet'!$A$114&gt;35,BY26+BX27-CG26,IF(A27&lt;'Données projet'!$A$114,$BV$205^A27,IF(A27='Données projet'!$A$114,'Données projet'!$B$114,BY26+BX27-CG26)))</f>
        <v>102.39999999999996</v>
      </c>
      <c r="BZ27" s="13">
        <f>BY27*VLOOKUP('Données projet'!$B$12,Paramètres!$A$1:$I$89,3,0)*VLOOKUP('Données projet'!$B$12,Paramètres!$A$1:$I$89,5,0)</f>
        <v>79.871999999999971</v>
      </c>
      <c r="CA27" s="13">
        <f t="shared" si="39"/>
        <v>22.105884547145401</v>
      </c>
      <c r="CB27" s="20">
        <f t="shared" si="10"/>
        <v>177.61148225294485</v>
      </c>
      <c r="CC27" s="59">
        <f t="shared" si="11"/>
        <v>463.61148225294482</v>
      </c>
      <c r="CD27" s="59">
        <f ca="1">AVERAGE(OFFSET($CC$3,0,0,'Données projet'!$E$12+1,1))-AVERAGE(OFFSET($H$3,0,0,'Données projet'!$E$12+1,1))</f>
        <v>288.82868507674738</v>
      </c>
      <c r="CE27" s="59">
        <f t="shared" si="40"/>
        <v>283.48738729114024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16.8</v>
      </c>
      <c r="CT27" s="12">
        <f>IF('Données projet'!$A$140&gt;35,CT26+CS27-DB26,IF(A27&lt;'Données projet'!$A$140,$CQ$205^A27,IF(A27='Données projet'!$A$140,'Données projet'!$B$140,CT26+CS27-DB26)))</f>
        <v>148.20000000000002</v>
      </c>
      <c r="CU27" s="17">
        <f>CT27*VLOOKUP('Données projet'!$B$13,Paramètres!$A$1:$I$89,3,0)*VLOOKUP('Données projet'!$B$13,Paramètres!$A$1:$I$89,5,0)</f>
        <v>97.100640000000013</v>
      </c>
      <c r="CV27" s="13">
        <f t="shared" si="41"/>
        <v>26.270086676172319</v>
      </c>
      <c r="CW27" s="20">
        <f t="shared" si="13"/>
        <v>214.87068229433348</v>
      </c>
      <c r="CX27" s="59">
        <f t="shared" si="14"/>
        <v>500.87068229433351</v>
      </c>
      <c r="CY27" s="59">
        <f ca="1">AVERAGE(OFFSET($CX$3,0,0,'Données projet'!$E$13+1,1))-AVERAGE(OFFSET($H$3,0,0,'Données projet'!$E$13+1,1))</f>
        <v>340.49092994349405</v>
      </c>
      <c r="CZ27" s="59">
        <f t="shared" si="42"/>
        <v>331.54434271908832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</v>
      </c>
      <c r="DO27" s="12">
        <f>IF('Données projet'!$A$166&gt;35,DO26+DN27-DW26,IF(A27&lt;'Données projet'!$A$166,$DL$205^A27,IF(A27='Données projet'!$A$166,'Données projet'!$B$166,DO26+DN27-DW26)))</f>
        <v>96</v>
      </c>
      <c r="DP27" s="17">
        <f>DO27*VLOOKUP('Données projet'!$B$14,Paramètres!$A$1:$I$89,3,0)*VLOOKUP('Données projet'!$B$14,Paramètres!$A$1:$I$89,5,0)</f>
        <v>97.344000000000008</v>
      </c>
      <c r="DQ27" s="13">
        <f t="shared" si="43"/>
        <v>26.328254259866473</v>
      </c>
      <c r="DR27" s="20">
        <f t="shared" si="16"/>
        <v>215.3958428359341</v>
      </c>
      <c r="DS27" s="59">
        <f t="shared" si="17"/>
        <v>501.3958428359341</v>
      </c>
      <c r="DT27" s="59">
        <f ca="1">AVERAGE(OFFSET($DS$3,0,0,'Données projet'!$E$14+1,1))-AVERAGE(OFFSET($H$3,0,0,'Données projet'!$E$14+1,1))</f>
        <v>586.50020405958992</v>
      </c>
      <c r="DU27" s="59">
        <f t="shared" si="44"/>
        <v>304.44184537595294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111</v>
      </c>
      <c r="L28" s="12">
        <f>VLOOKUP(A28,'Données projet'!$A$35:$I$55,9,0)</f>
        <v>11</v>
      </c>
      <c r="M28" s="12">
        <f t="array" ref="M28">INDEX(L:L,MIN(IF(ISNUMBER(L28:L224),ROW(L28:L224),"")))</f>
        <v>11</v>
      </c>
      <c r="N28" s="13">
        <f>IF('Données projet'!$A$36&gt;35,N27+M28-V27,IF(A28&lt;'Données projet'!$A$36,$K$205^A28,IF(A28='Données projet'!$A$36,'Données projet'!$B$36,N27+M28-V27)))</f>
        <v>111</v>
      </c>
      <c r="O28" s="13">
        <f>N28*VLOOKUP('Données projet'!$B$9,Paramètres!$A$1:$I$89,3,0)*VLOOKUP('Données projet'!$B$9,Paramètres!$A$1:$I$89,5,0)</f>
        <v>95.238000000000014</v>
      </c>
      <c r="P28" s="13">
        <f t="shared" si="33"/>
        <v>25.824315354051141</v>
      </c>
      <c r="Q28" s="20">
        <f t="shared" si="2"/>
        <v>210.85019924163907</v>
      </c>
      <c r="R28" s="59">
        <f t="shared" si="0"/>
        <v>498.0724214638613</v>
      </c>
      <c r="S28" s="59">
        <f ca="1">AVERAGE(OFFSET($R$3,0,0,'Données projet'!$E$9+1,1))-AVERAGE(OFFSET($H$3,0,0,'Données projet'!$E$9+1,1))</f>
        <v>536.21423347711345</v>
      </c>
      <c r="T28" s="59">
        <f t="shared" si="34"/>
        <v>312.14361830038712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</v>
      </c>
      <c r="AI28" s="13">
        <f>IF('Données projet'!$A$62&gt;35,AI27+AH28-AQ27,IF(A28&lt;'Données projet'!$A$62,$AF$205^A28,IF(A28='Données projet'!$A$62,'Données projet'!$B$62,AI27+AH28-AQ27)))</f>
        <v>100</v>
      </c>
      <c r="AJ28" s="13">
        <f>AI28*VLOOKUP('Données projet'!$B$10,Paramètres!$A$1:$I$89,3,0)*VLOOKUP('Données projet'!$B$10,Paramètres!$A$1:$I$89,5,0)</f>
        <v>90.47999999999999</v>
      </c>
      <c r="AK28" s="13">
        <f t="shared" si="35"/>
        <v>24.680953573367994</v>
      </c>
      <c r="AL28" s="20">
        <f t="shared" si="4"/>
        <v>200.57199414028256</v>
      </c>
      <c r="AM28" s="59">
        <f t="shared" si="5"/>
        <v>487.79421636250481</v>
      </c>
      <c r="AN28" s="59">
        <f ca="1">AVERAGE(OFFSET($AM$3,0,0,'Données projet'!$E$10+1,1))-AVERAGE(OFFSET($H$3,0,0,'Données projet'!$E$10+1,1))</f>
        <v>528.15559695545812</v>
      </c>
      <c r="AO28" s="59">
        <f t="shared" si="36"/>
        <v>276.26988364830532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111</v>
      </c>
      <c r="BB28" s="12">
        <f>VLOOKUP(A28,'Données projet'!$A$87:$I$107,9,0)</f>
        <v>11</v>
      </c>
      <c r="BC28" s="12">
        <f t="array" ref="BC28">INDEX(BB:BB,MIN(IF(ISNUMBER(BB28:BB224),ROW(BB28:BB224),"")))</f>
        <v>11</v>
      </c>
      <c r="BD28" s="12">
        <f>IF('Données projet'!$A$88&gt;35,BD27+BC28-BL27,IF(A28&lt;'Données projet'!$A$88,$BA$205^A28,IF(A28='Données projet'!$A$88,'Données projet'!$B$88,BD27+BC28-BL27)))</f>
        <v>111</v>
      </c>
      <c r="BE28" s="13">
        <f>BD28*VLOOKUP('Données projet'!$B$11,Paramètres!$A$1:$I$89,3,0)*VLOOKUP('Données projet'!$B$11,Paramètres!$A$1:$I$89,5,0)</f>
        <v>81.385199999999998</v>
      </c>
      <c r="BF28" s="13">
        <f t="shared" si="37"/>
        <v>22.475533601501123</v>
      </c>
      <c r="BG28" s="20">
        <f t="shared" si="7"/>
        <v>180.89077768928109</v>
      </c>
      <c r="BH28" s="59">
        <f t="shared" si="8"/>
        <v>468.11299991150332</v>
      </c>
      <c r="BI28" s="59">
        <f ca="1">AVERAGE(OFFSET($BH$3,0,0,'Données projet'!$E$11+1,1))-AVERAGE(OFFSET($H$3,0,0,'Données projet'!$E$11+1,1))</f>
        <v>464.3681853739115</v>
      </c>
      <c r="BJ28" s="59">
        <f t="shared" si="38"/>
        <v>272.97841038165217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113</v>
      </c>
      <c r="BW28" s="12">
        <f>VLOOKUP(A28,'Données projet'!$A$113:$I$133,9,0)</f>
        <v>10.6</v>
      </c>
      <c r="BX28" s="12">
        <f t="array" ref="BX28">INDEX(BW:BW,MIN(IF(ISNUMBER(BW28:BW224),ROW(BW28:BW224),"")))</f>
        <v>10.6</v>
      </c>
      <c r="BY28" s="12">
        <f>IF('Données projet'!$A$114&gt;35,BY27+BX28-CG27,IF(A28&lt;'Données projet'!$A$114,$BV$205^A28,IF(A28='Données projet'!$A$114,'Données projet'!$B$114,BY27+BX28-CG27)))</f>
        <v>112.99999999999996</v>
      </c>
      <c r="BZ28" s="13">
        <f>BY28*VLOOKUP('Données projet'!$B$12,Paramètres!$A$1:$I$89,3,0)*VLOOKUP('Données projet'!$B$12,Paramètres!$A$1:$I$89,5,0)</f>
        <v>88.139999999999972</v>
      </c>
      <c r="CA28" s="13">
        <f t="shared" si="39"/>
        <v>24.116094026318823</v>
      </c>
      <c r="CB28" s="20">
        <f t="shared" si="10"/>
        <v>195.51269709583855</v>
      </c>
      <c r="CC28" s="59">
        <f t="shared" si="11"/>
        <v>482.73491931806075</v>
      </c>
      <c r="CD28" s="59">
        <f ca="1">AVERAGE(OFFSET($CC$3,0,0,'Données projet'!$E$12+1,1))-AVERAGE(OFFSET($H$3,0,0,'Données projet'!$E$12+1,1))</f>
        <v>288.82868507674738</v>
      </c>
      <c r="CE28" s="59">
        <f t="shared" si="40"/>
        <v>283.48738729114024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165</v>
      </c>
      <c r="CR28" s="12">
        <f>VLOOKUP(A28,'Données projet'!$A$139:$I$159,9,0)</f>
        <v>16.8</v>
      </c>
      <c r="CS28" s="12">
        <f t="array" ref="CS28">INDEX(CR:CR,MIN(IF(ISNUMBER(CR28:CR224),ROW(CR28:CR224),"")))</f>
        <v>16.8</v>
      </c>
      <c r="CT28" s="12">
        <f>IF('Données projet'!$A$140&gt;35,CT27+CS28-DB27,IF(A28&lt;'Données projet'!$A$140,$CQ$205^A28,IF(A28='Données projet'!$A$140,'Données projet'!$B$140,CT27+CS28-DB27)))</f>
        <v>165.00000000000003</v>
      </c>
      <c r="CU28" s="17">
        <f>CT28*VLOOKUP('Données projet'!$B$13,Paramètres!$A$1:$I$89,3,0)*VLOOKUP('Données projet'!$B$13,Paramètres!$A$1:$I$89,5,0)</f>
        <v>108.10800000000002</v>
      </c>
      <c r="CV28" s="13">
        <f t="shared" si="41"/>
        <v>28.884765499467161</v>
      </c>
      <c r="CW28" s="20">
        <f t="shared" si="13"/>
        <v>238.59573324490532</v>
      </c>
      <c r="CX28" s="59">
        <f t="shared" si="14"/>
        <v>525.8179554671276</v>
      </c>
      <c r="CY28" s="59">
        <f ca="1">AVERAGE(OFFSET($CX$3,0,0,'Données projet'!$E$13+1,1))-AVERAGE(OFFSET($H$3,0,0,'Données projet'!$E$13+1,1))</f>
        <v>340.49092994349405</v>
      </c>
      <c r="CZ28" s="59">
        <f t="shared" si="42"/>
        <v>331.54434271908832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42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</v>
      </c>
      <c r="DO28" s="12">
        <f>IF('Données projet'!$A$166&gt;35,DO27+DN28-DW27,IF(A28&lt;'Données projet'!$A$166,$DL$205^A28,IF(A28='Données projet'!$A$166,'Données projet'!$B$166,DO27+DN28-DW27)))</f>
        <v>100</v>
      </c>
      <c r="DP28" s="17">
        <f>DO28*VLOOKUP('Données projet'!$B$14,Paramètres!$A$1:$I$89,3,0)*VLOOKUP('Données projet'!$B$14,Paramètres!$A$1:$I$89,5,0)</f>
        <v>101.4</v>
      </c>
      <c r="DQ28" s="13">
        <f t="shared" si="43"/>
        <v>27.295257887453797</v>
      </c>
      <c r="DR28" s="20">
        <f t="shared" si="16"/>
        <v>224.14424082064872</v>
      </c>
      <c r="DS28" s="59">
        <f t="shared" si="17"/>
        <v>511.36646304287092</v>
      </c>
      <c r="DT28" s="59">
        <f ca="1">AVERAGE(OFFSET($DS$3,0,0,'Données projet'!$E$14+1,1))-AVERAGE(OFFSET($H$3,0,0,'Données projet'!$E$14+1,1))</f>
        <v>586.50020405958992</v>
      </c>
      <c r="DU28" s="59">
        <f t="shared" si="44"/>
        <v>304.44184537595294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12.2</v>
      </c>
      <c r="N29" s="13">
        <f>IF('Données projet'!$A$36&gt;35,N28+M29-V28,IF(A29&lt;'Données projet'!$A$36,$K$205^A29,IF(A29='Données projet'!$A$36,'Données projet'!$B$36,N28+M29-V28)))</f>
        <v>97.2</v>
      </c>
      <c r="O29" s="13">
        <f>N29*VLOOKUP('Données projet'!$B$9,Paramètres!$A$1:$I$89,3,0)*VLOOKUP('Données projet'!$B$9,Paramètres!$A$1:$I$89,5,0)</f>
        <v>83.397600000000011</v>
      </c>
      <c r="P29" s="13">
        <f t="shared" si="33"/>
        <v>22.965893371329315</v>
      </c>
      <c r="Q29" s="20">
        <f t="shared" si="2"/>
        <v>185.24975095506522</v>
      </c>
      <c r="R29" s="59">
        <f t="shared" si="0"/>
        <v>473.69419539950968</v>
      </c>
      <c r="S29" s="59">
        <f ca="1">AVERAGE(OFFSET($R$3,0,0,'Données projet'!$E$9+1,1))-AVERAGE(OFFSET($H$3,0,0,'Données projet'!$E$9+1,1))</f>
        <v>536.21423347711345</v>
      </c>
      <c r="T29" s="59">
        <f t="shared" si="34"/>
        <v>312.14361830038712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</v>
      </c>
      <c r="AI29" s="13">
        <f>IF('Données projet'!$A$62&gt;35,AI28+AH29-AQ28,IF(A29&lt;'Données projet'!$A$62,$AF$205^A29,IF(A29='Données projet'!$A$62,'Données projet'!$B$62,AI28+AH29-AQ28)))</f>
        <v>104</v>
      </c>
      <c r="AJ29" s="13">
        <f>AI29*VLOOKUP('Données projet'!$B$10,Paramètres!$A$1:$I$89,3,0)*VLOOKUP('Données projet'!$B$10,Paramètres!$A$1:$I$89,5,0)</f>
        <v>94.099199999999996</v>
      </c>
      <c r="AK29" s="13">
        <f t="shared" si="35"/>
        <v>25.551276031514817</v>
      </c>
      <c r="AL29" s="20">
        <f t="shared" si="4"/>
        <v>208.39124575488827</v>
      </c>
      <c r="AM29" s="59">
        <f t="shared" si="5"/>
        <v>496.8356901993327</v>
      </c>
      <c r="AN29" s="59">
        <f ca="1">AVERAGE(OFFSET($AM$3,0,0,'Données projet'!$E$10+1,1))-AVERAGE(OFFSET($H$3,0,0,'Données projet'!$E$10+1,1))</f>
        <v>528.15559695545812</v>
      </c>
      <c r="AO29" s="59">
        <f t="shared" si="36"/>
        <v>276.26988364830532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12.2</v>
      </c>
      <c r="BD29" s="12">
        <f>IF('Données projet'!$A$88&gt;35,BD28+BC29-BL28,IF(A29&lt;'Données projet'!$A$88,$BA$205^A29,IF(A29='Données projet'!$A$88,'Données projet'!$B$88,BD28+BC29-BL28)))</f>
        <v>97.2</v>
      </c>
      <c r="BE29" s="13">
        <f>BD29*VLOOKUP('Données projet'!$B$11,Paramètres!$A$1:$I$89,3,0)*VLOOKUP('Données projet'!$B$11,Paramètres!$A$1:$I$89,5,0)</f>
        <v>71.267039999999994</v>
      </c>
      <c r="BF29" s="13">
        <f t="shared" si="37"/>
        <v>19.987779001267139</v>
      </c>
      <c r="BG29" s="20">
        <f t="shared" si="7"/>
        <v>158.93547642720694</v>
      </c>
      <c r="BH29" s="59">
        <f t="shared" si="8"/>
        <v>447.37992087165139</v>
      </c>
      <c r="BI29" s="59">
        <f ca="1">AVERAGE(OFFSET($BH$3,0,0,'Données projet'!$E$11+1,1))-AVERAGE(OFFSET($H$3,0,0,'Données projet'!$E$11+1,1))</f>
        <v>464.3681853739115</v>
      </c>
      <c r="BJ29" s="59">
        <f t="shared" si="38"/>
        <v>272.97841038165217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11.5</v>
      </c>
      <c r="BY29" s="12">
        <f>IF('Données projet'!$A$114&gt;35,BY28+BX29-CG28,IF(A29&lt;'Données projet'!$A$114,$BV$205^A29,IF(A29='Données projet'!$A$114,'Données projet'!$B$114,BY28+BX29-CG28)))</f>
        <v>97.499999999999957</v>
      </c>
      <c r="BZ29" s="13">
        <f>BY29*VLOOKUP('Données projet'!$B$12,Paramètres!$A$1:$I$89,3,0)*VLOOKUP('Données projet'!$B$12,Paramètres!$A$1:$I$89,5,0)</f>
        <v>76.049999999999969</v>
      </c>
      <c r="CA29" s="13">
        <f t="shared" si="39"/>
        <v>21.168560890749262</v>
      </c>
      <c r="CB29" s="20">
        <f t="shared" si="10"/>
        <v>169.32232688472158</v>
      </c>
      <c r="CC29" s="59">
        <f t="shared" si="11"/>
        <v>457.76677132916603</v>
      </c>
      <c r="CD29" s="59">
        <f ca="1">AVERAGE(OFFSET($CC$3,0,0,'Données projet'!$E$12+1,1))-AVERAGE(OFFSET($H$3,0,0,'Données projet'!$E$12+1,1))</f>
        <v>288.82868507674738</v>
      </c>
      <c r="CE29" s="59">
        <f t="shared" si="40"/>
        <v>283.48738729114024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139.40000000000003</v>
      </c>
      <c r="CU29" s="17">
        <f>CT29*VLOOKUP('Données projet'!$B$13,Paramètres!$A$1:$I$89,3,0)*VLOOKUP('Données projet'!$B$13,Paramètres!$A$1:$I$89,5,0)</f>
        <v>91.334880000000013</v>
      </c>
      <c r="CV29" s="13">
        <f t="shared" si="41"/>
        <v>24.886889521433787</v>
      </c>
      <c r="CW29" s="20">
        <f t="shared" si="13"/>
        <v>202.41958191649721</v>
      </c>
      <c r="CX29" s="59">
        <f t="shared" si="14"/>
        <v>490.86402636094169</v>
      </c>
      <c r="CY29" s="59">
        <f ca="1">AVERAGE(OFFSET($CX$3,0,0,'Données projet'!$E$13+1,1))-AVERAGE(OFFSET($H$3,0,0,'Données projet'!$E$13+1,1))</f>
        <v>340.49092994349405</v>
      </c>
      <c r="CZ29" s="59">
        <f t="shared" si="42"/>
        <v>331.54434271908832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</v>
      </c>
      <c r="DO29" s="12">
        <f>IF('Données projet'!$A$166&gt;35,DO28+DN29-DW28,IF(A29&lt;'Données projet'!$A$166,$DL$205^A29,IF(A29='Données projet'!$A$166,'Données projet'!$B$166,DO28+DN29-DW28)))</f>
        <v>104</v>
      </c>
      <c r="DP29" s="17">
        <f>DO29*VLOOKUP('Données projet'!$B$14,Paramètres!$A$1:$I$89,3,0)*VLOOKUP('Données projet'!$B$14,Paramètres!$A$1:$I$89,5,0)</f>
        <v>105.45600000000002</v>
      </c>
      <c r="DQ29" s="13">
        <f t="shared" si="43"/>
        <v>28.257768345963573</v>
      </c>
      <c r="DR29" s="20">
        <f t="shared" si="16"/>
        <v>232.88481320255323</v>
      </c>
      <c r="DS29" s="59">
        <f t="shared" si="17"/>
        <v>521.32925764699769</v>
      </c>
      <c r="DT29" s="59">
        <f ca="1">AVERAGE(OFFSET($DS$3,0,0,'Données projet'!$E$14+1,1))-AVERAGE(OFFSET($H$3,0,0,'Données projet'!$E$14+1,1))</f>
        <v>586.50020405958992</v>
      </c>
      <c r="DU29" s="59">
        <f t="shared" si="44"/>
        <v>304.44184537595294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12.2</v>
      </c>
      <c r="N30" s="13">
        <f>IF('Données projet'!$A$36&gt;35,N29+M30-V29,IF(A30&lt;'Données projet'!$A$36,$K$205^A30,IF(A30='Données projet'!$A$36,'Données projet'!$B$36,N29+M30-V29)))</f>
        <v>109.4</v>
      </c>
      <c r="O30" s="13">
        <f>N30*VLOOKUP('Données projet'!$B$9,Paramètres!$A$1:$I$89,3,0)*VLOOKUP('Données projet'!$B$9,Paramètres!$A$1:$I$89,5,0)</f>
        <v>93.865200000000016</v>
      </c>
      <c r="P30" s="13">
        <f t="shared" si="33"/>
        <v>25.495124560846406</v>
      </c>
      <c r="Q30" s="20">
        <f t="shared" si="2"/>
        <v>207.88589861014086</v>
      </c>
      <c r="R30" s="59">
        <f t="shared" si="0"/>
        <v>497.55256527680751</v>
      </c>
      <c r="S30" s="59">
        <f ca="1">AVERAGE(OFFSET($R$3,0,0,'Données projet'!$E$9+1,1))-AVERAGE(OFFSET($H$3,0,0,'Données projet'!$E$9+1,1))</f>
        <v>536.21423347711345</v>
      </c>
      <c r="T30" s="59">
        <f t="shared" si="34"/>
        <v>312.14361830038712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</v>
      </c>
      <c r="AI30" s="13">
        <f>IF('Données projet'!$A$62&gt;35,AI29+AH30-AQ29,IF(A30&lt;'Données projet'!$A$62,$AF$205^A30,IF(A30='Données projet'!$A$62,'Données projet'!$B$62,AI29+AH30-AQ29)))</f>
        <v>108</v>
      </c>
      <c r="AJ30" s="13">
        <f>AI30*VLOOKUP('Données projet'!$B$10,Paramètres!$A$1:$I$89,3,0)*VLOOKUP('Données projet'!$B$10,Paramètres!$A$1:$I$89,5,0)</f>
        <v>97.718399999999988</v>
      </c>
      <c r="AK30" s="13">
        <f t="shared" si="35"/>
        <v>26.417709819192194</v>
      </c>
      <c r="AL30" s="20">
        <f t="shared" si="4"/>
        <v>216.20372460175972</v>
      </c>
      <c r="AM30" s="59">
        <f t="shared" si="5"/>
        <v>505.87039126842637</v>
      </c>
      <c r="AN30" s="59">
        <f ca="1">AVERAGE(OFFSET($AM$3,0,0,'Données projet'!$E$10+1,1))-AVERAGE(OFFSET($H$3,0,0,'Données projet'!$E$10+1,1))</f>
        <v>528.15559695545812</v>
      </c>
      <c r="AO30" s="59">
        <f t="shared" si="36"/>
        <v>276.26988364830532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12.2</v>
      </c>
      <c r="BD30" s="12">
        <f>IF('Données projet'!$A$88&gt;35,BD29+BC30-BL29,IF(A30&lt;'Données projet'!$A$88,$BA$205^A30,IF(A30='Données projet'!$A$88,'Données projet'!$B$88,BD29+BC30-BL29)))</f>
        <v>109.4</v>
      </c>
      <c r="BE30" s="13">
        <f>BD30*VLOOKUP('Données projet'!$B$11,Paramètres!$A$1:$I$89,3,0)*VLOOKUP('Données projet'!$B$11,Paramètres!$A$1:$I$89,5,0)</f>
        <v>80.21208</v>
      </c>
      <c r="BF30" s="13">
        <f t="shared" si="37"/>
        <v>22.189030798521017</v>
      </c>
      <c r="BG30" s="20">
        <f t="shared" si="7"/>
        <v>178.3486013074241</v>
      </c>
      <c r="BH30" s="59">
        <f t="shared" si="8"/>
        <v>468.01526797409076</v>
      </c>
      <c r="BI30" s="59">
        <f ca="1">AVERAGE(OFFSET($BH$3,0,0,'Données projet'!$E$11+1,1))-AVERAGE(OFFSET($H$3,0,0,'Données projet'!$E$11+1,1))</f>
        <v>464.3681853739115</v>
      </c>
      <c r="BJ30" s="59">
        <f t="shared" si="38"/>
        <v>272.97841038165217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11.5</v>
      </c>
      <c r="BY30" s="12">
        <f>IF('Données projet'!$A$114&gt;35,BY29+BX30-CG29,IF(A30&lt;'Données projet'!$A$114,$BV$205^A30,IF(A30='Données projet'!$A$114,'Données projet'!$B$114,BY29+BX30-CG29)))</f>
        <v>108.99999999999996</v>
      </c>
      <c r="BZ30" s="13">
        <f>BY30*VLOOKUP('Données projet'!$B$12,Paramètres!$A$1:$I$89,3,0)*VLOOKUP('Données projet'!$B$12,Paramètres!$A$1:$I$89,5,0)</f>
        <v>85.019999999999968</v>
      </c>
      <c r="CA30" s="13">
        <f t="shared" si="39"/>
        <v>23.360218970693097</v>
      </c>
      <c r="CB30" s="20">
        <f t="shared" si="10"/>
        <v>188.76221470729038</v>
      </c>
      <c r="CC30" s="59">
        <f t="shared" si="11"/>
        <v>478.4288813739571</v>
      </c>
      <c r="CD30" s="59">
        <f ca="1">AVERAGE(OFFSET($CC$3,0,0,'Données projet'!$E$12+1,1))-AVERAGE(OFFSET($H$3,0,0,'Données projet'!$E$12+1,1))</f>
        <v>288.82868507674738</v>
      </c>
      <c r="CE30" s="59">
        <f t="shared" si="40"/>
        <v>283.48738729114024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155.80000000000004</v>
      </c>
      <c r="CU30" s="17">
        <f>CT30*VLOOKUP('Données projet'!$B$13,Paramètres!$A$1:$I$89,3,0)*VLOOKUP('Données projet'!$B$13,Paramètres!$A$1:$I$89,5,0)</f>
        <v>102.08016000000003</v>
      </c>
      <c r="CV30" s="13">
        <f t="shared" si="41"/>
        <v>27.456971614793193</v>
      </c>
      <c r="CW30" s="20">
        <f t="shared" si="13"/>
        <v>225.61050422909818</v>
      </c>
      <c r="CX30" s="59">
        <f t="shared" si="14"/>
        <v>515.27717089576481</v>
      </c>
      <c r="CY30" s="59">
        <f ca="1">AVERAGE(OFFSET($CX$3,0,0,'Données projet'!$E$13+1,1))-AVERAGE(OFFSET($H$3,0,0,'Données projet'!$E$13+1,1))</f>
        <v>340.49092994349405</v>
      </c>
      <c r="CZ30" s="59">
        <f t="shared" si="42"/>
        <v>331.54434271908832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</v>
      </c>
      <c r="DO30" s="12">
        <f>IF('Données projet'!$A$166&gt;35,DO29+DN30-DW29,IF(A30&lt;'Données projet'!$A$166,$DL$205^A30,IF(A30='Données projet'!$A$166,'Données projet'!$B$166,DO29+DN30-DW29)))</f>
        <v>108</v>
      </c>
      <c r="DP30" s="17">
        <f>DO30*VLOOKUP('Données projet'!$B$14,Paramètres!$A$1:$I$89,3,0)*VLOOKUP('Données projet'!$B$14,Paramètres!$A$1:$I$89,5,0)</f>
        <v>109.51200000000001</v>
      </c>
      <c r="DQ30" s="13">
        <f t="shared" si="43"/>
        <v>29.215978230632555</v>
      </c>
      <c r="DR30" s="20">
        <f t="shared" si="16"/>
        <v>241.61789541835174</v>
      </c>
      <c r="DS30" s="59">
        <f t="shared" si="17"/>
        <v>531.28456208501848</v>
      </c>
      <c r="DT30" s="59">
        <f ca="1">AVERAGE(OFFSET($DS$3,0,0,'Données projet'!$E$14+1,1))-AVERAGE(OFFSET($H$3,0,0,'Données projet'!$E$14+1,1))</f>
        <v>586.50020405958992</v>
      </c>
      <c r="DU30" s="59">
        <f t="shared" si="44"/>
        <v>304.44184537595294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12.2</v>
      </c>
      <c r="N31" s="13">
        <f>IF('Données projet'!$A$36&gt;35,N30+M31-V30,IF(A31&lt;'Données projet'!$A$36,$K$205^A31,IF(A31='Données projet'!$A$36,'Données projet'!$B$36,N30+M31-V30)))</f>
        <v>121.60000000000001</v>
      </c>
      <c r="O31" s="13">
        <f>N31*VLOOKUP('Données projet'!$B$9,Paramètres!$A$1:$I$89,3,0)*VLOOKUP('Données projet'!$B$9,Paramètres!$A$1:$I$89,5,0)</f>
        <v>104.33280000000002</v>
      </c>
      <c r="P31" s="13">
        <f t="shared" si="33"/>
        <v>27.991665469945552</v>
      </c>
      <c r="Q31" s="20">
        <f t="shared" si="2"/>
        <v>230.46511069348855</v>
      </c>
      <c r="R31" s="59">
        <f t="shared" si="0"/>
        <v>521.35399958237736</v>
      </c>
      <c r="S31" s="59">
        <f ca="1">AVERAGE(OFFSET($R$3,0,0,'Données projet'!$E$9+1,1))-AVERAGE(OFFSET($H$3,0,0,'Données projet'!$E$9+1,1))</f>
        <v>536.21423347711345</v>
      </c>
      <c r="T31" s="59">
        <f t="shared" si="34"/>
        <v>312.14361830038712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</v>
      </c>
      <c r="AI31" s="13">
        <f>IF('Données projet'!$A$62&gt;35,AI30+AH31-AQ30,IF(A31&lt;'Données projet'!$A$62,$AF$205^A31,IF(A31='Données projet'!$A$62,'Données projet'!$B$62,AI30+AH31-AQ30)))</f>
        <v>112</v>
      </c>
      <c r="AJ31" s="13">
        <f>AI31*VLOOKUP('Données projet'!$B$10,Paramètres!$A$1:$I$89,3,0)*VLOOKUP('Données projet'!$B$10,Paramètres!$A$1:$I$89,5,0)</f>
        <v>101.33759999999999</v>
      </c>
      <c r="AK31" s="13">
        <f t="shared" si="35"/>
        <v>27.280415454305565</v>
      </c>
      <c r="AL31" s="20">
        <f t="shared" si="4"/>
        <v>224.00971024958213</v>
      </c>
      <c r="AM31" s="59">
        <f t="shared" si="5"/>
        <v>514.89859913847101</v>
      </c>
      <c r="AN31" s="59">
        <f ca="1">AVERAGE(OFFSET($AM$3,0,0,'Données projet'!$E$10+1,1))-AVERAGE(OFFSET($H$3,0,0,'Données projet'!$E$10+1,1))</f>
        <v>528.15559695545812</v>
      </c>
      <c r="AO31" s="59">
        <f t="shared" si="36"/>
        <v>276.26988364830532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12.2</v>
      </c>
      <c r="BD31" s="12">
        <f>IF('Données projet'!$A$88&gt;35,BD30+BC31-BL30,IF(A31&lt;'Données projet'!$A$88,$BA$205^A31,IF(A31='Données projet'!$A$88,'Données projet'!$B$88,BD30+BC31-BL30)))</f>
        <v>121.60000000000001</v>
      </c>
      <c r="BE31" s="13">
        <f>BD31*VLOOKUP('Données projet'!$B$11,Paramètres!$A$1:$I$89,3,0)*VLOOKUP('Données projet'!$B$11,Paramètres!$A$1:$I$89,5,0)</f>
        <v>89.157120000000006</v>
      </c>
      <c r="BF31" s="13">
        <f t="shared" si="37"/>
        <v>24.361831444760703</v>
      </c>
      <c r="BG31" s="20">
        <f t="shared" si="7"/>
        <v>197.71217376629156</v>
      </c>
      <c r="BH31" s="59">
        <f t="shared" si="8"/>
        <v>488.60106265518039</v>
      </c>
      <c r="BI31" s="59">
        <f ca="1">AVERAGE(OFFSET($BH$3,0,0,'Données projet'!$E$11+1,1))-AVERAGE(OFFSET($H$3,0,0,'Données projet'!$E$11+1,1))</f>
        <v>464.3681853739115</v>
      </c>
      <c r="BJ31" s="59">
        <f t="shared" si="38"/>
        <v>272.97841038165217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11.5</v>
      </c>
      <c r="BY31" s="12">
        <f>IF('Données projet'!$A$114&gt;35,BY30+BX31-CG30,IF(A31&lt;'Données projet'!$A$114,$BV$205^A31,IF(A31='Données projet'!$A$114,'Données projet'!$B$114,BY30+BX31-CG30)))</f>
        <v>120.49999999999996</v>
      </c>
      <c r="BZ31" s="13">
        <f>BY31*VLOOKUP('Données projet'!$B$12,Paramètres!$A$1:$I$89,3,0)*VLOOKUP('Données projet'!$B$12,Paramètres!$A$1:$I$89,5,0)</f>
        <v>93.989999999999966</v>
      </c>
      <c r="CA31" s="13">
        <f t="shared" si="39"/>
        <v>25.525074036970054</v>
      </c>
      <c r="CB31" s="20">
        <f t="shared" si="10"/>
        <v>208.15542061438944</v>
      </c>
      <c r="CC31" s="59">
        <f t="shared" si="11"/>
        <v>499.04430950327833</v>
      </c>
      <c r="CD31" s="59">
        <f ca="1">AVERAGE(OFFSET($CC$3,0,0,'Données projet'!$E$12+1,1))-AVERAGE(OFFSET($H$3,0,0,'Données projet'!$E$12+1,1))</f>
        <v>288.82868507674738</v>
      </c>
      <c r="CE31" s="59">
        <f t="shared" si="40"/>
        <v>283.48738729114024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172.20000000000005</v>
      </c>
      <c r="CU31" s="17">
        <f>CT31*VLOOKUP('Données projet'!$B$13,Paramètres!$A$1:$I$89,3,0)*VLOOKUP('Données projet'!$B$13,Paramètres!$A$1:$I$89,5,0)</f>
        <v>112.82544000000003</v>
      </c>
      <c r="CV31" s="13">
        <f t="shared" si="41"/>
        <v>29.995694500969023</v>
      </c>
      <c r="CW31" s="20">
        <f t="shared" si="13"/>
        <v>248.7468092558544</v>
      </c>
      <c r="CX31" s="59">
        <f t="shared" si="14"/>
        <v>539.63569814474329</v>
      </c>
      <c r="CY31" s="59">
        <f ca="1">AVERAGE(OFFSET($CX$3,0,0,'Données projet'!$E$13+1,1))-AVERAGE(OFFSET($H$3,0,0,'Données projet'!$E$13+1,1))</f>
        <v>340.49092994349405</v>
      </c>
      <c r="CZ31" s="59">
        <f t="shared" si="42"/>
        <v>331.54434271908832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</v>
      </c>
      <c r="DO31" s="12">
        <f>IF('Données projet'!$A$166&gt;35,DO30+DN31-DW30,IF(A31&lt;'Données projet'!$A$166,$DL$205^A31,IF(A31='Données projet'!$A$166,'Données projet'!$B$166,DO30+DN31-DW30)))</f>
        <v>112</v>
      </c>
      <c r="DP31" s="17">
        <f>DO31*VLOOKUP('Données projet'!$B$14,Paramètres!$A$1:$I$89,3,0)*VLOOKUP('Données projet'!$B$14,Paramètres!$A$1:$I$89,5,0)</f>
        <v>113.568</v>
      </c>
      <c r="DQ31" s="13">
        <f t="shared" si="43"/>
        <v>30.17006506205821</v>
      </c>
      <c r="DR31" s="20">
        <f t="shared" si="16"/>
        <v>250.3437966497514</v>
      </c>
      <c r="DS31" s="59">
        <f t="shared" si="17"/>
        <v>541.23268553864023</v>
      </c>
      <c r="DT31" s="59">
        <f ca="1">AVERAGE(OFFSET($DS$3,0,0,'Données projet'!$E$14+1,1))-AVERAGE(OFFSET($H$3,0,0,'Données projet'!$E$14+1,1))</f>
        <v>586.50020405958992</v>
      </c>
      <c r="DU31" s="59">
        <f t="shared" si="44"/>
        <v>304.44184537595294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12.2</v>
      </c>
      <c r="N32" s="13">
        <f>IF('Données projet'!$A$36&gt;35,N31+M32-V31,IF(A32&lt;'Données projet'!$A$36,$K$205^A32,IF(A32='Données projet'!$A$36,'Données projet'!$B$36,N31+M32-V31)))</f>
        <v>133.80000000000001</v>
      </c>
      <c r="O32" s="13">
        <f>N32*VLOOKUP('Données projet'!$B$9,Paramètres!$A$1:$I$89,3,0)*VLOOKUP('Données projet'!$B$9,Paramètres!$A$1:$I$89,5,0)</f>
        <v>114.80040000000002</v>
      </c>
      <c r="P32" s="13">
        <f t="shared" si="33"/>
        <v>30.459169258522444</v>
      </c>
      <c r="Q32" s="20">
        <f t="shared" si="2"/>
        <v>252.99374979192666</v>
      </c>
      <c r="R32" s="59">
        <f t="shared" si="0"/>
        <v>545.10486090303777</v>
      </c>
      <c r="S32" s="59">
        <f ca="1">AVERAGE(OFFSET($R$3,0,0,'Données projet'!$E$9+1,1))-AVERAGE(OFFSET($H$3,0,0,'Données projet'!$E$9+1,1))</f>
        <v>536.21423347711345</v>
      </c>
      <c r="T32" s="59">
        <f t="shared" si="34"/>
        <v>312.14361830038712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</v>
      </c>
      <c r="AI32" s="13">
        <f>IF('Données projet'!$A$62&gt;35,AI31+AH32-AQ31,IF(A32&lt;'Données projet'!$A$62,$AF$205^A32,IF(A32='Données projet'!$A$62,'Données projet'!$B$62,AI31+AH32-AQ31)))</f>
        <v>116</v>
      </c>
      <c r="AJ32" s="13">
        <f>AI32*VLOOKUP('Données projet'!$B$10,Paramètres!$A$1:$I$89,3,0)*VLOOKUP('Données projet'!$B$10,Paramètres!$A$1:$I$89,5,0)</f>
        <v>104.9568</v>
      </c>
      <c r="AK32" s="13">
        <f t="shared" si="35"/>
        <v>28.139541339232373</v>
      </c>
      <c r="AL32" s="20">
        <f t="shared" si="4"/>
        <v>231.8094611658297</v>
      </c>
      <c r="AM32" s="59">
        <f t="shared" si="5"/>
        <v>523.9205722769409</v>
      </c>
      <c r="AN32" s="59">
        <f ca="1">AVERAGE(OFFSET($AM$3,0,0,'Données projet'!$E$10+1,1))-AVERAGE(OFFSET($H$3,0,0,'Données projet'!$E$10+1,1))</f>
        <v>528.15559695545812</v>
      </c>
      <c r="AO32" s="59">
        <f t="shared" si="36"/>
        <v>276.26988364830532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12.2</v>
      </c>
      <c r="BD32" s="12">
        <f>IF('Données projet'!$A$88&gt;35,BD31+BC32-BL31,IF(A32&lt;'Données projet'!$A$88,$BA$205^A32,IF(A32='Données projet'!$A$88,'Données projet'!$B$88,BD31+BC32-BL31)))</f>
        <v>133.80000000000001</v>
      </c>
      <c r="BE32" s="13">
        <f>BD32*VLOOKUP('Données projet'!$B$11,Paramètres!$A$1:$I$89,3,0)*VLOOKUP('Données projet'!$B$11,Paramètres!$A$1:$I$89,5,0)</f>
        <v>98.102160000000012</v>
      </c>
      <c r="BF32" s="13">
        <f t="shared" si="37"/>
        <v>26.50936037444021</v>
      </c>
      <c r="BG32" s="20">
        <f t="shared" si="7"/>
        <v>217.0317313188167</v>
      </c>
      <c r="BH32" s="59">
        <f t="shared" si="8"/>
        <v>509.14284242992784</v>
      </c>
      <c r="BI32" s="59">
        <f ca="1">AVERAGE(OFFSET($BH$3,0,0,'Données projet'!$E$11+1,1))-AVERAGE(OFFSET($H$3,0,0,'Données projet'!$E$11+1,1))</f>
        <v>464.3681853739115</v>
      </c>
      <c r="BJ32" s="59">
        <f t="shared" si="38"/>
        <v>272.97841038165217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11.5</v>
      </c>
      <c r="BY32" s="12">
        <f>IF('Données projet'!$A$114&gt;35,BY31+BX32-CG31,IF(A32&lt;'Données projet'!$A$114,$BV$205^A32,IF(A32='Données projet'!$A$114,'Données projet'!$B$114,BY31+BX32-CG31)))</f>
        <v>131.99999999999994</v>
      </c>
      <c r="BZ32" s="13">
        <f>BY32*VLOOKUP('Données projet'!$B$12,Paramètres!$A$1:$I$89,3,0)*VLOOKUP('Données projet'!$B$12,Paramètres!$A$1:$I$89,5,0)</f>
        <v>102.95999999999997</v>
      </c>
      <c r="CA32" s="13">
        <f t="shared" si="39"/>
        <v>27.665975080374633</v>
      </c>
      <c r="CB32" s="20">
        <f t="shared" si="10"/>
        <v>227.50690659831903</v>
      </c>
      <c r="CC32" s="59">
        <f t="shared" si="11"/>
        <v>519.61801770943021</v>
      </c>
      <c r="CD32" s="59">
        <f ca="1">AVERAGE(OFFSET($CC$3,0,0,'Données projet'!$E$12+1,1))-AVERAGE(OFFSET($H$3,0,0,'Données projet'!$E$12+1,1))</f>
        <v>288.82868507674738</v>
      </c>
      <c r="CE32" s="59">
        <f t="shared" si="40"/>
        <v>283.48738729114024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188.60000000000005</v>
      </c>
      <c r="CU32" s="17">
        <f>CT32*VLOOKUP('Données projet'!$B$13,Paramètres!$A$1:$I$89,3,0)*VLOOKUP('Données projet'!$B$13,Paramètres!$A$1:$I$89,5,0)</f>
        <v>123.57072000000004</v>
      </c>
      <c r="CV32" s="13">
        <f t="shared" si="41"/>
        <v>32.506384557027701</v>
      </c>
      <c r="CW32" s="20">
        <f t="shared" si="13"/>
        <v>271.83429043682327</v>
      </c>
      <c r="CX32" s="59">
        <f t="shared" si="14"/>
        <v>563.94540154793435</v>
      </c>
      <c r="CY32" s="59">
        <f ca="1">AVERAGE(OFFSET($CX$3,0,0,'Données projet'!$E$13+1,1))-AVERAGE(OFFSET($H$3,0,0,'Données projet'!$E$13+1,1))</f>
        <v>340.49092994349405</v>
      </c>
      <c r="CZ32" s="59">
        <f t="shared" si="42"/>
        <v>331.54434271908832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</v>
      </c>
      <c r="DO32" s="12">
        <f>IF('Données projet'!$A$166&gt;35,DO31+DN32-DW31,IF(A32&lt;'Données projet'!$A$166,$DL$205^A32,IF(A32='Données projet'!$A$166,'Données projet'!$B$166,DO31+DN32-DW31)))</f>
        <v>116</v>
      </c>
      <c r="DP32" s="17">
        <f>DO32*VLOOKUP('Données projet'!$B$14,Paramètres!$A$1:$I$89,3,0)*VLOOKUP('Données projet'!$B$14,Paramètres!$A$1:$I$89,5,0)</f>
        <v>117.62400000000001</v>
      </c>
      <c r="DQ32" s="13">
        <f t="shared" si="43"/>
        <v>31.120192961985413</v>
      </c>
      <c r="DR32" s="20">
        <f t="shared" si="16"/>
        <v>259.06280274212457</v>
      </c>
      <c r="DS32" s="59">
        <f t="shared" si="17"/>
        <v>551.17391385323572</v>
      </c>
      <c r="DT32" s="59">
        <f ca="1">AVERAGE(OFFSET($DS$3,0,0,'Données projet'!$E$14+1,1))-AVERAGE(OFFSET($H$3,0,0,'Données projet'!$E$14+1,1))</f>
        <v>586.50020405958992</v>
      </c>
      <c r="DU32" s="59">
        <f t="shared" si="44"/>
        <v>304.44184537595294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146</v>
      </c>
      <c r="L33" s="12">
        <f>VLOOKUP(A33,'Données projet'!$A$35:$I$55,9,0)</f>
        <v>12.2</v>
      </c>
      <c r="M33" s="12">
        <f t="array" ref="M33">INDEX(L:L,MIN(IF(ISNUMBER(L33:L229),ROW(L33:L229),"")))</f>
        <v>12.2</v>
      </c>
      <c r="N33" s="13">
        <f>IF('Données projet'!$A$36&gt;35,N32+M33-V32,IF(A33&lt;'Données projet'!$A$36,$K$205^A33,IF(A33='Données projet'!$A$36,'Données projet'!$B$36,N32+M33-V32)))</f>
        <v>146</v>
      </c>
      <c r="O33" s="13">
        <f>N33*VLOOKUP('Données projet'!$B$9,Paramètres!$A$1:$I$89,3,0)*VLOOKUP('Données projet'!$B$9,Paramètres!$A$1:$I$89,5,0)</f>
        <v>125.26800000000003</v>
      </c>
      <c r="P33" s="13">
        <f t="shared" si="33"/>
        <v>32.9005846700787</v>
      </c>
      <c r="Q33" s="20">
        <f t="shared" si="2"/>
        <v>275.47695163372049</v>
      </c>
      <c r="R33" s="59">
        <f t="shared" si="0"/>
        <v>568.8102849670538</v>
      </c>
      <c r="S33" s="59">
        <f ca="1">AVERAGE(OFFSET($R$3,0,0,'Données projet'!$E$9+1,1))-AVERAGE(OFFSET($H$3,0,0,'Données projet'!$E$9+1,1))</f>
        <v>536.21423347711345</v>
      </c>
      <c r="T33" s="59">
        <f t="shared" si="34"/>
        <v>312.14361830038712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35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</v>
      </c>
      <c r="AI33" s="13">
        <f>IF('Données projet'!$A$62&gt;35,AI32+AH33-AQ32,IF(A33&lt;'Données projet'!$A$62,$AF$205^A33,IF(A33='Données projet'!$A$62,'Données projet'!$B$62,AI32+AH33-AQ32)))</f>
        <v>120</v>
      </c>
      <c r="AJ33" s="13">
        <f>AI33*VLOOKUP('Données projet'!$B$10,Paramètres!$A$1:$I$89,3,0)*VLOOKUP('Données projet'!$B$10,Paramètres!$A$1:$I$89,5,0)</f>
        <v>108.57599999999999</v>
      </c>
      <c r="AK33" s="13">
        <f t="shared" si="35"/>
        <v>28.995225061228002</v>
      </c>
      <c r="AL33" s="20">
        <f t="shared" si="4"/>
        <v>239.60321698163875</v>
      </c>
      <c r="AM33" s="59">
        <f t="shared" si="5"/>
        <v>532.93655031497201</v>
      </c>
      <c r="AN33" s="59">
        <f ca="1">AVERAGE(OFFSET($AM$3,0,0,'Données projet'!$E$10+1,1))-AVERAGE(OFFSET($H$3,0,0,'Données projet'!$E$10+1,1))</f>
        <v>528.15559695545812</v>
      </c>
      <c r="AO33" s="59">
        <f t="shared" si="36"/>
        <v>276.26988364830532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12.2</v>
      </c>
      <c r="BC33" s="12">
        <f t="array" ref="BC33">INDEX(BB:BB,MIN(IF(ISNUMBER(BB33:BB229),ROW(BB33:BB229),"")))</f>
        <v>12.2</v>
      </c>
      <c r="BD33" s="12">
        <f>IF('Données projet'!$A$88&gt;35,BD32+BC33-BL32,IF(A33&lt;'Données projet'!$A$88,$BA$205^A33,IF(A33='Données projet'!$A$88,'Données projet'!$B$88,BD32+BC33-BL32)))</f>
        <v>146</v>
      </c>
      <c r="BE33" s="13">
        <f>BD33*VLOOKUP('Données projet'!$B$11,Paramètres!$A$1:$I$89,3,0)*VLOOKUP('Données projet'!$B$11,Paramètres!$A$1:$I$89,5,0)</f>
        <v>107.04719999999999</v>
      </c>
      <c r="BF33" s="13">
        <f t="shared" si="37"/>
        <v>28.634183951187907</v>
      </c>
      <c r="BG33" s="20">
        <f t="shared" si="7"/>
        <v>236.3117437149856</v>
      </c>
      <c r="BH33" s="59">
        <f t="shared" si="8"/>
        <v>529.64507704831885</v>
      </c>
      <c r="BI33" s="59">
        <f ca="1">AVERAGE(OFFSET($BH$3,0,0,'Données projet'!$E$11+1,1))-AVERAGE(OFFSET($H$3,0,0,'Données projet'!$E$11+1,1))</f>
        <v>464.3681853739115</v>
      </c>
      <c r="BJ33" s="59">
        <f t="shared" si="38"/>
        <v>272.97841038165217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11.5</v>
      </c>
      <c r="BY33" s="12">
        <f>IF('Données projet'!$A$114&gt;35,BY32+BX33-CG32,IF(A33&lt;'Données projet'!$A$114,$BV$205^A33,IF(A33='Données projet'!$A$114,'Données projet'!$B$114,BY32+BX33-CG32)))</f>
        <v>143.49999999999994</v>
      </c>
      <c r="BZ33" s="13">
        <f>BY33*VLOOKUP('Données projet'!$B$12,Paramètres!$A$1:$I$89,3,0)*VLOOKUP('Données projet'!$B$12,Paramètres!$A$1:$I$89,5,0)</f>
        <v>111.92999999999996</v>
      </c>
      <c r="CA33" s="13">
        <f t="shared" si="39"/>
        <v>29.785246291563833</v>
      </c>
      <c r="CB33" s="20">
        <f t="shared" si="10"/>
        <v>246.82072062447358</v>
      </c>
      <c r="CC33" s="59">
        <f t="shared" si="11"/>
        <v>540.15405395780692</v>
      </c>
      <c r="CD33" s="59">
        <f ca="1">AVERAGE(OFFSET($CC$3,0,0,'Données projet'!$E$12+1,1))-AVERAGE(OFFSET($H$3,0,0,'Données projet'!$E$12+1,1))</f>
        <v>288.82868507674738</v>
      </c>
      <c r="CE33" s="59">
        <f t="shared" si="40"/>
        <v>283.48738729114024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205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205.00000000000006</v>
      </c>
      <c r="CU33" s="17">
        <f>CT33*VLOOKUP('Données projet'!$B$13,Paramètres!$A$1:$I$89,3,0)*VLOOKUP('Données projet'!$B$13,Paramètres!$A$1:$I$89,5,0)</f>
        <v>134.31600000000003</v>
      </c>
      <c r="CV33" s="13">
        <f t="shared" si="41"/>
        <v>34.991756585122445</v>
      </c>
      <c r="CW33" s="20">
        <f t="shared" si="13"/>
        <v>294.87767605242163</v>
      </c>
      <c r="CX33" s="59">
        <f t="shared" si="14"/>
        <v>588.21100938575501</v>
      </c>
      <c r="CY33" s="59">
        <f ca="1">AVERAGE(OFFSET($CX$3,0,0,'Données projet'!$E$13+1,1))-AVERAGE(OFFSET($H$3,0,0,'Données projet'!$E$13+1,1))</f>
        <v>340.49092994349405</v>
      </c>
      <c r="CZ33" s="59">
        <f t="shared" si="42"/>
        <v>331.54434271908832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4</v>
      </c>
      <c r="DO33" s="12">
        <f>IF('Données projet'!$A$166&gt;35,DO32+DN33-DW32,IF(A33&lt;'Données projet'!$A$166,$DL$205^A33,IF(A33='Données projet'!$A$166,'Données projet'!$B$166,DO32+DN33-DW32)))</f>
        <v>120</v>
      </c>
      <c r="DP33" s="17">
        <f>DO33*VLOOKUP('Données projet'!$B$14,Paramètres!$A$1:$I$89,3,0)*VLOOKUP('Données projet'!$B$14,Paramètres!$A$1:$I$89,5,0)</f>
        <v>121.68</v>
      </c>
      <c r="DQ33" s="13">
        <f t="shared" si="43"/>
        <v>32.066514091456284</v>
      </c>
      <c r="DR33" s="20">
        <f t="shared" si="16"/>
        <v>267.77517870928631</v>
      </c>
      <c r="DS33" s="59">
        <f t="shared" si="17"/>
        <v>561.10851204261962</v>
      </c>
      <c r="DT33" s="59">
        <f ca="1">AVERAGE(OFFSET($DS$3,0,0,'Données projet'!$E$14+1,1))-AVERAGE(OFFSET($H$3,0,0,'Données projet'!$E$14+1,1))</f>
        <v>586.50020405958992</v>
      </c>
      <c r="DU33" s="59">
        <f t="shared" si="44"/>
        <v>304.44184537595294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</v>
      </c>
      <c r="N34" s="13">
        <f>IF('Données projet'!$A$36&gt;35,N33+M34-V33,IF(A34&lt;'Données projet'!$A$36,$K$205^A34,IF(A34='Données projet'!$A$36,'Données projet'!$B$36,N33+M34-V33)))</f>
        <v>123.80000000000001</v>
      </c>
      <c r="O34" s="13">
        <f>N34*VLOOKUP('Données projet'!$B$9,Paramètres!$A$1:$I$89,3,0)*VLOOKUP('Données projet'!$B$9,Paramètres!$A$1:$I$89,5,0)</f>
        <v>106.22040000000003</v>
      </c>
      <c r="P34" s="13">
        <f t="shared" si="33"/>
        <v>28.438677354079406</v>
      </c>
      <c r="Q34" s="20">
        <f t="shared" si="2"/>
        <v>234.53122639168836</v>
      </c>
      <c r="R34" s="59">
        <f t="shared" si="0"/>
        <v>527.86455972502165</v>
      </c>
      <c r="S34" s="59">
        <f ca="1">AVERAGE(OFFSET($R$3,0,0,'Données projet'!$E$9+1,1))-AVERAGE(OFFSET($H$3,0,0,'Données projet'!$E$9+1,1))</f>
        <v>536.21423347711345</v>
      </c>
      <c r="T34" s="59">
        <f t="shared" si="34"/>
        <v>312.14361830038712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</v>
      </c>
      <c r="AI34" s="13">
        <f>IF('Données projet'!$A$62&gt;35,AI33+AH34-AQ33,IF(A34&lt;'Données projet'!$A$62,$AF$205^A34,IF(A34='Données projet'!$A$62,'Données projet'!$B$62,AI33+AH34-AQ33)))</f>
        <v>124</v>
      </c>
      <c r="AJ34" s="13">
        <f>AI34*VLOOKUP('Données projet'!$B$10,Paramètres!$A$1:$I$89,3,0)*VLOOKUP('Données projet'!$B$10,Paramètres!$A$1:$I$89,5,0)</f>
        <v>112.1952</v>
      </c>
      <c r="AK34" s="13">
        <f t="shared" si="35"/>
        <v>29.847594514573263</v>
      </c>
      <c r="AL34" s="20">
        <f t="shared" si="4"/>
        <v>247.39120044621509</v>
      </c>
      <c r="AM34" s="59">
        <f t="shared" si="5"/>
        <v>540.72453377954844</v>
      </c>
      <c r="AN34" s="59">
        <f ca="1">AVERAGE(OFFSET($AM$3,0,0,'Données projet'!$E$10+1,1))-AVERAGE(OFFSET($H$3,0,0,'Données projet'!$E$10+1,1))</f>
        <v>528.15559695545812</v>
      </c>
      <c r="AO34" s="59">
        <f t="shared" si="36"/>
        <v>276.26988364830532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123.80000000000001</v>
      </c>
      <c r="BE34" s="13">
        <f>BD34*VLOOKUP('Données projet'!$B$11,Paramètres!$A$1:$I$89,3,0)*VLOOKUP('Données projet'!$B$11,Paramètres!$A$1:$I$89,5,0)</f>
        <v>90.770160000000004</v>
      </c>
      <c r="BF34" s="13">
        <f t="shared" si="37"/>
        <v>24.75087682638571</v>
      </c>
      <c r="BG34" s="20">
        <f t="shared" si="7"/>
        <v>201.19913913928846</v>
      </c>
      <c r="BH34" s="59">
        <f t="shared" si="8"/>
        <v>494.53247247262175</v>
      </c>
      <c r="BI34" s="59">
        <f ca="1">AVERAGE(OFFSET($BH$3,0,0,'Données projet'!$E$11+1,1))-AVERAGE(OFFSET($H$3,0,0,'Données projet'!$E$11+1,1))</f>
        <v>464.3681853739115</v>
      </c>
      <c r="BJ34" s="59">
        <f t="shared" si="38"/>
        <v>272.97841038165217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155</v>
      </c>
      <c r="BW34" s="12">
        <f>VLOOKUP(A34,'Données projet'!$A$113:$I$133,9,0)</f>
        <v>11.5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154.99999999999994</v>
      </c>
      <c r="BZ34" s="13">
        <f>BY34*VLOOKUP('Données projet'!$B$12,Paramètres!$A$1:$I$89,3,0)*VLOOKUP('Données projet'!$B$12,Paramètres!$A$1:$I$89,5,0)</f>
        <v>120.89999999999996</v>
      </c>
      <c r="CA34" s="13">
        <f t="shared" si="39"/>
        <v>31.884818143351602</v>
      </c>
      <c r="CB34" s="20">
        <f t="shared" si="10"/>
        <v>266.10022493300397</v>
      </c>
      <c r="CC34" s="59">
        <f t="shared" si="11"/>
        <v>559.43355826633729</v>
      </c>
      <c r="CD34" s="59">
        <f ca="1">AVERAGE(OFFSET($CC$3,0,0,'Données projet'!$E$12+1,1))-AVERAGE(OFFSET($H$3,0,0,'Données projet'!$E$12+1,1))</f>
        <v>288.82868507674738</v>
      </c>
      <c r="CE34" s="59">
        <f t="shared" si="40"/>
        <v>283.48738729114024</v>
      </c>
      <c r="CF34" s="15">
        <f>IF(ISNA(VLOOKUP(A34,'Données projet'!$A$113:$I$133,3,0)),0,VLOOKUP(A34,'Données projet'!$A$113:$I$133,3,0))</f>
        <v>4</v>
      </c>
      <c r="CG34" s="15">
        <f>IF(ISNA(VLOOKUP(A34,'Données projet'!$A$113:$I$133,4,0)),0,VLOOKUP(A34,'Données projet'!$A$113:$I$133,4,0))</f>
        <v>36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15.2</v>
      </c>
      <c r="CT34" s="12">
        <f>IF('Données projet'!$A$140&gt;35,CT33+CS34-DB33,IF(A34&lt;'Données projet'!$A$140,$CQ$205^A34,IF(A34='Données projet'!$A$140,'Données projet'!$B$140,CT33+CS34-DB33)))</f>
        <v>178.20000000000005</v>
      </c>
      <c r="CU34" s="17">
        <f>CT34*VLOOKUP('Données projet'!$B$13,Paramètres!$A$1:$I$89,3,0)*VLOOKUP('Données projet'!$B$13,Paramètres!$A$1:$I$89,5,0)</f>
        <v>116.75664000000003</v>
      </c>
      <c r="CV34" s="13">
        <f t="shared" si="41"/>
        <v>30.91733675897062</v>
      </c>
      <c r="CW34" s="20">
        <f t="shared" si="13"/>
        <v>257.19884285520715</v>
      </c>
      <c r="CX34" s="59">
        <f t="shared" si="14"/>
        <v>550.53217618854046</v>
      </c>
      <c r="CY34" s="59">
        <f ca="1">AVERAGE(OFFSET($CX$3,0,0,'Données projet'!$E$13+1,1))-AVERAGE(OFFSET($H$3,0,0,'Données projet'!$E$13+1,1))</f>
        <v>340.49092994349405</v>
      </c>
      <c r="CZ34" s="59">
        <f t="shared" si="42"/>
        <v>331.54434271908832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</v>
      </c>
      <c r="DO34" s="12">
        <f>IF('Données projet'!$A$166&gt;35,DO33+DN34-DW33,IF(A34&lt;'Données projet'!$A$166,$DL$205^A34,IF(A34='Données projet'!$A$166,'Données projet'!$B$166,DO33+DN34-DW33)))</f>
        <v>124</v>
      </c>
      <c r="DP34" s="17">
        <f>DO34*VLOOKUP('Données projet'!$B$14,Paramètres!$A$1:$I$89,3,0)*VLOOKUP('Données projet'!$B$14,Paramètres!$A$1:$I$89,5,0)</f>
        <v>125.73600000000002</v>
      </c>
      <c r="DQ34" s="13">
        <f t="shared" si="43"/>
        <v>33.0091698918201</v>
      </c>
      <c r="DR34" s="20">
        <f t="shared" si="16"/>
        <v>276.48117089492001</v>
      </c>
      <c r="DS34" s="59">
        <f t="shared" si="17"/>
        <v>569.81450422825333</v>
      </c>
      <c r="DT34" s="59">
        <f ca="1">AVERAGE(OFFSET($DS$3,0,0,'Données projet'!$E$14+1,1))-AVERAGE(OFFSET($H$3,0,0,'Données projet'!$E$14+1,1))</f>
        <v>586.50020405958992</v>
      </c>
      <c r="DU34" s="59">
        <f t="shared" si="44"/>
        <v>304.44184537595294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</v>
      </c>
      <c r="N35" s="13">
        <f>IF('Données projet'!$A$36&gt;35,N34+M35-V34,IF(A35&lt;'Données projet'!$A$36,$K$205^A35,IF(A35='Données projet'!$A$36,'Données projet'!$B$36,N34+M35-V34)))</f>
        <v>136.60000000000002</v>
      </c>
      <c r="O35" s="13">
        <f>N35*VLOOKUP('Données projet'!$B$9,Paramètres!$A$1:$I$89,3,0)*VLOOKUP('Données projet'!$B$9,Paramètres!$A$1:$I$89,5,0)</f>
        <v>117.20280000000004</v>
      </c>
      <c r="P35" s="13">
        <f t="shared" si="33"/>
        <v>31.021705481209352</v>
      </c>
      <c r="Q35" s="20">
        <f t="shared" ref="Q35:Q66" si="53">(O35+P35)*0.475*44/12</f>
        <v>258.15768037977301</v>
      </c>
      <c r="R35" s="59">
        <f t="shared" si="0"/>
        <v>551.49101371310633</v>
      </c>
      <c r="S35" s="59">
        <f ca="1">AVERAGE(OFFSET($R$3,0,0,'Données projet'!$E$9+1,1))-AVERAGE(OFFSET($H$3,0,0,'Données projet'!$E$9+1,1))</f>
        <v>536.21423347711345</v>
      </c>
      <c r="T35" s="59">
        <f t="shared" si="34"/>
        <v>312.14361830038712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</v>
      </c>
      <c r="AI35" s="13">
        <f>IF('Données projet'!$A$62&gt;35,AI34+AH35-AQ34,IF(A35&lt;'Données projet'!$A$62,$AF$205^A35,IF(A35='Données projet'!$A$62,'Données projet'!$B$62,AI34+AH35-AQ34)))</f>
        <v>128</v>
      </c>
      <c r="AJ35" s="13">
        <f>AI35*VLOOKUP('Données projet'!$B$10,Paramètres!$A$1:$I$89,3,0)*VLOOKUP('Données projet'!$B$10,Paramètres!$A$1:$I$89,5,0)</f>
        <v>115.81439999999999</v>
      </c>
      <c r="AK35" s="13">
        <f t="shared" si="35"/>
        <v>30.696768873861398</v>
      </c>
      <c r="AL35" s="20">
        <f t="shared" si="4"/>
        <v>255.17361912197524</v>
      </c>
      <c r="AM35" s="59">
        <f t="shared" si="5"/>
        <v>548.50695245530858</v>
      </c>
      <c r="AN35" s="59">
        <f ca="1">AVERAGE(OFFSET($AM$3,0,0,'Données projet'!$E$10+1,1))-AVERAGE(OFFSET($H$3,0,0,'Données projet'!$E$10+1,1))</f>
        <v>528.15559695545812</v>
      </c>
      <c r="AO35" s="59">
        <f t="shared" si="36"/>
        <v>276.26988364830532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136.60000000000002</v>
      </c>
      <c r="BE35" s="13">
        <f>BD35*VLOOKUP('Données projet'!$B$11,Paramètres!$A$1:$I$89,3,0)*VLOOKUP('Données projet'!$B$11,Paramètres!$A$1:$I$89,5,0)</f>
        <v>100.15512000000003</v>
      </c>
      <c r="BF35" s="13">
        <f t="shared" si="37"/>
        <v>26.998949414913174</v>
      </c>
      <c r="BG35" s="20">
        <f t="shared" si="7"/>
        <v>221.46000423097382</v>
      </c>
      <c r="BH35" s="59">
        <f t="shared" si="8"/>
        <v>514.79333756430719</v>
      </c>
      <c r="BI35" s="59">
        <f ca="1">AVERAGE(OFFSET($BH$3,0,0,'Données projet'!$E$11+1,1))-AVERAGE(OFFSET($H$3,0,0,'Données projet'!$E$11+1,1))</f>
        <v>464.3681853739115</v>
      </c>
      <c r="BJ35" s="59">
        <f t="shared" si="38"/>
        <v>272.97841038165217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130.49999999999994</v>
      </c>
      <c r="BZ35" s="13">
        <f>BY35*VLOOKUP('Données projet'!$B$12,Paramètres!$A$1:$I$89,3,0)*VLOOKUP('Données projet'!$B$12,Paramètres!$A$1:$I$89,5,0)</f>
        <v>101.78999999999996</v>
      </c>
      <c r="CA35" s="13">
        <f t="shared" si="39"/>
        <v>27.38799903683508</v>
      </c>
      <c r="CB35" s="20">
        <f t="shared" si="10"/>
        <v>224.98501498915437</v>
      </c>
      <c r="CC35" s="59">
        <f t="shared" si="11"/>
        <v>518.31834832248774</v>
      </c>
      <c r="CD35" s="59">
        <f ca="1">AVERAGE(OFFSET($CC$3,0,0,'Données projet'!$E$12+1,1))-AVERAGE(OFFSET($H$3,0,0,'Données projet'!$E$12+1,1))</f>
        <v>288.82868507674738</v>
      </c>
      <c r="CE35" s="59">
        <f t="shared" si="40"/>
        <v>283.48738729114024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15.2</v>
      </c>
      <c r="CT35" s="12">
        <f>IF('Données projet'!$A$140&gt;35,CT34+CS35-DB34,IF(A35&lt;'Données projet'!$A$140,$CQ$205^A35,IF(A35='Données projet'!$A$140,'Données projet'!$B$140,CT34+CS35-DB34)))</f>
        <v>193.40000000000003</v>
      </c>
      <c r="CU35" s="17">
        <f>CT35*VLOOKUP('Données projet'!$B$13,Paramètres!$A$1:$I$89,3,0)*VLOOKUP('Données projet'!$B$13,Paramètres!$A$1:$I$89,5,0)</f>
        <v>126.71568000000002</v>
      </c>
      <c r="CV35" s="13">
        <f t="shared" si="41"/>
        <v>33.236322902461559</v>
      </c>
      <c r="CW35" s="20">
        <f t="shared" si="13"/>
        <v>278.58307172178723</v>
      </c>
      <c r="CX35" s="59">
        <f t="shared" si="14"/>
        <v>571.91640505512055</v>
      </c>
      <c r="CY35" s="59">
        <f ca="1">AVERAGE(OFFSET($CX$3,0,0,'Données projet'!$E$13+1,1))-AVERAGE(OFFSET($H$3,0,0,'Données projet'!$E$13+1,1))</f>
        <v>340.49092994349405</v>
      </c>
      <c r="CZ35" s="59">
        <f t="shared" si="42"/>
        <v>331.54434271908832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</v>
      </c>
      <c r="DO35" s="12">
        <f>IF('Données projet'!$A$166&gt;35,DO34+DN35-DW34,IF(A35&lt;'Données projet'!$A$166,$DL$205^A35,IF(A35='Données projet'!$A$166,'Données projet'!$B$166,DO34+DN35-DW34)))</f>
        <v>128</v>
      </c>
      <c r="DP35" s="17">
        <f>DO35*VLOOKUP('Données projet'!$B$14,Paramètres!$A$1:$I$89,3,0)*VLOOKUP('Données projet'!$B$14,Paramètres!$A$1:$I$89,5,0)</f>
        <v>129.792</v>
      </c>
      <c r="DQ35" s="13">
        <f t="shared" si="43"/>
        <v>33.94829216111502</v>
      </c>
      <c r="DR35" s="20">
        <f t="shared" si="16"/>
        <v>285.18100884727528</v>
      </c>
      <c r="DS35" s="59">
        <f t="shared" si="17"/>
        <v>578.51434218060854</v>
      </c>
      <c r="DT35" s="59">
        <f ca="1">AVERAGE(OFFSET($DS$3,0,0,'Données projet'!$E$14+1,1))-AVERAGE(OFFSET($H$3,0,0,'Données projet'!$E$14+1,1))</f>
        <v>586.50020405958992</v>
      </c>
      <c r="DU35" s="59">
        <f t="shared" si="44"/>
        <v>304.44184537595294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</v>
      </c>
      <c r="N36" s="13">
        <f>IF('Données projet'!$A$36&gt;35,N35+M36-V35,IF(A36&lt;'Données projet'!$A$36,$K$205^A36,IF(A36='Données projet'!$A$36,'Données projet'!$B$36,N35+M36-V35)))</f>
        <v>149.40000000000003</v>
      </c>
      <c r="O36" s="13">
        <f>N36*VLOOKUP('Données projet'!$B$9,Paramètres!$A$1:$I$89,3,0)*VLOOKUP('Données projet'!$B$9,Paramètres!$A$1:$I$89,5,0)</f>
        <v>128.18520000000004</v>
      </c>
      <c r="P36" s="13">
        <f t="shared" si="33"/>
        <v>33.57666984533806</v>
      </c>
      <c r="Q36" s="20">
        <f t="shared" si="53"/>
        <v>281.73525664729715</v>
      </c>
      <c r="R36" s="59">
        <f t="shared" si="0"/>
        <v>575.06858998063046</v>
      </c>
      <c r="S36" s="59">
        <f ca="1">AVERAGE(OFFSET($R$3,0,0,'Données projet'!$E$9+1,1))-AVERAGE(OFFSET($H$3,0,0,'Données projet'!$E$9+1,1))</f>
        <v>536.21423347711345</v>
      </c>
      <c r="T36" s="59">
        <f t="shared" si="34"/>
        <v>312.14361830038712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</v>
      </c>
      <c r="AI36" s="13">
        <f>IF('Données projet'!$A$62&gt;35,AI35+AH36-AQ35,IF(A36&lt;'Données projet'!$A$62,$AF$205^A36,IF(A36='Données projet'!$A$62,'Données projet'!$B$62,AI35+AH36-AQ35)))</f>
        <v>132</v>
      </c>
      <c r="AJ36" s="13">
        <f>AI36*VLOOKUP('Données projet'!$B$10,Paramètres!$A$1:$I$89,3,0)*VLOOKUP('Données projet'!$B$10,Paramètres!$A$1:$I$89,5,0)</f>
        <v>119.43359999999998</v>
      </c>
      <c r="AK36" s="13">
        <f t="shared" si="35"/>
        <v>31.54285944220668</v>
      </c>
      <c r="AL36" s="20">
        <f t="shared" si="4"/>
        <v>262.95066686184327</v>
      </c>
      <c r="AM36" s="59">
        <f t="shared" si="5"/>
        <v>556.28400019517653</v>
      </c>
      <c r="AN36" s="59">
        <f ca="1">AVERAGE(OFFSET($AM$3,0,0,'Données projet'!$E$10+1,1))-AVERAGE(OFFSET($H$3,0,0,'Données projet'!$E$10+1,1))</f>
        <v>528.15559695545812</v>
      </c>
      <c r="AO36" s="59">
        <f t="shared" si="36"/>
        <v>276.26988364830532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149.40000000000003</v>
      </c>
      <c r="BE36" s="13">
        <f>BD36*VLOOKUP('Données projet'!$B$11,Paramètres!$A$1:$I$89,3,0)*VLOOKUP('Données projet'!$B$11,Paramètres!$A$1:$I$89,5,0)</f>
        <v>109.54008000000003</v>
      </c>
      <c r="BF36" s="13">
        <f t="shared" si="37"/>
        <v>29.222597423750106</v>
      </c>
      <c r="BG36" s="20">
        <f t="shared" si="7"/>
        <v>241.67832984636482</v>
      </c>
      <c r="BH36" s="59">
        <f t="shared" si="8"/>
        <v>535.01166317969819</v>
      </c>
      <c r="BI36" s="59">
        <f ca="1">AVERAGE(OFFSET($BH$3,0,0,'Données projet'!$E$11+1,1))-AVERAGE(OFFSET($H$3,0,0,'Données projet'!$E$11+1,1))</f>
        <v>464.3681853739115</v>
      </c>
      <c r="BJ36" s="59">
        <f t="shared" si="38"/>
        <v>272.97841038165217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141.99999999999994</v>
      </c>
      <c r="BZ36" s="13">
        <f>BY36*VLOOKUP('Données projet'!$B$12,Paramètres!$A$1:$I$89,3,0)*VLOOKUP('Données projet'!$B$12,Paramètres!$A$1:$I$89,5,0)</f>
        <v>110.75999999999996</v>
      </c>
      <c r="CA36" s="13">
        <f t="shared" si="39"/>
        <v>29.509974682362923</v>
      </c>
      <c r="CB36" s="20">
        <f t="shared" si="10"/>
        <v>244.30353923844871</v>
      </c>
      <c r="CC36" s="59">
        <f t="shared" si="11"/>
        <v>537.63687257178208</v>
      </c>
      <c r="CD36" s="59">
        <f ca="1">AVERAGE(OFFSET($CC$3,0,0,'Données projet'!$E$12+1,1))-AVERAGE(OFFSET($H$3,0,0,'Données projet'!$E$12+1,1))</f>
        <v>288.82868507674738</v>
      </c>
      <c r="CE36" s="59">
        <f t="shared" si="40"/>
        <v>283.48738729114024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15.2</v>
      </c>
      <c r="CT36" s="12">
        <f>IF('Données projet'!$A$140&gt;35,CT35+CS36-DB35,IF(A36&lt;'Données projet'!$A$140,$CQ$205^A36,IF(A36='Données projet'!$A$140,'Données projet'!$B$140,CT35+CS36-DB35)))</f>
        <v>208.60000000000002</v>
      </c>
      <c r="CU36" s="17">
        <f>CT36*VLOOKUP('Données projet'!$B$13,Paramètres!$A$1:$I$89,3,0)*VLOOKUP('Données projet'!$B$13,Paramètres!$A$1:$I$89,5,0)</f>
        <v>136.67472000000001</v>
      </c>
      <c r="CV36" s="13">
        <f t="shared" si="41"/>
        <v>35.534168063457791</v>
      </c>
      <c r="CW36" s="20">
        <f t="shared" si="13"/>
        <v>299.93048004385565</v>
      </c>
      <c r="CX36" s="59">
        <f t="shared" si="14"/>
        <v>593.26381337718897</v>
      </c>
      <c r="CY36" s="59">
        <f ca="1">AVERAGE(OFFSET($CX$3,0,0,'Données projet'!$E$13+1,1))-AVERAGE(OFFSET($H$3,0,0,'Données projet'!$E$13+1,1))</f>
        <v>340.49092994349405</v>
      </c>
      <c r="CZ36" s="59">
        <f t="shared" si="42"/>
        <v>331.54434271908832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</v>
      </c>
      <c r="DO36" s="12">
        <f>IF('Données projet'!$A$166&gt;35,DO35+DN36-DW35,IF(A36&lt;'Données projet'!$A$166,$DL$205^A36,IF(A36='Données projet'!$A$166,'Données projet'!$B$166,DO35+DN36-DW35)))</f>
        <v>132</v>
      </c>
      <c r="DP36" s="17">
        <f>DO36*VLOOKUP('Données projet'!$B$14,Paramètres!$A$1:$I$89,3,0)*VLOOKUP('Données projet'!$B$14,Paramètres!$A$1:$I$89,5,0)</f>
        <v>133.84800000000001</v>
      </c>
      <c r="DQ36" s="13">
        <f t="shared" si="43"/>
        <v>34.884003992121691</v>
      </c>
      <c r="DR36" s="20">
        <f t="shared" si="16"/>
        <v>293.87490695294525</v>
      </c>
      <c r="DS36" s="59">
        <f t="shared" si="17"/>
        <v>587.20824028627862</v>
      </c>
      <c r="DT36" s="59">
        <f ca="1">AVERAGE(OFFSET($DS$3,0,0,'Données projet'!$E$14+1,1))-AVERAGE(OFFSET($H$3,0,0,'Données projet'!$E$14+1,1))</f>
        <v>586.50020405958992</v>
      </c>
      <c r="DU36" s="59">
        <f t="shared" si="44"/>
        <v>304.44184537595294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</v>
      </c>
      <c r="N37" s="13">
        <f>IF('Données projet'!$A$36&gt;35,N36+M37-V36,IF(A37&lt;'Données projet'!$A$36,$K$205^A37,IF(A37='Données projet'!$A$36,'Données projet'!$B$36,N36+M37-V36)))</f>
        <v>162.20000000000005</v>
      </c>
      <c r="O37" s="13">
        <f>N37*VLOOKUP('Données projet'!$B$9,Paramètres!$A$1:$I$89,3,0)*VLOOKUP('Données projet'!$B$9,Paramètres!$A$1:$I$89,5,0)</f>
        <v>139.16760000000005</v>
      </c>
      <c r="P37" s="13">
        <f t="shared" si="33"/>
        <v>36.106248210614609</v>
      </c>
      <c r="Q37" s="20">
        <f t="shared" si="53"/>
        <v>305.2686189668205</v>
      </c>
      <c r="R37" s="59">
        <f t="shared" si="0"/>
        <v>598.60195230015381</v>
      </c>
      <c r="S37" s="59">
        <f ca="1">AVERAGE(OFFSET($R$3,0,0,'Données projet'!$E$9+1,1))-AVERAGE(OFFSET($H$3,0,0,'Données projet'!$E$9+1,1))</f>
        <v>536.21423347711345</v>
      </c>
      <c r="T37" s="59">
        <f t="shared" si="34"/>
        <v>312.14361830038712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</v>
      </c>
      <c r="AI37" s="13">
        <f>IF('Données projet'!$A$62&gt;35,AI36+AH37-AQ36,IF(A37&lt;'Données projet'!$A$62,$AF$205^A37,IF(A37='Données projet'!$A$62,'Données projet'!$B$62,AI36+AH37-AQ36)))</f>
        <v>136</v>
      </c>
      <c r="AJ37" s="13">
        <f>AI37*VLOOKUP('Données projet'!$B$10,Paramètres!$A$1:$I$89,3,0)*VLOOKUP('Données projet'!$B$10,Paramètres!$A$1:$I$89,5,0)</f>
        <v>123.05279999999999</v>
      </c>
      <c r="AK37" s="13">
        <f t="shared" si="35"/>
        <v>32.385970393750824</v>
      </c>
      <c r="AL37" s="20">
        <f t="shared" si="4"/>
        <v>270.72252510244931</v>
      </c>
      <c r="AM37" s="59">
        <f t="shared" si="5"/>
        <v>564.05585843578262</v>
      </c>
      <c r="AN37" s="59">
        <f ca="1">AVERAGE(OFFSET($AM$3,0,0,'Données projet'!$E$10+1,1))-AVERAGE(OFFSET($H$3,0,0,'Données projet'!$E$10+1,1))</f>
        <v>528.15559695545812</v>
      </c>
      <c r="AO37" s="59">
        <f t="shared" si="36"/>
        <v>276.26988364830532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162.20000000000005</v>
      </c>
      <c r="BE37" s="13">
        <f>BD37*VLOOKUP('Données projet'!$B$11,Paramètres!$A$1:$I$89,3,0)*VLOOKUP('Données projet'!$B$11,Paramètres!$A$1:$I$89,5,0)</f>
        <v>118.92504000000004</v>
      </c>
      <c r="BF37" s="13">
        <f t="shared" si="37"/>
        <v>31.424151376563206</v>
      </c>
      <c r="BG37" s="20">
        <f t="shared" si="7"/>
        <v>261.85817498084765</v>
      </c>
      <c r="BH37" s="59">
        <f t="shared" si="8"/>
        <v>555.19150831418096</v>
      </c>
      <c r="BI37" s="59">
        <f ca="1">AVERAGE(OFFSET($BH$3,0,0,'Données projet'!$E$11+1,1))-AVERAGE(OFFSET($H$3,0,0,'Données projet'!$E$11+1,1))</f>
        <v>464.3681853739115</v>
      </c>
      <c r="BJ37" s="59">
        <f t="shared" si="38"/>
        <v>272.97841038165217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153.49999999999994</v>
      </c>
      <c r="BZ37" s="13">
        <f>BY37*VLOOKUP('Données projet'!$B$12,Paramètres!$A$1:$I$89,3,0)*VLOOKUP('Données projet'!$B$12,Paramètres!$A$1:$I$89,5,0)</f>
        <v>119.72999999999996</v>
      </c>
      <c r="CA37" s="13">
        <f t="shared" si="39"/>
        <v>31.612017974790529</v>
      </c>
      <c r="CB37" s="20">
        <f t="shared" si="10"/>
        <v>263.58734797276003</v>
      </c>
      <c r="CC37" s="59">
        <f t="shared" si="11"/>
        <v>556.92068130609334</v>
      </c>
      <c r="CD37" s="59">
        <f ca="1">AVERAGE(OFFSET($CC$3,0,0,'Données projet'!$E$12+1,1))-AVERAGE(OFFSET($H$3,0,0,'Données projet'!$E$12+1,1))</f>
        <v>288.82868507674738</v>
      </c>
      <c r="CE37" s="59">
        <f t="shared" si="40"/>
        <v>283.48738729114024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15.2</v>
      </c>
      <c r="CT37" s="12">
        <f>IF('Données projet'!$A$140&gt;35,CT36+CS37-DB36,IF(A37&lt;'Données projet'!$A$140,$CQ$205^A37,IF(A37='Données projet'!$A$140,'Données projet'!$B$140,CT36+CS37-DB36)))</f>
        <v>223.8</v>
      </c>
      <c r="CU37" s="17">
        <f>CT37*VLOOKUP('Données projet'!$B$13,Paramètres!$A$1:$I$89,3,0)*VLOOKUP('Données projet'!$B$13,Paramètres!$A$1:$I$89,5,0)</f>
        <v>146.63376</v>
      </c>
      <c r="CV37" s="13">
        <f t="shared" si="41"/>
        <v>37.812587902416553</v>
      </c>
      <c r="CW37" s="20">
        <f t="shared" si="13"/>
        <v>321.24405593004218</v>
      </c>
      <c r="CX37" s="59">
        <f t="shared" si="14"/>
        <v>614.57738926337549</v>
      </c>
      <c r="CY37" s="59">
        <f ca="1">AVERAGE(OFFSET($CX$3,0,0,'Données projet'!$E$13+1,1))-AVERAGE(OFFSET($H$3,0,0,'Données projet'!$E$13+1,1))</f>
        <v>340.49092994349405</v>
      </c>
      <c r="CZ37" s="59">
        <f t="shared" si="42"/>
        <v>331.54434271908832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</v>
      </c>
      <c r="DO37" s="12">
        <f>IF('Données projet'!$A$166&gt;35,DO36+DN37-DW36,IF(A37&lt;'Données projet'!$A$166,$DL$205^A37,IF(A37='Données projet'!$A$166,'Données projet'!$B$166,DO36+DN37-DW36)))</f>
        <v>136</v>
      </c>
      <c r="DP37" s="17">
        <f>DO37*VLOOKUP('Données projet'!$B$14,Paramètres!$A$1:$I$89,3,0)*VLOOKUP('Données projet'!$B$14,Paramètres!$A$1:$I$89,5,0)</f>
        <v>137.90400000000002</v>
      </c>
      <c r="DQ37" s="13">
        <f t="shared" si="43"/>
        <v>35.816420593519346</v>
      </c>
      <c r="DR37" s="20">
        <f t="shared" si="16"/>
        <v>302.56306586704625</v>
      </c>
      <c r="DS37" s="59">
        <f t="shared" si="17"/>
        <v>595.89639920037962</v>
      </c>
      <c r="DT37" s="59">
        <f ca="1">AVERAGE(OFFSET($DS$3,0,0,'Données projet'!$E$14+1,1))-AVERAGE(OFFSET($H$3,0,0,'Données projet'!$E$14+1,1))</f>
        <v>586.50020405958992</v>
      </c>
      <c r="DU37" s="59">
        <f t="shared" si="44"/>
        <v>304.44184537595294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175</v>
      </c>
      <c r="L38" s="12">
        <f>VLOOKUP(A38,'Données projet'!$A$35:$I$55,9,0)</f>
        <v>12.8</v>
      </c>
      <c r="M38" s="12">
        <f t="array" ref="M38">INDEX(L:L,MIN(IF(ISNUMBER(L38:L234),ROW(L38:L234),"")))</f>
        <v>12.8</v>
      </c>
      <c r="N38" s="13">
        <f>IF('Données projet'!$A$36&gt;35,N37+M38-V37,IF(A38&lt;'Données projet'!$A$36,$K$205^A38,IF(A38='Données projet'!$A$36,'Données projet'!$B$36,N37+M38-V37)))</f>
        <v>175.00000000000006</v>
      </c>
      <c r="O38" s="13">
        <f>N38*VLOOKUP('Données projet'!$B$9,Paramètres!$A$1:$I$89,3,0)*VLOOKUP('Données projet'!$B$9,Paramètres!$A$1:$I$89,5,0)</f>
        <v>150.15000000000006</v>
      </c>
      <c r="P38" s="13">
        <f t="shared" si="33"/>
        <v>38.612671675922371</v>
      </c>
      <c r="Q38" s="20">
        <f t="shared" si="53"/>
        <v>328.76165316889825</v>
      </c>
      <c r="R38" s="59">
        <f t="shared" si="0"/>
        <v>622.09498650223156</v>
      </c>
      <c r="S38" s="59">
        <f ca="1">AVERAGE(OFFSET($R$3,0,0,'Données projet'!$E$9+1,1))-AVERAGE(OFFSET($H$3,0,0,'Données projet'!$E$9+1,1))</f>
        <v>536.21423347711345</v>
      </c>
      <c r="T38" s="59">
        <f t="shared" si="34"/>
        <v>312.14361830038712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35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</v>
      </c>
      <c r="AI38" s="13">
        <f>IF('Données projet'!$A$62&gt;35,AI37+AH38-AQ37,IF(A38&lt;'Données projet'!$A$62,$AF$205^A38,IF(A38='Données projet'!$A$62,'Données projet'!$B$62,AI37+AH38-AQ37)))</f>
        <v>140</v>
      </c>
      <c r="AJ38" s="13">
        <f>AI38*VLOOKUP('Données projet'!$B$10,Paramètres!$A$1:$I$89,3,0)*VLOOKUP('Données projet'!$B$10,Paramètres!$A$1:$I$89,5,0)</f>
        <v>126.67199999999998</v>
      </c>
      <c r="AK38" s="13">
        <f t="shared" si="35"/>
        <v>33.226199426361347</v>
      </c>
      <c r="AL38" s="20">
        <f t="shared" si="4"/>
        <v>278.48936400091264</v>
      </c>
      <c r="AM38" s="59">
        <f t="shared" si="5"/>
        <v>571.82269733424596</v>
      </c>
      <c r="AN38" s="59">
        <f ca="1">AVERAGE(OFFSET($AM$3,0,0,'Données projet'!$E$10+1,1))-AVERAGE(OFFSET($H$3,0,0,'Données projet'!$E$10+1,1))</f>
        <v>528.15559695545812</v>
      </c>
      <c r="AO38" s="59">
        <f t="shared" si="36"/>
        <v>276.26988364830532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175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175.00000000000006</v>
      </c>
      <c r="BE38" s="13">
        <f>BD38*VLOOKUP('Données projet'!$B$11,Paramètres!$A$1:$I$89,3,0)*VLOOKUP('Données projet'!$B$11,Paramètres!$A$1:$I$89,5,0)</f>
        <v>128.31000000000006</v>
      </c>
      <c r="BF38" s="13">
        <f t="shared" si="37"/>
        <v>33.605553053308078</v>
      </c>
      <c r="BG38" s="20">
        <f t="shared" si="7"/>
        <v>282.00292156784502</v>
      </c>
      <c r="BH38" s="59">
        <f t="shared" si="8"/>
        <v>575.33625490117834</v>
      </c>
      <c r="BI38" s="59">
        <f ca="1">AVERAGE(OFFSET($BH$3,0,0,'Données projet'!$E$11+1,1))-AVERAGE(OFFSET($H$3,0,0,'Données projet'!$E$11+1,1))</f>
        <v>464.3681853739115</v>
      </c>
      <c r="BJ38" s="59">
        <f t="shared" si="38"/>
        <v>272.97841038165217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164.99999999999994</v>
      </c>
      <c r="BZ38" s="13">
        <f>BY38*VLOOKUP('Données projet'!$B$12,Paramètres!$A$1:$I$89,3,0)*VLOOKUP('Données projet'!$B$12,Paramètres!$A$1:$I$89,5,0)</f>
        <v>128.69999999999996</v>
      </c>
      <c r="CA38" s="13">
        <f t="shared" si="39"/>
        <v>33.695792019186115</v>
      </c>
      <c r="CB38" s="20">
        <f t="shared" si="10"/>
        <v>282.83933776674911</v>
      </c>
      <c r="CC38" s="59">
        <f t="shared" si="11"/>
        <v>576.17267110008243</v>
      </c>
      <c r="CD38" s="59">
        <f ca="1">AVERAGE(OFFSET($CC$3,0,0,'Données projet'!$E$12+1,1))-AVERAGE(OFFSET($H$3,0,0,'Données projet'!$E$12+1,1))</f>
        <v>288.82868507674738</v>
      </c>
      <c r="CE38" s="59">
        <f t="shared" si="40"/>
        <v>283.48738729114024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239</v>
      </c>
      <c r="CR38" s="12">
        <f>VLOOKUP(A38,'Données projet'!$A$139:$I$159,9,0)</f>
        <v>15.2</v>
      </c>
      <c r="CS38" s="12">
        <f t="array" ref="CS38">INDEX(CR:CR,MIN(IF(ISNUMBER(CR38:CR234),ROW(CR38:CR234),"")))</f>
        <v>15.2</v>
      </c>
      <c r="CT38" s="12">
        <f>IF('Données projet'!$A$140&gt;35,CT37+CS38-DB37,IF(A38&lt;'Données projet'!$A$140,$CQ$205^A38,IF(A38='Données projet'!$A$140,'Données projet'!$B$140,CT37+CS38-DB37)))</f>
        <v>239</v>
      </c>
      <c r="CU38" s="17">
        <f>CT38*VLOOKUP('Données projet'!$B$13,Paramètres!$A$1:$I$89,3,0)*VLOOKUP('Données projet'!$B$13,Paramètres!$A$1:$I$89,5,0)</f>
        <v>156.59280000000001</v>
      </c>
      <c r="CV38" s="13">
        <f t="shared" si="41"/>
        <v>40.073051842658209</v>
      </c>
      <c r="CW38" s="20">
        <f t="shared" si="13"/>
        <v>342.52635862596304</v>
      </c>
      <c r="CX38" s="59">
        <f t="shared" si="14"/>
        <v>635.85969195929636</v>
      </c>
      <c r="CY38" s="59">
        <f ca="1">AVERAGE(OFFSET($CX$3,0,0,'Données projet'!$E$13+1,1))-AVERAGE(OFFSET($H$3,0,0,'Données projet'!$E$13+1,1))</f>
        <v>340.49092994349405</v>
      </c>
      <c r="CZ38" s="59">
        <f t="shared" si="42"/>
        <v>331.54434271908832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42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0.129</v>
      </c>
      <c r="DE38" s="16">
        <f>IF(ISNA(VLOOKUP(A38,'Données projet'!$A$139:$I$159,7,0)),0%,VLOOKUP(A38,'Données projet'!$A$139:$I$159,7,0))</f>
        <v>0.4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3.908828729801805</v>
      </c>
      <c r="DH38" s="21">
        <f>EXP(-LN(2)/2)*DH37+(1-EXP(-LN(2)/2))/(LN(2)/2)*DB38*DE38*VLOOKUP('Données projet'!$B$13,Paramètres!$A$1:$I$89,3,0)*0.475*44/12</f>
        <v>10.385740418750766</v>
      </c>
      <c r="DI38" s="22">
        <f t="shared" si="15"/>
        <v>14.29456914855257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4</v>
      </c>
      <c r="DO38" s="12">
        <f>IF('Données projet'!$A$166&gt;35,DO37+DN38-DW37,IF(A38&lt;'Données projet'!$A$166,$DL$205^A38,IF(A38='Données projet'!$A$166,'Données projet'!$B$166,DO37+DN38-DW37)))</f>
        <v>140</v>
      </c>
      <c r="DP38" s="17">
        <f>DO38*VLOOKUP('Données projet'!$B$14,Paramètres!$A$1:$I$89,3,0)*VLOOKUP('Données projet'!$B$14,Paramètres!$A$1:$I$89,5,0)</f>
        <v>141.96</v>
      </c>
      <c r="DQ38" s="13">
        <f t="shared" si="43"/>
        <v>36.745650011720485</v>
      </c>
      <c r="DR38" s="20">
        <f t="shared" si="16"/>
        <v>311.24567377041313</v>
      </c>
      <c r="DS38" s="59">
        <f t="shared" si="17"/>
        <v>604.57900710374645</v>
      </c>
      <c r="DT38" s="59">
        <f ca="1">AVERAGE(OFFSET($DS$3,0,0,'Données projet'!$E$14+1,1))-AVERAGE(OFFSET($H$3,0,0,'Données projet'!$E$14+1,1))</f>
        <v>586.50020405958992</v>
      </c>
      <c r="DU38" s="59">
        <f t="shared" si="44"/>
        <v>304.44184537595294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13.4</v>
      </c>
      <c r="N39" s="13">
        <f>IF('Données projet'!$A$36&gt;35,N38+M39-V38,IF(A39&lt;'Données projet'!$A$36,$K$205^A39,IF(A39='Données projet'!$A$36,'Données projet'!$B$36,N38+M39-V38)))</f>
        <v>153.40000000000006</v>
      </c>
      <c r="O39" s="13">
        <f>N39*VLOOKUP('Données projet'!$B$9,Paramètres!$A$1:$I$89,3,0)*VLOOKUP('Données projet'!$B$9,Paramètres!$A$1:$I$89,5,0)</f>
        <v>131.61720000000008</v>
      </c>
      <c r="P39" s="13">
        <f t="shared" si="33"/>
        <v>34.369777461794328</v>
      </c>
      <c r="Q39" s="20">
        <f t="shared" si="53"/>
        <v>289.09398574595861</v>
      </c>
      <c r="R39" s="59">
        <f t="shared" si="0"/>
        <v>582.42731907929192</v>
      </c>
      <c r="S39" s="59">
        <f ca="1">AVERAGE(OFFSET($R$3,0,0,'Données projet'!$E$9+1,1))-AVERAGE(OFFSET($H$3,0,0,'Données projet'!$E$9+1,1))</f>
        <v>536.21423347711345</v>
      </c>
      <c r="T39" s="59">
        <f t="shared" si="34"/>
        <v>312.14361830038712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144</v>
      </c>
      <c r="AG39" s="12">
        <f>VLOOKUP(A39,'Données projet'!$A$61:$I$81,9,0)</f>
        <v>4</v>
      </c>
      <c r="AH39" s="12">
        <f t="array" ref="AH39">INDEX(AG:AG,MIN(IF(ISNUMBER(AG39:AG235),ROW(AG39:AG235),"")))</f>
        <v>4</v>
      </c>
      <c r="AI39" s="13">
        <f>IF('Données projet'!$A$62&gt;35,AI38+AH39-AQ38,IF(A39&lt;'Données projet'!$A$62,$AF$205^A39,IF(A39='Données projet'!$A$62,'Données projet'!$B$62,AI38+AH39-AQ38)))</f>
        <v>144</v>
      </c>
      <c r="AJ39" s="13">
        <f>AI39*VLOOKUP('Données projet'!$B$10,Paramètres!$A$1:$I$89,3,0)*VLOOKUP('Données projet'!$B$10,Paramètres!$A$1:$I$89,5,0)</f>
        <v>130.2912</v>
      </c>
      <c r="AK39" s="13">
        <f t="shared" si="35"/>
        <v>34.063638337638949</v>
      </c>
      <c r="AL39" s="20">
        <f t="shared" si="4"/>
        <v>286.25134343805456</v>
      </c>
      <c r="AM39" s="59">
        <f t="shared" si="5"/>
        <v>579.58467677138788</v>
      </c>
      <c r="AN39" s="59">
        <f ca="1">AVERAGE(OFFSET($AM$3,0,0,'Données projet'!$E$10+1,1))-AVERAGE(OFFSET($H$3,0,0,'Données projet'!$E$10+1,1))</f>
        <v>528.15559695545812</v>
      </c>
      <c r="AO39" s="59">
        <f t="shared" si="36"/>
        <v>276.26988364830532</v>
      </c>
      <c r="AP39" s="15">
        <f>IF(ISNA(VLOOKUP(A39,'Données projet'!$A$61:$I$81,3,0)),0,VLOOKUP(A39,'Données projet'!$A$61:$I$81,3,0))</f>
        <v>1</v>
      </c>
      <c r="AQ39" s="15">
        <f>IF(ISNA(VLOOKUP(A39,'Données projet'!$A$61:$I$81,4,0)),0,VLOOKUP(A39,'Données projet'!$A$61:$I$81,4,0))</f>
        <v>35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13.4</v>
      </c>
      <c r="BD39" s="12">
        <f>IF('Données projet'!$A$88&gt;35,BD38+BC39-BL38,IF(A39&lt;'Données projet'!$A$88,$BA$205^A39,IF(A39='Données projet'!$A$88,'Données projet'!$B$88,BD38+BC39-BL38)))</f>
        <v>153.40000000000006</v>
      </c>
      <c r="BE39" s="13">
        <f>BD39*VLOOKUP('Données projet'!$B$11,Paramètres!$A$1:$I$89,3,0)*VLOOKUP('Données projet'!$B$11,Paramètres!$A$1:$I$89,5,0)</f>
        <v>112.47288000000005</v>
      </c>
      <c r="BF39" s="13">
        <f t="shared" si="37"/>
        <v>29.912858390551417</v>
      </c>
      <c r="BG39" s="20">
        <f t="shared" si="7"/>
        <v>247.98849436354377</v>
      </c>
      <c r="BH39" s="59">
        <f t="shared" si="8"/>
        <v>541.32182769687711</v>
      </c>
      <c r="BI39" s="59">
        <f ca="1">AVERAGE(OFFSET($BH$3,0,0,'Données projet'!$E$11+1,1))-AVERAGE(OFFSET($H$3,0,0,'Données projet'!$E$11+1,1))</f>
        <v>464.3681853739115</v>
      </c>
      <c r="BJ39" s="59">
        <f t="shared" si="38"/>
        <v>272.97841038165217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176.49999999999994</v>
      </c>
      <c r="BZ39" s="13">
        <f>BY39*VLOOKUP('Données projet'!$B$12,Paramètres!$A$1:$I$89,3,0)*VLOOKUP('Données projet'!$B$12,Paramètres!$A$1:$I$89,5,0)</f>
        <v>137.66999999999996</v>
      </c>
      <c r="CA39" s="13">
        <f t="shared" si="39"/>
        <v>35.762714965854656</v>
      </c>
      <c r="CB39" s="20">
        <f t="shared" si="10"/>
        <v>302.06197856553007</v>
      </c>
      <c r="CC39" s="59">
        <f t="shared" si="11"/>
        <v>595.39531189886338</v>
      </c>
      <c r="CD39" s="59">
        <f ca="1">AVERAGE(OFFSET($CC$3,0,0,'Données projet'!$E$12+1,1))-AVERAGE(OFFSET($H$3,0,0,'Données projet'!$E$12+1,1))</f>
        <v>288.82868507674738</v>
      </c>
      <c r="CE39" s="59">
        <f t="shared" si="40"/>
        <v>283.48738729114024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13.2</v>
      </c>
      <c r="CT39" s="12">
        <f>IF('Données projet'!$A$140&gt;35,CT38+CS39-DB38,IF(A39&lt;'Données projet'!$A$140,$CQ$205^A39,IF(A39='Données projet'!$A$140,'Données projet'!$B$140,CT38+CS39-DB38)))</f>
        <v>210.2</v>
      </c>
      <c r="CU39" s="17">
        <f>CT39*VLOOKUP('Données projet'!$B$13,Paramètres!$A$1:$I$89,3,0)*VLOOKUP('Données projet'!$B$13,Paramètres!$A$1:$I$89,5,0)</f>
        <v>137.72304</v>
      </c>
      <c r="CV39" s="13">
        <f t="shared" si="41"/>
        <v>35.774889172094717</v>
      </c>
      <c r="CW39" s="20">
        <f t="shared" si="13"/>
        <v>302.17555997473158</v>
      </c>
      <c r="CX39" s="59">
        <f t="shared" si="14"/>
        <v>595.5088933080649</v>
      </c>
      <c r="CY39" s="59">
        <f ca="1">AVERAGE(OFFSET($CX$3,0,0,'Données projet'!$E$13+1,1))-AVERAGE(OFFSET($H$3,0,0,'Données projet'!$E$13+1,1))</f>
        <v>340.49092994349405</v>
      </c>
      <c r="CZ39" s="59">
        <f t="shared" si="42"/>
        <v>331.54434271908832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3.8019416026290056</v>
      </c>
      <c r="DH39" s="21">
        <f>EXP(-LN(2)/2)*DH38+(1-EXP(-LN(2)/2))/(LN(2)/2)*DB39*DE39*VLOOKUP('Données projet'!$B$13,Paramètres!$A$1:$I$89,3,0)*0.475*44/12</f>
        <v>7.3438274777418808</v>
      </c>
      <c r="DI39" s="22">
        <f t="shared" si="15"/>
        <v>11.145769080370886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>
        <f>VLOOKUP(A39,'Données projet'!$A$165:$I$185,2,0)</f>
        <v>144</v>
      </c>
      <c r="DM39" s="12">
        <f>VLOOKUP(A39,'Données projet'!$A$165:$I$185,9,0)</f>
        <v>4</v>
      </c>
      <c r="DN39" s="12">
        <f t="array" ref="DN39">INDEX(DM:DM,MIN(IF(ISNUMBER(DM39:DM235),ROW(DM39:DM235),"")))</f>
        <v>4</v>
      </c>
      <c r="DO39" s="12">
        <f>IF('Données projet'!$A$166&gt;35,DO38+DN39-DW38,IF(A39&lt;'Données projet'!$A$166,$DL$205^A39,IF(A39='Données projet'!$A$166,'Données projet'!$B$166,DO38+DN39-DW38)))</f>
        <v>144</v>
      </c>
      <c r="DP39" s="17">
        <f>DO39*VLOOKUP('Données projet'!$B$14,Paramètres!$A$1:$I$89,3,0)*VLOOKUP('Données projet'!$B$14,Paramètres!$A$1:$I$89,5,0)</f>
        <v>146.01600000000002</v>
      </c>
      <c r="DQ39" s="13">
        <f t="shared" si="43"/>
        <v>37.671793767891103</v>
      </c>
      <c r="DR39" s="20">
        <f t="shared" si="16"/>
        <v>319.92290747907703</v>
      </c>
      <c r="DS39" s="59">
        <f t="shared" si="17"/>
        <v>613.2562408124104</v>
      </c>
      <c r="DT39" s="59">
        <f ca="1">AVERAGE(OFFSET($DS$3,0,0,'Données projet'!$E$14+1,1))-AVERAGE(OFFSET($H$3,0,0,'Données projet'!$E$14+1,1))</f>
        <v>586.50020405958992</v>
      </c>
      <c r="DU39" s="59">
        <f t="shared" si="44"/>
        <v>304.44184537595294</v>
      </c>
      <c r="DV39" s="15">
        <f>IF(ISNA(VLOOKUP(A39,'Données projet'!$A$165:$I$185,3,0)),0,VLOOKUP(A39,'Données projet'!$A$165:$I$185,3,0))</f>
        <v>1</v>
      </c>
      <c r="DW39" s="15">
        <f>IF(ISNA(VLOOKUP(A39,'Données projet'!$A$165:$I$185,4,0)),0,VLOOKUP(A39,'Données projet'!$A$165:$I$185,4,0))</f>
        <v>35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13.4</v>
      </c>
      <c r="N40" s="13">
        <f>IF('Données projet'!$A$36&gt;35,N39+M40-V39,IF(A40&lt;'Données projet'!$A$36,$K$205^A40,IF(A40='Données projet'!$A$36,'Données projet'!$B$36,N39+M40-V39)))</f>
        <v>166.80000000000007</v>
      </c>
      <c r="O40" s="13">
        <f>N40*VLOOKUP('Données projet'!$B$9,Paramètres!$A$1:$I$89,3,0)*VLOOKUP('Données projet'!$B$9,Paramètres!$A$1:$I$89,5,0)</f>
        <v>143.11440000000007</v>
      </c>
      <c r="P40" s="13">
        <f t="shared" si="33"/>
        <v>37.009554635379814</v>
      </c>
      <c r="Q40" s="20">
        <f t="shared" si="53"/>
        <v>313.71588765662</v>
      </c>
      <c r="R40" s="59">
        <f t="shared" si="0"/>
        <v>607.04922098995326</v>
      </c>
      <c r="S40" s="59">
        <f ca="1">AVERAGE(OFFSET($R$3,0,0,'Données projet'!$E$9+1,1))-AVERAGE(OFFSET($H$3,0,0,'Données projet'!$E$9+1,1))</f>
        <v>536.21423347711345</v>
      </c>
      <c r="T40" s="59">
        <f t="shared" si="34"/>
        <v>312.14361830038712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9.875</v>
      </c>
      <c r="AI40" s="13">
        <f>IF('Données projet'!$A$62&gt;35,AI39+AH40-AQ39,IF(A40&lt;'Données projet'!$A$62,$AF$205^A40,IF(A40='Données projet'!$A$62,'Données projet'!$B$62,AI39+AH40-AQ39)))</f>
        <v>118.875</v>
      </c>
      <c r="AJ40" s="13">
        <f>AI40*VLOOKUP('Données projet'!$B$10,Paramètres!$A$1:$I$89,3,0)*VLOOKUP('Données projet'!$B$10,Paramètres!$A$1:$I$89,5,0)</f>
        <v>107.5581</v>
      </c>
      <c r="AK40" s="13">
        <f t="shared" si="35"/>
        <v>28.754904352903992</v>
      </c>
      <c r="AL40" s="20">
        <f t="shared" si="4"/>
        <v>237.4118159146411</v>
      </c>
      <c r="AM40" s="59">
        <f t="shared" si="5"/>
        <v>530.74514924797438</v>
      </c>
      <c r="AN40" s="59">
        <f ca="1">AVERAGE(OFFSET($AM$3,0,0,'Données projet'!$E$10+1,1))-AVERAGE(OFFSET($H$3,0,0,'Données projet'!$E$10+1,1))</f>
        <v>528.15559695545812</v>
      </c>
      <c r="AO40" s="59">
        <f t="shared" si="36"/>
        <v>276.26988364830532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13.4</v>
      </c>
      <c r="BD40" s="12">
        <f>IF('Données projet'!$A$88&gt;35,BD39+BC40-BL39,IF(A40&lt;'Données projet'!$A$88,$BA$205^A40,IF(A40='Données projet'!$A$88,'Données projet'!$B$88,BD39+BC40-BL39)))</f>
        <v>166.80000000000007</v>
      </c>
      <c r="BE40" s="13">
        <f>BD40*VLOOKUP('Données projet'!$B$11,Paramètres!$A$1:$I$89,3,0)*VLOOKUP('Données projet'!$B$11,Paramètres!$A$1:$I$89,5,0)</f>
        <v>122.29776000000005</v>
      </c>
      <c r="BF40" s="13">
        <f t="shared" si="37"/>
        <v>32.210321062919569</v>
      </c>
      <c r="BG40" s="20">
        <f t="shared" si="7"/>
        <v>269.10157451791832</v>
      </c>
      <c r="BH40" s="59">
        <f t="shared" si="8"/>
        <v>562.43490785125164</v>
      </c>
      <c r="BI40" s="59">
        <f ca="1">AVERAGE(OFFSET($BH$3,0,0,'Données projet'!$E$11+1,1))-AVERAGE(OFFSET($H$3,0,0,'Données projet'!$E$11+1,1))</f>
        <v>464.3681853739115</v>
      </c>
      <c r="BJ40" s="59">
        <f t="shared" si="38"/>
        <v>272.97841038165217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188</v>
      </c>
      <c r="BW40" s="12">
        <f>VLOOKUP(A40,'Données projet'!$A$113:$I$133,9,0)</f>
        <v>11.5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187.99999999999994</v>
      </c>
      <c r="BZ40" s="13">
        <f>BY40*VLOOKUP('Données projet'!$B$12,Paramètres!$A$1:$I$89,3,0)*VLOOKUP('Données projet'!$B$12,Paramètres!$A$1:$I$89,5,0)</f>
        <v>146.63999999999996</v>
      </c>
      <c r="CA40" s="13">
        <f t="shared" si="39"/>
        <v>37.814009712703026</v>
      </c>
      <c r="CB40" s="20">
        <f t="shared" si="10"/>
        <v>321.25740024962437</v>
      </c>
      <c r="CC40" s="59">
        <f t="shared" si="11"/>
        <v>614.59073358295768</v>
      </c>
      <c r="CD40" s="59">
        <f ca="1">AVERAGE(OFFSET($CC$3,0,0,'Données projet'!$E$12+1,1))-AVERAGE(OFFSET($H$3,0,0,'Données projet'!$E$12+1,1))</f>
        <v>288.82868507674738</v>
      </c>
      <c r="CE40" s="59">
        <f t="shared" si="40"/>
        <v>283.48738729114024</v>
      </c>
      <c r="CF40" s="15">
        <f>IF(ISNA(VLOOKUP(A40,'Données projet'!$A$113:$I$133,3,0)),0,VLOOKUP(A40,'Données projet'!$A$113:$I$133,3,0))</f>
        <v>5</v>
      </c>
      <c r="CG40" s="15">
        <f>IF(ISNA(VLOOKUP(A40,'Données projet'!$A$113:$I$133,4,0)),0,VLOOKUP(A40,'Données projet'!$A$113:$I$133,4,0))</f>
        <v>36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13.2</v>
      </c>
      <c r="CT40" s="12">
        <f>IF('Données projet'!$A$140&gt;35,CT39+CS40-DB39,IF(A40&lt;'Données projet'!$A$140,$CQ$205^A40,IF(A40='Données projet'!$A$140,'Données projet'!$B$140,CT39+CS40-DB39)))</f>
        <v>223.39999999999998</v>
      </c>
      <c r="CU40" s="17">
        <f>CT40*VLOOKUP('Données projet'!$B$13,Paramètres!$A$1:$I$89,3,0)*VLOOKUP('Données projet'!$B$13,Paramètres!$A$1:$I$89,5,0)</f>
        <v>146.37168</v>
      </c>
      <c r="CV40" s="13">
        <f t="shared" si="41"/>
        <v>37.752865506588051</v>
      </c>
      <c r="CW40" s="20">
        <f t="shared" si="13"/>
        <v>320.6835834239742</v>
      </c>
      <c r="CX40" s="59">
        <f t="shared" si="14"/>
        <v>614.01691675730751</v>
      </c>
      <c r="CY40" s="59">
        <f ca="1">AVERAGE(OFFSET($CX$3,0,0,'Données projet'!$E$13+1,1))-AVERAGE(OFFSET($H$3,0,0,'Données projet'!$E$13+1,1))</f>
        <v>340.49092994349405</v>
      </c>
      <c r="CZ40" s="59">
        <f t="shared" si="42"/>
        <v>331.54434271908832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3.6979773095696959</v>
      </c>
      <c r="DH40" s="21">
        <f>EXP(-LN(2)/2)*DH39+(1-EXP(-LN(2)/2))/(LN(2)/2)*DB40*DE40*VLOOKUP('Données projet'!$B$13,Paramètres!$A$1:$I$89,3,0)*0.475*44/12</f>
        <v>5.1928702093753838</v>
      </c>
      <c r="DI40" s="22">
        <f t="shared" si="15"/>
        <v>8.8908475189450797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9.875</v>
      </c>
      <c r="DO40" s="12">
        <f>IF('Données projet'!$A$166&gt;35,DO39+DN40-DW39,IF(A40&lt;'Données projet'!$A$166,$DL$205^A40,IF(A40='Données projet'!$A$166,'Données projet'!$B$166,DO39+DN40-DW39)))</f>
        <v>118.875</v>
      </c>
      <c r="DP40" s="17">
        <f>DO40*VLOOKUP('Données projet'!$B$14,Paramètres!$A$1:$I$89,3,0)*VLOOKUP('Données projet'!$B$14,Paramètres!$A$1:$I$89,5,0)</f>
        <v>120.53925</v>
      </c>
      <c r="DQ40" s="13">
        <f t="shared" si="43"/>
        <v>31.800737662279836</v>
      </c>
      <c r="DR40" s="20">
        <f t="shared" si="16"/>
        <v>265.32547851180402</v>
      </c>
      <c r="DS40" s="59">
        <f t="shared" si="17"/>
        <v>558.65881184513728</v>
      </c>
      <c r="DT40" s="59">
        <f ca="1">AVERAGE(OFFSET($DS$3,0,0,'Données projet'!$E$14+1,1))-AVERAGE(OFFSET($H$3,0,0,'Données projet'!$E$14+1,1))</f>
        <v>586.50020405958992</v>
      </c>
      <c r="DU40" s="59">
        <f t="shared" si="44"/>
        <v>304.44184537595294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13.4</v>
      </c>
      <c r="N41" s="13">
        <f>IF('Données projet'!$A$36&gt;35,N40+M41-V40,IF(A41&lt;'Données projet'!$A$36,$K$205^A41,IF(A41='Données projet'!$A$36,'Données projet'!$B$36,N40+M41-V40)))</f>
        <v>180.20000000000007</v>
      </c>
      <c r="O41" s="13">
        <f>N41*VLOOKUP('Données projet'!$B$9,Paramètres!$A$1:$I$89,3,0)*VLOOKUP('Données projet'!$B$9,Paramètres!$A$1:$I$89,5,0)</f>
        <v>154.61160000000007</v>
      </c>
      <c r="P41" s="13">
        <f t="shared" si="33"/>
        <v>39.624734188365885</v>
      </c>
      <c r="Q41" s="20">
        <f t="shared" si="53"/>
        <v>338.294948711404</v>
      </c>
      <c r="R41" s="59">
        <f t="shared" si="0"/>
        <v>631.62828204473726</v>
      </c>
      <c r="S41" s="59">
        <f ca="1">AVERAGE(OFFSET($R$3,0,0,'Données projet'!$E$9+1,1))-AVERAGE(OFFSET($H$3,0,0,'Données projet'!$E$9+1,1))</f>
        <v>536.21423347711345</v>
      </c>
      <c r="T41" s="59">
        <f t="shared" si="34"/>
        <v>312.14361830038712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9.875</v>
      </c>
      <c r="AI41" s="13">
        <f>IF('Données projet'!$A$62&gt;35,AI40+AH41-AQ40,IF(A41&lt;'Données projet'!$A$62,$AF$205^A41,IF(A41='Données projet'!$A$62,'Données projet'!$B$62,AI40+AH41-AQ40)))</f>
        <v>128.75</v>
      </c>
      <c r="AJ41" s="13">
        <f>AI41*VLOOKUP('Données projet'!$B$10,Paramètres!$A$1:$I$89,3,0)*VLOOKUP('Données projet'!$B$10,Paramètres!$A$1:$I$89,5,0)</f>
        <v>116.49299999999999</v>
      </c>
      <c r="AK41" s="13">
        <f t="shared" si="35"/>
        <v>30.855642519307857</v>
      </c>
      <c r="AL41" s="20">
        <f t="shared" si="4"/>
        <v>256.63221905446113</v>
      </c>
      <c r="AM41" s="59">
        <f t="shared" si="5"/>
        <v>549.96555238779445</v>
      </c>
      <c r="AN41" s="59">
        <f ca="1">AVERAGE(OFFSET($AM$3,0,0,'Données projet'!$E$10+1,1))-AVERAGE(OFFSET($H$3,0,0,'Données projet'!$E$10+1,1))</f>
        <v>528.15559695545812</v>
      </c>
      <c r="AO41" s="59">
        <f t="shared" si="36"/>
        <v>276.26988364830532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13.4</v>
      </c>
      <c r="BD41" s="12">
        <f>IF('Données projet'!$A$88&gt;35,BD40+BC41-BL40,IF(A41&lt;'Données projet'!$A$88,$BA$205^A41,IF(A41='Données projet'!$A$88,'Données projet'!$B$88,BD40+BC41-BL40)))</f>
        <v>180.20000000000007</v>
      </c>
      <c r="BE41" s="13">
        <f>BD41*VLOOKUP('Données projet'!$B$11,Paramètres!$A$1:$I$89,3,0)*VLOOKUP('Données projet'!$B$11,Paramètres!$A$1:$I$89,5,0)</f>
        <v>132.12264000000005</v>
      </c>
      <c r="BF41" s="13">
        <f t="shared" si="37"/>
        <v>34.486375824149725</v>
      </c>
      <c r="BG41" s="20">
        <f t="shared" si="7"/>
        <v>290.17736922706086</v>
      </c>
      <c r="BH41" s="59">
        <f t="shared" si="8"/>
        <v>583.51070256039418</v>
      </c>
      <c r="BI41" s="59">
        <f ca="1">AVERAGE(OFFSET($BH$3,0,0,'Données projet'!$E$11+1,1))-AVERAGE(OFFSET($H$3,0,0,'Données projet'!$E$11+1,1))</f>
        <v>464.3681853739115</v>
      </c>
      <c r="BJ41" s="59">
        <f t="shared" si="38"/>
        <v>272.97841038165217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11.142857142857142</v>
      </c>
      <c r="BY41" s="12">
        <f>IF('Données projet'!$A$114&gt;35,BY40+BX41-CG40,IF(A41&lt;'Données projet'!$A$114,$BV$205^A41,IF(A41='Données projet'!$A$114,'Données projet'!$B$114,BY40+BX41-CG40)))</f>
        <v>163.14285714285708</v>
      </c>
      <c r="BZ41" s="13">
        <f>BY41*VLOOKUP('Données projet'!$B$12,Paramètres!$A$1:$I$89,3,0)*VLOOKUP('Données projet'!$B$12,Paramètres!$A$1:$I$89,5,0)</f>
        <v>127.25142857142853</v>
      </c>
      <c r="CA41" s="13">
        <f t="shared" si="39"/>
        <v>33.360457439554281</v>
      </c>
      <c r="CB41" s="20">
        <f t="shared" si="10"/>
        <v>279.73236813579501</v>
      </c>
      <c r="CC41" s="59">
        <f t="shared" si="11"/>
        <v>573.06570146912827</v>
      </c>
      <c r="CD41" s="59">
        <f ca="1">AVERAGE(OFFSET($CC$3,0,0,'Données projet'!$E$12+1,1))-AVERAGE(OFFSET($H$3,0,0,'Données projet'!$E$12+1,1))</f>
        <v>288.82868507674738</v>
      </c>
      <c r="CE41" s="59">
        <f t="shared" si="40"/>
        <v>283.48738729114024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13.2</v>
      </c>
      <c r="CT41" s="12">
        <f>IF('Données projet'!$A$140&gt;35,CT40+CS41-DB40,IF(A41&lt;'Données projet'!$A$140,$CQ$205^A41,IF(A41='Données projet'!$A$140,'Données projet'!$B$140,CT40+CS41-DB40)))</f>
        <v>236.59999999999997</v>
      </c>
      <c r="CU41" s="17">
        <f>CT41*VLOOKUP('Données projet'!$B$13,Paramètres!$A$1:$I$89,3,0)*VLOOKUP('Données projet'!$B$13,Paramètres!$A$1:$I$89,5,0)</f>
        <v>155.02031999999997</v>
      </c>
      <c r="CV41" s="13">
        <f t="shared" si="41"/>
        <v>39.717276240782901</v>
      </c>
      <c r="CW41" s="20">
        <f t="shared" si="13"/>
        <v>339.16798011936345</v>
      </c>
      <c r="CX41" s="59">
        <f t="shared" si="14"/>
        <v>632.50131345269676</v>
      </c>
      <c r="CY41" s="59">
        <f ca="1">AVERAGE(OFFSET($CX$3,0,0,'Données projet'!$E$13+1,1))-AVERAGE(OFFSET($H$3,0,0,'Données projet'!$E$13+1,1))</f>
        <v>340.49092994349405</v>
      </c>
      <c r="CZ41" s="59">
        <f t="shared" si="42"/>
        <v>331.54434271908832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3.5968559255713379</v>
      </c>
      <c r="DH41" s="21">
        <f>EXP(-LN(2)/2)*DH40+(1-EXP(-LN(2)/2))/(LN(2)/2)*DB41*DE41*VLOOKUP('Données projet'!$B$13,Paramètres!$A$1:$I$89,3,0)*0.475*44/12</f>
        <v>3.6719137388709409</v>
      </c>
      <c r="DI41" s="22">
        <f t="shared" si="15"/>
        <v>7.2687696644422788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9.875</v>
      </c>
      <c r="DO41" s="12">
        <f>IF('Données projet'!$A$166&gt;35,DO40+DN41-DW40,IF(A41&lt;'Données projet'!$A$166,$DL$205^A41,IF(A41='Données projet'!$A$166,'Données projet'!$B$166,DO40+DN41-DW40)))</f>
        <v>128.75</v>
      </c>
      <c r="DP41" s="17">
        <f>DO41*VLOOKUP('Données projet'!$B$14,Paramètres!$A$1:$I$89,3,0)*VLOOKUP('Données projet'!$B$14,Paramètres!$A$1:$I$89,5,0)</f>
        <v>130.55250000000001</v>
      </c>
      <c r="DQ41" s="13">
        <f t="shared" si="43"/>
        <v>34.12399433206599</v>
      </c>
      <c r="DR41" s="20">
        <f t="shared" si="16"/>
        <v>286.81156096168161</v>
      </c>
      <c r="DS41" s="59">
        <f t="shared" si="17"/>
        <v>580.14489429501486</v>
      </c>
      <c r="DT41" s="59">
        <f ca="1">AVERAGE(OFFSET($DS$3,0,0,'Données projet'!$E$14+1,1))-AVERAGE(OFFSET($H$3,0,0,'Données projet'!$E$14+1,1))</f>
        <v>586.50020405958992</v>
      </c>
      <c r="DU41" s="59">
        <f t="shared" si="44"/>
        <v>304.44184537595294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13.4</v>
      </c>
      <c r="N42" s="13">
        <f>IF('Données projet'!$A$36&gt;35,N41+M42-V41,IF(A42&lt;'Données projet'!$A$36,$K$205^A42,IF(A42='Données projet'!$A$36,'Données projet'!$B$36,N41+M42-V41)))</f>
        <v>193.60000000000008</v>
      </c>
      <c r="O42" s="13">
        <f>N42*VLOOKUP('Données projet'!$B$9,Paramètres!$A$1:$I$89,3,0)*VLOOKUP('Données projet'!$B$9,Paramètres!$A$1:$I$89,5,0)</f>
        <v>166.10880000000009</v>
      </c>
      <c r="P42" s="13">
        <f t="shared" si="33"/>
        <v>42.217353238107833</v>
      </c>
      <c r="Q42" s="20">
        <f t="shared" si="53"/>
        <v>362.83471688970462</v>
      </c>
      <c r="R42" s="59">
        <f t="shared" si="0"/>
        <v>656.16805022303788</v>
      </c>
      <c r="S42" s="59">
        <f ca="1">AVERAGE(OFFSET($R$3,0,0,'Données projet'!$E$9+1,1))-AVERAGE(OFFSET($H$3,0,0,'Données projet'!$E$9+1,1))</f>
        <v>536.21423347711345</v>
      </c>
      <c r="T42" s="59">
        <f t="shared" si="34"/>
        <v>312.14361830038712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9.875</v>
      </c>
      <c r="AI42" s="13">
        <f>IF('Données projet'!$A$62&gt;35,AI41+AH42-AQ41,IF(A42&lt;'Données projet'!$A$62,$AF$205^A42,IF(A42='Données projet'!$A$62,'Données projet'!$B$62,AI41+AH42-AQ41)))</f>
        <v>138.625</v>
      </c>
      <c r="AJ42" s="13">
        <f>AI42*VLOOKUP('Données projet'!$B$10,Paramètres!$A$1:$I$89,3,0)*VLOOKUP('Données projet'!$B$10,Paramètres!$A$1:$I$89,5,0)</f>
        <v>125.42789999999999</v>
      </c>
      <c r="AK42" s="13">
        <f t="shared" si="35"/>
        <v>32.937689922759176</v>
      </c>
      <c r="AL42" s="20">
        <f t="shared" si="4"/>
        <v>275.82006911547222</v>
      </c>
      <c r="AM42" s="59">
        <f t="shared" si="5"/>
        <v>569.15340244880554</v>
      </c>
      <c r="AN42" s="59">
        <f ca="1">AVERAGE(OFFSET($AM$3,0,0,'Données projet'!$E$10+1,1))-AVERAGE(OFFSET($H$3,0,0,'Données projet'!$E$10+1,1))</f>
        <v>528.15559695545812</v>
      </c>
      <c r="AO42" s="59">
        <f t="shared" si="36"/>
        <v>276.26988364830532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13.4</v>
      </c>
      <c r="BD42" s="12">
        <f>IF('Données projet'!$A$88&gt;35,BD41+BC42-BL41,IF(A42&lt;'Données projet'!$A$88,$BA$205^A42,IF(A42='Données projet'!$A$88,'Données projet'!$B$88,BD41+BC42-BL41)))</f>
        <v>193.60000000000008</v>
      </c>
      <c r="BE42" s="13">
        <f>BD42*VLOOKUP('Données projet'!$B$11,Paramètres!$A$1:$I$89,3,0)*VLOOKUP('Données projet'!$B$11,Paramètres!$A$1:$I$89,5,0)</f>
        <v>141.94752000000005</v>
      </c>
      <c r="BF42" s="13">
        <f t="shared" si="37"/>
        <v>36.74279562732665</v>
      </c>
      <c r="BG42" s="20">
        <f t="shared" si="7"/>
        <v>311.21896638426068</v>
      </c>
      <c r="BH42" s="59">
        <f t="shared" si="8"/>
        <v>604.552299717594</v>
      </c>
      <c r="BI42" s="59">
        <f ca="1">AVERAGE(OFFSET($BH$3,0,0,'Données projet'!$E$11+1,1))-AVERAGE(OFFSET($H$3,0,0,'Données projet'!$E$11+1,1))</f>
        <v>464.3681853739115</v>
      </c>
      <c r="BJ42" s="59">
        <f t="shared" si="38"/>
        <v>272.97841038165217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11.142857142857142</v>
      </c>
      <c r="BY42" s="12">
        <f>IF('Données projet'!$A$114&gt;35,BY41+BX42-CG41,IF(A42&lt;'Données projet'!$A$114,$BV$205^A42,IF(A42='Données projet'!$A$114,'Données projet'!$B$114,BY41+BX42-CG41)))</f>
        <v>174.28571428571422</v>
      </c>
      <c r="BZ42" s="13">
        <f>BY42*VLOOKUP('Données projet'!$B$12,Paramètres!$A$1:$I$89,3,0)*VLOOKUP('Données projet'!$B$12,Paramètres!$A$1:$I$89,5,0)</f>
        <v>135.94285714285709</v>
      </c>
      <c r="CA42" s="13">
        <f t="shared" si="39"/>
        <v>35.365986273808367</v>
      </c>
      <c r="CB42" s="20">
        <f t="shared" si="10"/>
        <v>298.36290228402567</v>
      </c>
      <c r="CC42" s="59">
        <f t="shared" si="11"/>
        <v>591.69623561735898</v>
      </c>
      <c r="CD42" s="59">
        <f ca="1">AVERAGE(OFFSET($CC$3,0,0,'Données projet'!$E$12+1,1))-AVERAGE(OFFSET($H$3,0,0,'Données projet'!$E$12+1,1))</f>
        <v>288.82868507674738</v>
      </c>
      <c r="CE42" s="59">
        <f t="shared" si="40"/>
        <v>283.48738729114024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13.2</v>
      </c>
      <c r="CT42" s="12">
        <f>IF('Données projet'!$A$140&gt;35,CT41+CS42-DB41,IF(A42&lt;'Données projet'!$A$140,$CQ$205^A42,IF(A42='Données projet'!$A$140,'Données projet'!$B$140,CT41+CS42-DB41)))</f>
        <v>249.79999999999995</v>
      </c>
      <c r="CU42" s="17">
        <f>CT42*VLOOKUP('Données projet'!$B$13,Paramètres!$A$1:$I$89,3,0)*VLOOKUP('Données projet'!$B$13,Paramètres!$A$1:$I$89,5,0)</f>
        <v>163.66895999999997</v>
      </c>
      <c r="CV42" s="13">
        <f t="shared" si="41"/>
        <v>41.668964460385851</v>
      </c>
      <c r="CW42" s="20">
        <f t="shared" si="13"/>
        <v>357.63021843517191</v>
      </c>
      <c r="CX42" s="59">
        <f t="shared" si="14"/>
        <v>650.96355176850523</v>
      </c>
      <c r="CY42" s="59">
        <f ca="1">AVERAGE(OFFSET($CX$3,0,0,'Données projet'!$E$13+1,1))-AVERAGE(OFFSET($H$3,0,0,'Données projet'!$E$13+1,1))</f>
        <v>340.49092994349405</v>
      </c>
      <c r="CZ42" s="59">
        <f t="shared" si="42"/>
        <v>331.54434271908832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3.4984997111361573</v>
      </c>
      <c r="DH42" s="21">
        <f>EXP(-LN(2)/2)*DH41+(1-EXP(-LN(2)/2))/(LN(2)/2)*DB42*DE42*VLOOKUP('Données projet'!$B$13,Paramètres!$A$1:$I$89,3,0)*0.475*44/12</f>
        <v>2.5964351046876923</v>
      </c>
      <c r="DI42" s="22">
        <f t="shared" si="15"/>
        <v>6.0949348158238497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9.875</v>
      </c>
      <c r="DO42" s="12">
        <f>IF('Données projet'!$A$166&gt;35,DO41+DN42-DW41,IF(A42&lt;'Données projet'!$A$166,$DL$205^A42,IF(A42='Données projet'!$A$166,'Données projet'!$B$166,DO41+DN42-DW41)))</f>
        <v>138.625</v>
      </c>
      <c r="DP42" s="17">
        <f>DO42*VLOOKUP('Données projet'!$B$14,Paramètres!$A$1:$I$89,3,0)*VLOOKUP('Données projet'!$B$14,Paramètres!$A$1:$I$89,5,0)</f>
        <v>140.56575000000001</v>
      </c>
      <c r="DQ42" s="13">
        <f t="shared" si="43"/>
        <v>36.426580439291158</v>
      </c>
      <c r="DR42" s="20">
        <f t="shared" si="16"/>
        <v>308.26164218176535</v>
      </c>
      <c r="DS42" s="59">
        <f t="shared" si="17"/>
        <v>601.59497551509867</v>
      </c>
      <c r="DT42" s="59">
        <f ca="1">AVERAGE(OFFSET($DS$3,0,0,'Données projet'!$E$14+1,1))-AVERAGE(OFFSET($H$3,0,0,'Données projet'!$E$14+1,1))</f>
        <v>586.50020405958992</v>
      </c>
      <c r="DU42" s="59">
        <f t="shared" si="44"/>
        <v>304.44184537595294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207</v>
      </c>
      <c r="L43" s="12">
        <f>VLOOKUP(A43,'Données projet'!$A$35:$I$55,9,0)</f>
        <v>13.4</v>
      </c>
      <c r="M43" s="12">
        <f t="array" ref="M43">INDEX(L:L,MIN(IF(ISNUMBER(L43:L239),ROW(L43:L239),"")))</f>
        <v>13.4</v>
      </c>
      <c r="N43" s="13">
        <f>IF('Données projet'!$A$36&gt;35,N42+M43-V42,IF(A43&lt;'Données projet'!$A$36,$K$205^A43,IF(A43='Données projet'!$A$36,'Données projet'!$B$36,N42+M43-V42)))</f>
        <v>207.00000000000009</v>
      </c>
      <c r="O43" s="13">
        <f>N43*VLOOKUP('Données projet'!$B$9,Paramètres!$A$1:$I$89,3,0)*VLOOKUP('Données projet'!$B$9,Paramètres!$A$1:$I$89,5,0)</f>
        <v>177.60600000000008</v>
      </c>
      <c r="P43" s="13">
        <f t="shared" si="33"/>
        <v>44.789150937858665</v>
      </c>
      <c r="Q43" s="20">
        <f t="shared" si="53"/>
        <v>387.33822121677059</v>
      </c>
      <c r="R43" s="59">
        <f t="shared" si="0"/>
        <v>680.67155455010391</v>
      </c>
      <c r="S43" s="59">
        <f ca="1">AVERAGE(OFFSET($R$3,0,0,'Données projet'!$E$9+1,1))-AVERAGE(OFFSET($H$3,0,0,'Données projet'!$E$9+1,1))</f>
        <v>536.21423347711345</v>
      </c>
      <c r="T43" s="59">
        <f t="shared" si="34"/>
        <v>312.14361830038712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35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9.875</v>
      </c>
      <c r="AI43" s="13">
        <f>IF('Données projet'!$A$62&gt;35,AI42+AH43-AQ42,IF(A43&lt;'Données projet'!$A$62,$AF$205^A43,IF(A43='Données projet'!$A$62,'Données projet'!$B$62,AI42+AH43-AQ42)))</f>
        <v>148.5</v>
      </c>
      <c r="AJ43" s="13">
        <f>AI43*VLOOKUP('Données projet'!$B$10,Paramètres!$A$1:$I$89,3,0)*VLOOKUP('Données projet'!$B$10,Paramètres!$A$1:$I$89,5,0)</f>
        <v>134.36279999999999</v>
      </c>
      <c r="AK43" s="13">
        <f t="shared" si="35"/>
        <v>35.002529438504695</v>
      </c>
      <c r="AL43" s="20">
        <f t="shared" si="4"/>
        <v>294.97794877206235</v>
      </c>
      <c r="AM43" s="59">
        <f t="shared" si="5"/>
        <v>588.31128210539566</v>
      </c>
      <c r="AN43" s="59">
        <f ca="1">AVERAGE(OFFSET($AM$3,0,0,'Données projet'!$E$10+1,1))-AVERAGE(OFFSET($H$3,0,0,'Données projet'!$E$10+1,1))</f>
        <v>528.15559695545812</v>
      </c>
      <c r="AO43" s="59">
        <f t="shared" si="36"/>
        <v>276.26988364830532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207</v>
      </c>
      <c r="BB43" s="12">
        <f>VLOOKUP(A43,'Données projet'!$A$87:$I$107,9,0)</f>
        <v>13.4</v>
      </c>
      <c r="BC43" s="12">
        <f t="array" ref="BC43">INDEX(BB:BB,MIN(IF(ISNUMBER(BB43:BB239),ROW(BB43:BB239),"")))</f>
        <v>13.4</v>
      </c>
      <c r="BD43" s="12">
        <f>IF('Données projet'!$A$88&gt;35,BD42+BC43-BL42,IF(A43&lt;'Données projet'!$A$88,$BA$205^A43,IF(A43='Données projet'!$A$88,'Données projet'!$B$88,BD42+BC43-BL42)))</f>
        <v>207.00000000000009</v>
      </c>
      <c r="BE43" s="13">
        <f>BD43*VLOOKUP('Données projet'!$B$11,Paramètres!$A$1:$I$89,3,0)*VLOOKUP('Données projet'!$B$11,Paramètres!$A$1:$I$89,5,0)</f>
        <v>151.77240000000006</v>
      </c>
      <c r="BF43" s="13">
        <f t="shared" si="37"/>
        <v>38.981094100085443</v>
      </c>
      <c r="BG43" s="20">
        <f t="shared" si="7"/>
        <v>332.22900222431554</v>
      </c>
      <c r="BH43" s="59">
        <f t="shared" si="8"/>
        <v>625.56233555764879</v>
      </c>
      <c r="BI43" s="59">
        <f ca="1">AVERAGE(OFFSET($BH$3,0,0,'Données projet'!$E$11+1,1))-AVERAGE(OFFSET($H$3,0,0,'Données projet'!$E$11+1,1))</f>
        <v>464.3681853739115</v>
      </c>
      <c r="BJ43" s="59">
        <f t="shared" si="38"/>
        <v>272.97841038165217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11.142857142857142</v>
      </c>
      <c r="BY43" s="12">
        <f>IF('Données projet'!$A$114&gt;35,BY42+BX43-CG42,IF(A43&lt;'Données projet'!$A$114,$BV$205^A43,IF(A43='Données projet'!$A$114,'Données projet'!$B$114,BY42+BX43-CG42)))</f>
        <v>185.42857142857136</v>
      </c>
      <c r="BZ43" s="13">
        <f>BY43*VLOOKUP('Données projet'!$B$12,Paramètres!$A$1:$I$89,3,0)*VLOOKUP('Données projet'!$B$12,Paramètres!$A$1:$I$89,5,0)</f>
        <v>144.63428571428565</v>
      </c>
      <c r="CA43" s="13">
        <f t="shared" si="39"/>
        <v>37.356634728420524</v>
      </c>
      <c r="CB43" s="20">
        <f t="shared" si="10"/>
        <v>316.96751977104657</v>
      </c>
      <c r="CC43" s="59">
        <f t="shared" si="11"/>
        <v>610.30085310437994</v>
      </c>
      <c r="CD43" s="59">
        <f ca="1">AVERAGE(OFFSET($CC$3,0,0,'Données projet'!$E$12+1,1))-AVERAGE(OFFSET($H$3,0,0,'Données projet'!$E$12+1,1))</f>
        <v>288.82868507674738</v>
      </c>
      <c r="CE43" s="59">
        <f t="shared" si="40"/>
        <v>283.48738729114024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13.2</v>
      </c>
      <c r="CS43" s="12">
        <f t="array" ref="CS43">INDEX(CR:CR,MIN(IF(ISNUMBER(CR43:CR239),ROW(CR43:CR239),"")))</f>
        <v>13.2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172.31759999999994</v>
      </c>
      <c r="CV43" s="13">
        <f t="shared" si="41"/>
        <v>43.608679117600254</v>
      </c>
      <c r="CW43" s="20">
        <f t="shared" si="13"/>
        <v>376.07160279648701</v>
      </c>
      <c r="CX43" s="59">
        <f t="shared" si="14"/>
        <v>669.40493612982027</v>
      </c>
      <c r="CY43" s="59">
        <f ca="1">AVERAGE(OFFSET($CX$3,0,0,'Données projet'!$E$13+1,1))-AVERAGE(OFFSET($H$3,0,0,'Données projet'!$E$13+1,1))</f>
        <v>340.49092994349405</v>
      </c>
      <c r="CZ43" s="59">
        <f t="shared" si="42"/>
        <v>331.54434271908832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40</v>
      </c>
      <c r="DC43" s="16">
        <f>IF(ISNA(VLOOKUP(A43,'Données projet'!$A$139:$I$159,5,0)),0%,VLOOKUP(A43,'Données projet'!$A$139:$I$159,5,0)*VLOOKUP('Données projet'!$B$13,Paramètres!$A$1:$I$89,7,0))</f>
        <v>4.3000000000000003E-2</v>
      </c>
      <c r="DD43" s="16">
        <f>IF(ISNA(VLOOKUP(A43,'Données projet'!$A$139:$I$159,6,0)),0%,VLOOKUP(A43,'Données projet'!$A$139:$I$159,6,0)*VLOOKUP('Données projet'!$B$13,Paramètres!$A$1:$I$89,7,0))</f>
        <v>0.17200000000000001</v>
      </c>
      <c r="DE43" s="16">
        <f>IF(ISNA(VLOOKUP(A43,'Données projet'!$A$139:$I$159,7,0)),0%,VLOOKUP(A43,'Données projet'!$A$139:$I$159,7,0))</f>
        <v>0.3</v>
      </c>
      <c r="DF43" s="21">
        <f>EXP(-LN(2)/35)*DF42+(1-EXP(-LN(2)/35))/(LN(2)/35)*DB43*DC43*VLOOKUP('Données projet'!$B$13,Paramètres!$A$1:$I$89,3,0)*0.475*44/12</f>
        <v>1.2458032113923809</v>
      </c>
      <c r="DG43" s="21">
        <f>EXP(-LN(2)/25)*DG42+(1-EXP(-LN(2)/25))/(LN(2)/25)*Calculateur!DB43*Calculateur!DD43*VLOOKUP('Données projet'!$B$13,Paramètres!$A$1:$I$89,3,0)*0.475*44/12</f>
        <v>8.3664250904005986</v>
      </c>
      <c r="DH43" s="21">
        <f>EXP(-LN(2)/2)*DH42+(1-EXP(-LN(2)/2))/(LN(2)/2)*DB43*DE43*VLOOKUP('Données projet'!$B$13,Paramètres!$A$1:$I$89,3,0)*0.475*44/12</f>
        <v>9.2543428828288761</v>
      </c>
      <c r="DI43" s="22">
        <f t="shared" si="15"/>
        <v>18.866571184621854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9.875</v>
      </c>
      <c r="DO43" s="12">
        <f>IF('Données projet'!$A$166&gt;35,DO42+DN43-DW42,IF(A43&lt;'Données projet'!$A$166,$DL$205^A43,IF(A43='Données projet'!$A$166,'Données projet'!$B$166,DO42+DN43-DW42)))</f>
        <v>148.5</v>
      </c>
      <c r="DP43" s="17">
        <f>DO43*VLOOKUP('Données projet'!$B$14,Paramètres!$A$1:$I$89,3,0)*VLOOKUP('Données projet'!$B$14,Paramètres!$A$1:$I$89,5,0)</f>
        <v>150.57900000000001</v>
      </c>
      <c r="DQ43" s="13">
        <f t="shared" si="43"/>
        <v>38.71013593121895</v>
      </c>
      <c r="DR43" s="20">
        <f t="shared" si="16"/>
        <v>329.6785784135397</v>
      </c>
      <c r="DS43" s="59">
        <f t="shared" si="17"/>
        <v>623.01191174687301</v>
      </c>
      <c r="DT43" s="59">
        <f ca="1">AVERAGE(OFFSET($DS$3,0,0,'Données projet'!$E$14+1,1))-AVERAGE(OFFSET($H$3,0,0,'Données projet'!$E$14+1,1))</f>
        <v>586.50020405958992</v>
      </c>
      <c r="DU43" s="59">
        <f t="shared" si="44"/>
        <v>304.44184537595294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</v>
      </c>
      <c r="N44" s="13">
        <f>IF('Données projet'!$A$36&gt;35,N43+M44-V43,IF(A44&lt;'Données projet'!$A$36,$K$205^A44,IF(A44='Données projet'!$A$36,'Données projet'!$B$36,N43+M44-V43)))</f>
        <v>185.8000000000001</v>
      </c>
      <c r="O44" s="13">
        <f>N44*VLOOKUP('Données projet'!$B$9,Paramètres!$A$1:$I$89,3,0)*VLOOKUP('Données projet'!$B$9,Paramètres!$A$1:$I$89,5,0)</f>
        <v>159.4164000000001</v>
      </c>
      <c r="P44" s="13">
        <f t="shared" si="33"/>
        <v>40.710854816108295</v>
      </c>
      <c r="Q44" s="20">
        <f t="shared" si="53"/>
        <v>348.55496880472214</v>
      </c>
      <c r="R44" s="59">
        <f t="shared" si="0"/>
        <v>641.88830213805545</v>
      </c>
      <c r="S44" s="59">
        <f ca="1">AVERAGE(OFFSET($R$3,0,0,'Données projet'!$E$9+1,1))-AVERAGE(OFFSET($H$3,0,0,'Données projet'!$E$9+1,1))</f>
        <v>536.21423347711345</v>
      </c>
      <c r="T44" s="59">
        <f t="shared" si="34"/>
        <v>312.14361830038712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9.875</v>
      </c>
      <c r="AI44" s="13">
        <f>IF('Données projet'!$A$62&gt;35,AI43+AH44-AQ43,IF(A44&lt;'Données projet'!$A$62,$AF$205^A44,IF(A44='Données projet'!$A$62,'Données projet'!$B$62,AI43+AH44-AQ43)))</f>
        <v>158.375</v>
      </c>
      <c r="AJ44" s="13">
        <f>AI44*VLOOKUP('Données projet'!$B$10,Paramètres!$A$1:$I$89,3,0)*VLOOKUP('Données projet'!$B$10,Paramètres!$A$1:$I$89,5,0)</f>
        <v>143.29769999999999</v>
      </c>
      <c r="AK44" s="13">
        <f t="shared" si="35"/>
        <v>37.051435567396794</v>
      </c>
      <c r="AL44" s="20">
        <f t="shared" si="4"/>
        <v>314.10807777988271</v>
      </c>
      <c r="AM44" s="59">
        <f t="shared" si="5"/>
        <v>607.44141111321596</v>
      </c>
      <c r="AN44" s="59">
        <f ca="1">AVERAGE(OFFSET($AM$3,0,0,'Données projet'!$E$10+1,1))-AVERAGE(OFFSET($H$3,0,0,'Données projet'!$E$10+1,1))</f>
        <v>528.15559695545812</v>
      </c>
      <c r="AO44" s="59">
        <f t="shared" si="36"/>
        <v>276.26988364830532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13.8</v>
      </c>
      <c r="BD44" s="12">
        <f>IF('Données projet'!$A$88&gt;35,BD43+BC44-BL43,IF(A44&lt;'Données projet'!$A$88,$BA$205^A44,IF(A44='Données projet'!$A$88,'Données projet'!$B$88,BD43+BC44-BL43)))</f>
        <v>185.8000000000001</v>
      </c>
      <c r="BE44" s="13">
        <f>BD44*VLOOKUP('Données projet'!$B$11,Paramètres!$A$1:$I$89,3,0)*VLOOKUP('Données projet'!$B$11,Paramètres!$A$1:$I$89,5,0)</f>
        <v>136.22856000000007</v>
      </c>
      <c r="BF44" s="13">
        <f t="shared" si="37"/>
        <v>35.431653185018021</v>
      </c>
      <c r="BG44" s="20">
        <f t="shared" si="7"/>
        <v>298.97487129723987</v>
      </c>
      <c r="BH44" s="59">
        <f t="shared" si="8"/>
        <v>592.30820463057319</v>
      </c>
      <c r="BI44" s="59">
        <f ca="1">AVERAGE(OFFSET($BH$3,0,0,'Données projet'!$E$11+1,1))-AVERAGE(OFFSET($H$3,0,0,'Données projet'!$E$11+1,1))</f>
        <v>464.3681853739115</v>
      </c>
      <c r="BJ44" s="59">
        <f t="shared" si="38"/>
        <v>272.97841038165217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11.142857142857142</v>
      </c>
      <c r="BY44" s="12">
        <f>IF('Données projet'!$A$114&gt;35,BY43+BX44-CG43,IF(A44&lt;'Données projet'!$A$114,$BV$205^A44,IF(A44='Données projet'!$A$114,'Données projet'!$B$114,BY43+BX44-CG43)))</f>
        <v>196.5714285714285</v>
      </c>
      <c r="BZ44" s="13">
        <f>BY44*VLOOKUP('Données projet'!$B$12,Paramètres!$A$1:$I$89,3,0)*VLOOKUP('Données projet'!$B$12,Paramètres!$A$1:$I$89,5,0)</f>
        <v>153.32571428571424</v>
      </c>
      <c r="CA44" s="13">
        <f t="shared" si="39"/>
        <v>39.333398837614155</v>
      </c>
      <c r="CB44" s="20">
        <f t="shared" si="10"/>
        <v>335.5479553564636</v>
      </c>
      <c r="CC44" s="59">
        <f t="shared" si="11"/>
        <v>628.88128868979697</v>
      </c>
      <c r="CD44" s="59">
        <f ca="1">AVERAGE(OFFSET($CC$3,0,0,'Données projet'!$E$12+1,1))-AVERAGE(OFFSET($H$3,0,0,'Données projet'!$E$12+1,1))</f>
        <v>288.82868507674738</v>
      </c>
      <c r="CE44" s="59">
        <f t="shared" si="40"/>
        <v>283.48738729114024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234.39999999999992</v>
      </c>
      <c r="CU44" s="17">
        <f>CT44*VLOOKUP('Données projet'!$B$13,Paramètres!$A$1:$I$89,3,0)*VLOOKUP('Données projet'!$B$13,Paramètres!$A$1:$I$89,5,0)</f>
        <v>153.57887999999994</v>
      </c>
      <c r="CV44" s="13">
        <f t="shared" si="41"/>
        <v>39.390779474606113</v>
      </c>
      <c r="CW44" s="20">
        <f t="shared" si="13"/>
        <v>336.08882358493884</v>
      </c>
      <c r="CX44" s="59">
        <f t="shared" si="14"/>
        <v>629.42215691827209</v>
      </c>
      <c r="CY44" s="59">
        <f ca="1">AVERAGE(OFFSET($CX$3,0,0,'Données projet'!$E$13+1,1))-AVERAGE(OFFSET($H$3,0,0,'Données projet'!$E$13+1,1))</f>
        <v>340.49092994349405</v>
      </c>
      <c r="CZ44" s="59">
        <f t="shared" si="42"/>
        <v>331.54434271908832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1.2213737702819047</v>
      </c>
      <c r="DG44" s="21">
        <f>EXP(-LN(2)/25)*DG43+(1-EXP(-LN(2)/25))/(LN(2)/25)*Calculateur!DB44*Calculateur!DD44*VLOOKUP('Données projet'!$B$13,Paramètres!$A$1:$I$89,3,0)*0.475*44/12</f>
        <v>8.1376447563324206</v>
      </c>
      <c r="DH44" s="21">
        <f>EXP(-LN(2)/2)*DH43+(1-EXP(-LN(2)/2))/(LN(2)/2)*DB44*DE44*VLOOKUP('Données projet'!$B$13,Paramètres!$A$1:$I$89,3,0)*0.475*44/12</f>
        <v>6.5438086078737623</v>
      </c>
      <c r="DI44" s="22">
        <f t="shared" si="15"/>
        <v>15.902827134488087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9.875</v>
      </c>
      <c r="DO44" s="12">
        <f>IF('Données projet'!$A$166&gt;35,DO43+DN44-DW43,IF(A44&lt;'Données projet'!$A$166,$DL$205^A44,IF(A44='Données projet'!$A$166,'Données projet'!$B$166,DO43+DN44-DW43)))</f>
        <v>158.375</v>
      </c>
      <c r="DP44" s="17">
        <f>DO44*VLOOKUP('Données projet'!$B$14,Paramètres!$A$1:$I$89,3,0)*VLOOKUP('Données projet'!$B$14,Paramètres!$A$1:$I$89,5,0)</f>
        <v>160.59225000000001</v>
      </c>
      <c r="DQ44" s="13">
        <f t="shared" si="43"/>
        <v>40.976070308877716</v>
      </c>
      <c r="DR44" s="20">
        <f t="shared" si="16"/>
        <v>351.06482453796201</v>
      </c>
      <c r="DS44" s="59">
        <f t="shared" si="17"/>
        <v>644.39815787129533</v>
      </c>
      <c r="DT44" s="59">
        <f ca="1">AVERAGE(OFFSET($DS$3,0,0,'Données projet'!$E$14+1,1))-AVERAGE(OFFSET($H$3,0,0,'Données projet'!$E$14+1,1))</f>
        <v>586.50020405958992</v>
      </c>
      <c r="DU44" s="59">
        <f t="shared" si="44"/>
        <v>304.44184537595294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13.8</v>
      </c>
      <c r="N45" s="13">
        <f>IF('Données projet'!$A$36&gt;35,N44+M45-V44,IF(A45&lt;'Données projet'!$A$36,$K$205^A45,IF(A45='Données projet'!$A$36,'Données projet'!$B$36,N44+M45-V44)))</f>
        <v>199.60000000000011</v>
      </c>
      <c r="O45" s="13">
        <f>N45*VLOOKUP('Données projet'!$B$9,Paramètres!$A$1:$I$89,3,0)*VLOOKUP('Données projet'!$B$9,Paramètres!$A$1:$I$89,5,0)</f>
        <v>171.25680000000011</v>
      </c>
      <c r="P45" s="13">
        <f t="shared" si="33"/>
        <v>43.371384196183378</v>
      </c>
      <c r="Q45" s="20">
        <f t="shared" si="53"/>
        <v>373.81075414168623</v>
      </c>
      <c r="R45" s="59">
        <f t="shared" si="0"/>
        <v>667.14408747501955</v>
      </c>
      <c r="S45" s="59">
        <f ca="1">AVERAGE(OFFSET($R$3,0,0,'Données projet'!$E$9+1,1))-AVERAGE(OFFSET($H$3,0,0,'Données projet'!$E$9+1,1))</f>
        <v>536.21423347711345</v>
      </c>
      <c r="T45" s="59">
        <f t="shared" si="34"/>
        <v>312.14361830038712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9.875</v>
      </c>
      <c r="AI45" s="13">
        <f>IF('Données projet'!$A$62&gt;35,AI44+AH45-AQ44,IF(A45&lt;'Données projet'!$A$62,$AF$205^A45,IF(A45='Données projet'!$A$62,'Données projet'!$B$62,AI44+AH45-AQ44)))</f>
        <v>168.25</v>
      </c>
      <c r="AJ45" s="13">
        <f>AI45*VLOOKUP('Données projet'!$B$10,Paramètres!$A$1:$I$89,3,0)*VLOOKUP('Données projet'!$B$10,Paramètres!$A$1:$I$89,5,0)</f>
        <v>152.23259999999999</v>
      </c>
      <c r="AK45" s="13">
        <f t="shared" si="35"/>
        <v>39.085514892085854</v>
      </c>
      <c r="AL45" s="20">
        <f t="shared" si="4"/>
        <v>333.21238343704948</v>
      </c>
      <c r="AM45" s="59">
        <f t="shared" si="5"/>
        <v>626.5457167703828</v>
      </c>
      <c r="AN45" s="59">
        <f ca="1">AVERAGE(OFFSET($AM$3,0,0,'Données projet'!$E$10+1,1))-AVERAGE(OFFSET($H$3,0,0,'Données projet'!$E$10+1,1))</f>
        <v>528.15559695545812</v>
      </c>
      <c r="AO45" s="59">
        <f t="shared" si="36"/>
        <v>276.26988364830532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13.8</v>
      </c>
      <c r="BD45" s="12">
        <f>IF('Données projet'!$A$88&gt;35,BD44+BC45-BL44,IF(A45&lt;'Données projet'!$A$88,$BA$205^A45,IF(A45='Données projet'!$A$88,'Données projet'!$B$88,BD44+BC45-BL44)))</f>
        <v>199.60000000000011</v>
      </c>
      <c r="BE45" s="13">
        <f>BD45*VLOOKUP('Données projet'!$B$11,Paramètres!$A$1:$I$89,3,0)*VLOOKUP('Données projet'!$B$11,Paramètres!$A$1:$I$89,5,0)</f>
        <v>146.34672000000006</v>
      </c>
      <c r="BF45" s="13">
        <f t="shared" si="37"/>
        <v>37.747177010522961</v>
      </c>
      <c r="BG45" s="20">
        <f t="shared" si="7"/>
        <v>320.63020395999428</v>
      </c>
      <c r="BH45" s="59">
        <f t="shared" si="8"/>
        <v>613.96353729332759</v>
      </c>
      <c r="BI45" s="59">
        <f ca="1">AVERAGE(OFFSET($BH$3,0,0,'Données projet'!$E$11+1,1))-AVERAGE(OFFSET($H$3,0,0,'Données projet'!$E$11+1,1))</f>
        <v>464.3681853739115</v>
      </c>
      <c r="BJ45" s="59">
        <f t="shared" si="38"/>
        <v>272.97841038165217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11.142857142857142</v>
      </c>
      <c r="BY45" s="12">
        <f>IF('Données projet'!$A$114&gt;35,BY44+BX45-CG44,IF(A45&lt;'Données projet'!$A$114,$BV$205^A45,IF(A45='Données projet'!$A$114,'Données projet'!$B$114,BY44+BX45-CG44)))</f>
        <v>207.71428571428564</v>
      </c>
      <c r="BZ45" s="13">
        <f>BY45*VLOOKUP('Données projet'!$B$12,Paramètres!$A$1:$I$89,3,0)*VLOOKUP('Données projet'!$B$12,Paramètres!$A$1:$I$89,5,0)</f>
        <v>162.0171428571428</v>
      </c>
      <c r="CA45" s="13">
        <f t="shared" si="39"/>
        <v>41.29715533509664</v>
      </c>
      <c r="CB45" s="20">
        <f t="shared" si="10"/>
        <v>354.10573601815037</v>
      </c>
      <c r="CC45" s="59">
        <f t="shared" si="11"/>
        <v>647.43906935148368</v>
      </c>
      <c r="CD45" s="59">
        <f ca="1">AVERAGE(OFFSET($CC$3,0,0,'Données projet'!$E$12+1,1))-AVERAGE(OFFSET($H$3,0,0,'Données projet'!$E$12+1,1))</f>
        <v>288.82868507674738</v>
      </c>
      <c r="CE45" s="59">
        <f t="shared" si="40"/>
        <v>283.48738729114024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245.79999999999993</v>
      </c>
      <c r="CU45" s="17">
        <f>CT45*VLOOKUP('Données projet'!$B$13,Paramètres!$A$1:$I$89,3,0)*VLOOKUP('Données projet'!$B$13,Paramètres!$A$1:$I$89,5,0)</f>
        <v>161.04815999999994</v>
      </c>
      <c r="CV45" s="13">
        <f t="shared" si="41"/>
        <v>41.078840901763805</v>
      </c>
      <c r="CW45" s="20">
        <f t="shared" si="13"/>
        <v>352.0378599039052</v>
      </c>
      <c r="CX45" s="59">
        <f t="shared" si="14"/>
        <v>645.37119323723846</v>
      </c>
      <c r="CY45" s="59">
        <f ca="1">AVERAGE(OFFSET($CX$3,0,0,'Données projet'!$E$13+1,1))-AVERAGE(OFFSET($H$3,0,0,'Données projet'!$E$13+1,1))</f>
        <v>340.49092994349405</v>
      </c>
      <c r="CZ45" s="59">
        <f t="shared" si="42"/>
        <v>331.54434271908832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1.1974233756111174</v>
      </c>
      <c r="DG45" s="21">
        <f>EXP(-LN(2)/25)*DG44+(1-EXP(-LN(2)/25))/(LN(2)/25)*Calculateur!DB45*Calculateur!DD45*VLOOKUP('Données projet'!$B$13,Paramètres!$A$1:$I$89,3,0)*0.475*44/12</f>
        <v>7.9151204325303715</v>
      </c>
      <c r="DH45" s="21">
        <f>EXP(-LN(2)/2)*DH44+(1-EXP(-LN(2)/2))/(LN(2)/2)*DB45*DE45*VLOOKUP('Données projet'!$B$13,Paramètres!$A$1:$I$89,3,0)*0.475*44/12</f>
        <v>4.6271714414144389</v>
      </c>
      <c r="DI45" s="22">
        <f t="shared" si="15"/>
        <v>13.739715249555928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9.875</v>
      </c>
      <c r="DO45" s="12">
        <f>IF('Données projet'!$A$166&gt;35,DO44+DN45-DW44,IF(A45&lt;'Données projet'!$A$166,$DL$205^A45,IF(A45='Données projet'!$A$166,'Données projet'!$B$166,DO44+DN45-DW44)))</f>
        <v>168.25</v>
      </c>
      <c r="DP45" s="17">
        <f>DO45*VLOOKUP('Données projet'!$B$14,Paramètres!$A$1:$I$89,3,0)*VLOOKUP('Données projet'!$B$14,Paramètres!$A$1:$I$89,5,0)</f>
        <v>170.60550000000001</v>
      </c>
      <c r="DQ45" s="13">
        <f t="shared" si="43"/>
        <v>43.225607368533112</v>
      </c>
      <c r="DR45" s="20">
        <f t="shared" si="16"/>
        <v>372.42251200019518</v>
      </c>
      <c r="DS45" s="59">
        <f t="shared" si="17"/>
        <v>665.75584533352844</v>
      </c>
      <c r="DT45" s="59">
        <f ca="1">AVERAGE(OFFSET($DS$3,0,0,'Données projet'!$E$14+1,1))-AVERAGE(OFFSET($H$3,0,0,'Données projet'!$E$14+1,1))</f>
        <v>586.50020405958992</v>
      </c>
      <c r="DU45" s="59">
        <f t="shared" si="44"/>
        <v>304.44184537595294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13.8</v>
      </c>
      <c r="N46" s="13">
        <f>IF('Données projet'!$A$36&gt;35,N45+M46-V45,IF(A46&lt;'Données projet'!$A$36,$K$205^A46,IF(A46='Données projet'!$A$36,'Données projet'!$B$36,N45+M46-V45)))</f>
        <v>213.40000000000012</v>
      </c>
      <c r="O46" s="13">
        <f>N46*VLOOKUP('Données projet'!$B$9,Paramètres!$A$1:$I$89,3,0)*VLOOKUP('Données projet'!$B$9,Paramètres!$A$1:$I$89,5,0)</f>
        <v>183.09720000000013</v>
      </c>
      <c r="P46" s="13">
        <f t="shared" si="33"/>
        <v>46.010570428845895</v>
      </c>
      <c r="Q46" s="20">
        <f t="shared" si="53"/>
        <v>399.02936683024018</v>
      </c>
      <c r="R46" s="59">
        <f t="shared" si="0"/>
        <v>692.36270016357344</v>
      </c>
      <c r="S46" s="59">
        <f ca="1">AVERAGE(OFFSET($R$3,0,0,'Données projet'!$E$9+1,1))-AVERAGE(OFFSET($H$3,0,0,'Données projet'!$E$9+1,1))</f>
        <v>536.21423347711345</v>
      </c>
      <c r="T46" s="59">
        <f t="shared" si="34"/>
        <v>312.14361830038712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9.875</v>
      </c>
      <c r="AI46" s="13">
        <f>IF('Données projet'!$A$62&gt;35,AI45+AH46-AQ45,IF(A46&lt;'Données projet'!$A$62,$AF$205^A46,IF(A46='Données projet'!$A$62,'Données projet'!$B$62,AI45+AH46-AQ45)))</f>
        <v>178.125</v>
      </c>
      <c r="AJ46" s="13">
        <f>AI46*VLOOKUP('Données projet'!$B$10,Paramètres!$A$1:$I$89,3,0)*VLOOKUP('Données projet'!$B$10,Paramètres!$A$1:$I$89,5,0)</f>
        <v>161.16749999999999</v>
      </c>
      <c r="AK46" s="13">
        <f t="shared" si="35"/>
        <v>41.105736761364199</v>
      </c>
      <c r="AL46" s="20">
        <f t="shared" si="4"/>
        <v>352.29255402604258</v>
      </c>
      <c r="AM46" s="59">
        <f t="shared" si="5"/>
        <v>645.62588735937584</v>
      </c>
      <c r="AN46" s="59">
        <f ca="1">AVERAGE(OFFSET($AM$3,0,0,'Données projet'!$E$10+1,1))-AVERAGE(OFFSET($H$3,0,0,'Données projet'!$E$10+1,1))</f>
        <v>528.15559695545812</v>
      </c>
      <c r="AO46" s="59">
        <f t="shared" si="36"/>
        <v>276.26988364830532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13.8</v>
      </c>
      <c r="BD46" s="12">
        <f>IF('Données projet'!$A$88&gt;35,BD45+BC46-BL45,IF(A46&lt;'Données projet'!$A$88,$BA$205^A46,IF(A46='Données projet'!$A$88,'Données projet'!$B$88,BD45+BC46-BL45)))</f>
        <v>213.40000000000012</v>
      </c>
      <c r="BE46" s="13">
        <f>BD46*VLOOKUP('Données projet'!$B$11,Paramètres!$A$1:$I$89,3,0)*VLOOKUP('Données projet'!$B$11,Paramètres!$A$1:$I$89,5,0)</f>
        <v>156.46488000000008</v>
      </c>
      <c r="BF46" s="13">
        <f t="shared" si="37"/>
        <v>40.044125372544926</v>
      </c>
      <c r="BG46" s="20">
        <f t="shared" si="7"/>
        <v>342.25318435718253</v>
      </c>
      <c r="BH46" s="59">
        <f t="shared" si="8"/>
        <v>635.58651769051585</v>
      </c>
      <c r="BI46" s="59">
        <f ca="1">AVERAGE(OFFSET($BH$3,0,0,'Données projet'!$E$11+1,1))-AVERAGE(OFFSET($H$3,0,0,'Données projet'!$E$11+1,1))</f>
        <v>464.3681853739115</v>
      </c>
      <c r="BJ46" s="59">
        <f t="shared" si="38"/>
        <v>272.97841038165217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11.142857142857142</v>
      </c>
      <c r="BY46" s="12">
        <f>IF('Données projet'!$A$114&gt;35,BY45+BX46-CG45,IF(A46&lt;'Données projet'!$A$114,$BV$205^A46,IF(A46='Données projet'!$A$114,'Données projet'!$B$114,BY45+BX46-CG45)))</f>
        <v>218.85714285714278</v>
      </c>
      <c r="BZ46" s="13">
        <f>BY46*VLOOKUP('Données projet'!$B$12,Paramètres!$A$1:$I$89,3,0)*VLOOKUP('Données projet'!$B$12,Paramètres!$A$1:$I$89,5,0)</f>
        <v>170.70857142857136</v>
      </c>
      <c r="CA46" s="13">
        <f t="shared" si="39"/>
        <v>43.248681576985376</v>
      </c>
      <c r="CB46" s="20">
        <f t="shared" si="10"/>
        <v>372.64221565134466</v>
      </c>
      <c r="CC46" s="59">
        <f t="shared" si="11"/>
        <v>665.97554898467797</v>
      </c>
      <c r="CD46" s="59">
        <f ca="1">AVERAGE(OFFSET($CC$3,0,0,'Données projet'!$E$12+1,1))-AVERAGE(OFFSET($H$3,0,0,'Données projet'!$E$12+1,1))</f>
        <v>288.82868507674738</v>
      </c>
      <c r="CE46" s="59">
        <f t="shared" si="40"/>
        <v>283.48738729114024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257.19999999999993</v>
      </c>
      <c r="CU46" s="17">
        <f>CT46*VLOOKUP('Données projet'!$B$13,Paramètres!$A$1:$I$89,3,0)*VLOOKUP('Données projet'!$B$13,Paramètres!$A$1:$I$89,5,0)</f>
        <v>168.51743999999997</v>
      </c>
      <c r="CV46" s="13">
        <f t="shared" si="41"/>
        <v>42.757810382238787</v>
      </c>
      <c r="CW46" s="20">
        <f t="shared" si="13"/>
        <v>367.97106108239922</v>
      </c>
      <c r="CX46" s="59">
        <f t="shared" si="14"/>
        <v>661.30439441573253</v>
      </c>
      <c r="CY46" s="59">
        <f ca="1">AVERAGE(OFFSET($CX$3,0,0,'Données projet'!$E$13+1,1))-AVERAGE(OFFSET($H$3,0,0,'Données projet'!$E$13+1,1))</f>
        <v>340.49092994349405</v>
      </c>
      <c r="CZ46" s="59">
        <f t="shared" si="42"/>
        <v>331.54434271908832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1.173942633571526</v>
      </c>
      <c r="DG46" s="21">
        <f>EXP(-LN(2)/25)*DG45+(1-EXP(-LN(2)/25))/(LN(2)/25)*Calculateur!DB46*Calculateur!DD46*VLOOKUP('Données projet'!$B$13,Paramètres!$A$1:$I$89,3,0)*0.475*44/12</f>
        <v>7.698681048064735</v>
      </c>
      <c r="DH46" s="21">
        <f>EXP(-LN(2)/2)*DH45+(1-EXP(-LN(2)/2))/(LN(2)/2)*DB46*DE46*VLOOKUP('Données projet'!$B$13,Paramètres!$A$1:$I$89,3,0)*0.475*44/12</f>
        <v>3.2719043039368816</v>
      </c>
      <c r="DI46" s="22">
        <f t="shared" si="15"/>
        <v>12.144527985573143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9.875</v>
      </c>
      <c r="DO46" s="12">
        <f>IF('Données projet'!$A$166&gt;35,DO45+DN46-DW45,IF(A46&lt;'Données projet'!$A$166,$DL$205^A46,IF(A46='Données projet'!$A$166,'Données projet'!$B$166,DO45+DN46-DW45)))</f>
        <v>178.125</v>
      </c>
      <c r="DP46" s="17">
        <f>DO46*VLOOKUP('Données projet'!$B$14,Paramètres!$A$1:$I$89,3,0)*VLOOKUP('Données projet'!$B$14,Paramètres!$A$1:$I$89,5,0)</f>
        <v>180.61875000000001</v>
      </c>
      <c r="DQ46" s="13">
        <f t="shared" si="43"/>
        <v>45.459819136239204</v>
      </c>
      <c r="DR46" s="20">
        <f t="shared" si="16"/>
        <v>393.75350791228328</v>
      </c>
      <c r="DS46" s="59">
        <f t="shared" si="17"/>
        <v>687.0868412456166</v>
      </c>
      <c r="DT46" s="59">
        <f ca="1">AVERAGE(OFFSET($DS$3,0,0,'Données projet'!$E$14+1,1))-AVERAGE(OFFSET($H$3,0,0,'Données projet'!$E$14+1,1))</f>
        <v>586.50020405958992</v>
      </c>
      <c r="DU46" s="59">
        <f t="shared" si="44"/>
        <v>304.44184537595294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13.8</v>
      </c>
      <c r="N47" s="13">
        <f>IF('Données projet'!$A$36&gt;35,N46+M47-V46,IF(A47&lt;'Données projet'!$A$36,$K$205^A47,IF(A47='Données projet'!$A$36,'Données projet'!$B$36,N46+M47-V46)))</f>
        <v>227.20000000000013</v>
      </c>
      <c r="O47" s="13">
        <f>N47*VLOOKUP('Données projet'!$B$9,Paramètres!$A$1:$I$89,3,0)*VLOOKUP('Données projet'!$B$9,Paramètres!$A$1:$I$89,5,0)</f>
        <v>194.93760000000012</v>
      </c>
      <c r="P47" s="13">
        <f t="shared" si="33"/>
        <v>48.629950800142524</v>
      </c>
      <c r="Q47" s="20">
        <f t="shared" si="53"/>
        <v>424.21348431024836</v>
      </c>
      <c r="R47" s="59">
        <f t="shared" si="0"/>
        <v>717.54681764358168</v>
      </c>
      <c r="S47" s="59">
        <f ca="1">AVERAGE(OFFSET($R$3,0,0,'Données projet'!$E$9+1,1))-AVERAGE(OFFSET($H$3,0,0,'Données projet'!$E$9+1,1))</f>
        <v>536.21423347711345</v>
      </c>
      <c r="T47" s="59">
        <f t="shared" si="34"/>
        <v>312.14361830038712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188</v>
      </c>
      <c r="AG47" s="12">
        <f>VLOOKUP(A47,'Données projet'!$A$61:$I$81,9,0)</f>
        <v>9.875</v>
      </c>
      <c r="AH47" s="12">
        <f t="array" ref="AH47">INDEX(AG:AG,MIN(IF(ISNUMBER(AG47:AG243),ROW(AG47:AG243),"")))</f>
        <v>9.875</v>
      </c>
      <c r="AI47" s="13">
        <f>IF('Données projet'!$A$62&gt;35,AI46+AH47-AQ46,IF(A47&lt;'Données projet'!$A$62,$AF$205^A47,IF(A47='Données projet'!$A$62,'Données projet'!$B$62,AI46+AH47-AQ46)))</f>
        <v>188</v>
      </c>
      <c r="AJ47" s="13">
        <f>AI47*VLOOKUP('Données projet'!$B$10,Paramètres!$A$1:$I$89,3,0)*VLOOKUP('Données projet'!$B$10,Paramètres!$A$1:$I$89,5,0)</f>
        <v>170.10239999999999</v>
      </c>
      <c r="AK47" s="13">
        <f t="shared" si="35"/>
        <v>43.112956975087329</v>
      </c>
      <c r="AL47" s="20">
        <f t="shared" si="4"/>
        <v>371.35008006494377</v>
      </c>
      <c r="AM47" s="59">
        <f t="shared" si="5"/>
        <v>664.68341339827703</v>
      </c>
      <c r="AN47" s="59">
        <f ca="1">AVERAGE(OFFSET($AM$3,0,0,'Données projet'!$E$10+1,1))-AVERAGE(OFFSET($H$3,0,0,'Données projet'!$E$10+1,1))</f>
        <v>528.15559695545812</v>
      </c>
      <c r="AO47" s="59">
        <f t="shared" si="36"/>
        <v>276.26988364830532</v>
      </c>
      <c r="AP47" s="15">
        <f>IF(ISNA(VLOOKUP(A47,'Données projet'!$A$61:$I$81,3,0)),0,VLOOKUP(A47,'Données projet'!$A$61:$I$81,3,0))</f>
        <v>2</v>
      </c>
      <c r="AQ47" s="15">
        <f>IF(ISNA(VLOOKUP(A47,'Données projet'!$A$61:$I$81,4,0)),0,VLOOKUP(A47,'Données projet'!$A$61:$I$81,4,0))</f>
        <v>46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0.215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9.8533210989335007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9.8533210989335007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13.8</v>
      </c>
      <c r="BD47" s="12">
        <f>IF('Données projet'!$A$88&gt;35,BD46+BC47-BL46,IF(A47&lt;'Données projet'!$A$88,$BA$205^A47,IF(A47='Données projet'!$A$88,'Données projet'!$B$88,BD46+BC47-BL46)))</f>
        <v>227.20000000000013</v>
      </c>
      <c r="BE47" s="13">
        <f>BD47*VLOOKUP('Données projet'!$B$11,Paramètres!$A$1:$I$89,3,0)*VLOOKUP('Données projet'!$B$11,Paramètres!$A$1:$I$89,5,0)</f>
        <v>166.58304000000007</v>
      </c>
      <c r="BF47" s="13">
        <f t="shared" si="37"/>
        <v>42.323836208749285</v>
      </c>
      <c r="BG47" s="20">
        <f t="shared" si="7"/>
        <v>363.84614273023845</v>
      </c>
      <c r="BH47" s="59">
        <f t="shared" si="8"/>
        <v>657.17947606357177</v>
      </c>
      <c r="BI47" s="59">
        <f ca="1">AVERAGE(OFFSET($BH$3,0,0,'Données projet'!$E$11+1,1))-AVERAGE(OFFSET($H$3,0,0,'Données projet'!$E$11+1,1))</f>
        <v>464.3681853739115</v>
      </c>
      <c r="BJ47" s="59">
        <f t="shared" si="38"/>
        <v>272.97841038165217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230</v>
      </c>
      <c r="BW47" s="12">
        <f>VLOOKUP(A47,'Données projet'!$A$113:$I$133,9,0)</f>
        <v>11.142857142857142</v>
      </c>
      <c r="BX47" s="12">
        <f t="array" ref="BX47">INDEX(BW:BW,MIN(IF(ISNUMBER(BW47:BW243),ROW(BW47:BW243),"")))</f>
        <v>11.142857142857142</v>
      </c>
      <c r="BY47" s="12">
        <f>IF('Données projet'!$A$114&gt;35,BY46+BX47-CG46,IF(A47&lt;'Données projet'!$A$114,$BV$205^A47,IF(A47='Données projet'!$A$114,'Données projet'!$B$114,BY46+BX47-CG46)))</f>
        <v>229.99999999999991</v>
      </c>
      <c r="BZ47" s="13">
        <f>BY47*VLOOKUP('Données projet'!$B$12,Paramètres!$A$1:$I$89,3,0)*VLOOKUP('Données projet'!$B$12,Paramètres!$A$1:$I$89,5,0)</f>
        <v>179.39999999999995</v>
      </c>
      <c r="CA47" s="13">
        <f t="shared" si="39"/>
        <v>45.188671291872232</v>
      </c>
      <c r="CB47" s="20">
        <f t="shared" si="10"/>
        <v>391.15860250001066</v>
      </c>
      <c r="CC47" s="59">
        <f t="shared" si="11"/>
        <v>684.49193583334397</v>
      </c>
      <c r="CD47" s="59">
        <f ca="1">AVERAGE(OFFSET($CC$3,0,0,'Données projet'!$E$12+1,1))-AVERAGE(OFFSET($H$3,0,0,'Données projet'!$E$12+1,1))</f>
        <v>288.82868507674738</v>
      </c>
      <c r="CE47" s="59">
        <f t="shared" si="40"/>
        <v>283.48738729114024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43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0.129</v>
      </c>
      <c r="CJ47" s="16">
        <f>IF(ISNA(VLOOKUP(A47,'Données projet'!$A$113:$I$133,7,0)),0%,VLOOKUP(A47,'Données projet'!$A$113:$I$133,7,0))</f>
        <v>0.4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4.7641620006087768</v>
      </c>
      <c r="CM47" s="21">
        <f>EXP(-LN(2)/2)*CM46+(1-EXP(-LN(2)/2))/(LN(2)/2)*CG47*CJ47*VLOOKUP('Données projet'!$B$12,Paramètres!$A$1:$I$89,3,0)*0.475*44/12</f>
        <v>12.658357086345889</v>
      </c>
      <c r="CN47" s="22">
        <f t="shared" si="12"/>
        <v>17.422519086954665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268.59999999999991</v>
      </c>
      <c r="CU47" s="17">
        <f>CT47*VLOOKUP('Données projet'!$B$13,Paramètres!$A$1:$I$89,3,0)*VLOOKUP('Données projet'!$B$13,Paramètres!$A$1:$I$89,5,0)</f>
        <v>175.98671999999993</v>
      </c>
      <c r="CV47" s="13">
        <f t="shared" si="41"/>
        <v>44.42813695214268</v>
      </c>
      <c r="CW47" s="20">
        <f t="shared" si="13"/>
        <v>383.88920919164838</v>
      </c>
      <c r="CX47" s="59">
        <f t="shared" si="14"/>
        <v>677.22254252498169</v>
      </c>
      <c r="CY47" s="59">
        <f ca="1">AVERAGE(OFFSET($CX$3,0,0,'Données projet'!$E$13+1,1))-AVERAGE(OFFSET($H$3,0,0,'Données projet'!$E$13+1,1))</f>
        <v>340.49092994349405</v>
      </c>
      <c r="CZ47" s="59">
        <f t="shared" si="42"/>
        <v>331.54434271908832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1.1509223345614923</v>
      </c>
      <c r="DG47" s="21">
        <f>EXP(-LN(2)/25)*DG46+(1-EXP(-LN(2)/25))/(LN(2)/25)*Calculateur!DB47*Calculateur!DD47*VLOOKUP('Données projet'!$B$13,Paramètres!$A$1:$I$89,3,0)*0.475*44/12</f>
        <v>7.4881602099493643</v>
      </c>
      <c r="DH47" s="21">
        <f>EXP(-LN(2)/2)*DH46+(1-EXP(-LN(2)/2))/(LN(2)/2)*DB47*DE47*VLOOKUP('Données projet'!$B$13,Paramètres!$A$1:$I$89,3,0)*0.475*44/12</f>
        <v>2.3135857207072199</v>
      </c>
      <c r="DI47" s="22">
        <f t="shared" si="15"/>
        <v>10.952668265218076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188</v>
      </c>
      <c r="DM47" s="12">
        <f>VLOOKUP(A47,'Données projet'!$A$165:$I$185,9,0)</f>
        <v>9.875</v>
      </c>
      <c r="DN47" s="12">
        <f t="array" ref="DN47">INDEX(DM:DM,MIN(IF(ISNUMBER(DM47:DM243),ROW(DM47:DM243),"")))</f>
        <v>9.875</v>
      </c>
      <c r="DO47" s="12">
        <f>IF('Données projet'!$A$166&gt;35,DO46+DN47-DW46,IF(A47&lt;'Données projet'!$A$166,$DL$205^A47,IF(A47='Données projet'!$A$166,'Données projet'!$B$166,DO46+DN47-DW46)))</f>
        <v>188</v>
      </c>
      <c r="DP47" s="17">
        <f>DO47*VLOOKUP('Données projet'!$B$14,Paramètres!$A$1:$I$89,3,0)*VLOOKUP('Données projet'!$B$14,Paramètres!$A$1:$I$89,5,0)</f>
        <v>190.63200000000001</v>
      </c>
      <c r="DQ47" s="13">
        <f t="shared" si="43"/>
        <v>47.679652061560311</v>
      </c>
      <c r="DR47" s="20">
        <f t="shared" si="16"/>
        <v>415.05946067388419</v>
      </c>
      <c r="DS47" s="59">
        <f t="shared" si="17"/>
        <v>708.3927940072175</v>
      </c>
      <c r="DT47" s="59">
        <f ca="1">AVERAGE(OFFSET($DS$3,0,0,'Données projet'!$E$14+1,1))-AVERAGE(OFFSET($H$3,0,0,'Données projet'!$E$14+1,1))</f>
        <v>586.50020405958992</v>
      </c>
      <c r="DU47" s="59">
        <f t="shared" si="44"/>
        <v>304.44184537595294</v>
      </c>
      <c r="DV47" s="15">
        <f>IF(ISNA(VLOOKUP(A47,'Données projet'!$A$165:$I$185,3,0)),0,VLOOKUP(A47,'Données projet'!$A$165:$I$185,3,0))</f>
        <v>2</v>
      </c>
      <c r="DW47" s="15">
        <f>IF(ISNA(VLOOKUP(A47,'Données projet'!$A$165:$I$185,4,0)),0,VLOOKUP(A47,'Données projet'!$A$165:$I$185,4,0))</f>
        <v>46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0.215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11.042515024666855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11.042515024666855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241</v>
      </c>
      <c r="L48" s="12">
        <f>VLOOKUP(A48,'Données projet'!$A$35:$I$55,9,0)</f>
        <v>13.8</v>
      </c>
      <c r="M48" s="12">
        <f t="array" ref="M48">INDEX(L:L,MIN(IF(ISNUMBER(L48:L244),ROW(L48:L244),"")))</f>
        <v>13.8</v>
      </c>
      <c r="N48" s="13">
        <f>IF('Données projet'!$A$36&gt;35,N47+M48-V47,IF(A48&lt;'Données projet'!$A$36,$K$205^A48,IF(A48='Données projet'!$A$36,'Données projet'!$B$36,N47+M48-V47)))</f>
        <v>241.00000000000014</v>
      </c>
      <c r="O48" s="13">
        <f>N48*VLOOKUP('Données projet'!$B$9,Paramètres!$A$1:$I$89,3,0)*VLOOKUP('Données projet'!$B$9,Paramètres!$A$1:$I$89,5,0)</f>
        <v>206.77800000000016</v>
      </c>
      <c r="P48" s="13">
        <f t="shared" si="33"/>
        <v>51.230865296361145</v>
      </c>
      <c r="Q48" s="20">
        <f t="shared" si="53"/>
        <v>449.36544039116256</v>
      </c>
      <c r="R48" s="59">
        <f t="shared" si="0"/>
        <v>742.69877372449582</v>
      </c>
      <c r="S48" s="59">
        <f ca="1">AVERAGE(OFFSET($R$3,0,0,'Données projet'!$E$9+1,1))-AVERAGE(OFFSET($H$3,0,0,'Données projet'!$E$9+1,1))</f>
        <v>536.21423347711345</v>
      </c>
      <c r="T48" s="59">
        <f t="shared" si="34"/>
        <v>312.14361830038712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35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11.25</v>
      </c>
      <c r="AI48" s="13">
        <f>IF('Données projet'!$A$62&gt;35,AI47+AH48-AQ47,IF(A48&lt;'Données projet'!$A$62,$AF$205^A48,IF(A48='Données projet'!$A$62,'Données projet'!$B$62,AI47+AH48-AQ47)))</f>
        <v>153.25</v>
      </c>
      <c r="AJ48" s="13">
        <f>AI48*VLOOKUP('Données projet'!$B$10,Paramètres!$A$1:$I$89,3,0)*VLOOKUP('Données projet'!$B$10,Paramètres!$A$1:$I$89,5,0)</f>
        <v>138.66059999999999</v>
      </c>
      <c r="AK48" s="13">
        <f t="shared" si="35"/>
        <v>35.989996302499641</v>
      </c>
      <c r="AL48" s="20">
        <f t="shared" si="4"/>
        <v>304.18312189352014</v>
      </c>
      <c r="AM48" s="59">
        <f t="shared" si="5"/>
        <v>597.5164552268534</v>
      </c>
      <c r="AN48" s="59">
        <f ca="1">AVERAGE(OFFSET($AM$3,0,0,'Données projet'!$E$10+1,1))-AVERAGE(OFFSET($H$3,0,0,'Données projet'!$E$10+1,1))</f>
        <v>528.15559695545812</v>
      </c>
      <c r="AO48" s="59">
        <f t="shared" si="36"/>
        <v>276.26988364830532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9.5838815153195274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9.5838815153195274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241</v>
      </c>
      <c r="BB48" s="12">
        <f>VLOOKUP(A48,'Données projet'!$A$87:$I$107,9,0)</f>
        <v>13.8</v>
      </c>
      <c r="BC48" s="12">
        <f t="array" ref="BC48">INDEX(BB:BB,MIN(IF(ISNUMBER(BB48:BB244),ROW(BB48:BB244),"")))</f>
        <v>13.8</v>
      </c>
      <c r="BD48" s="12">
        <f>IF('Données projet'!$A$88&gt;35,BD47+BC48-BL47,IF(A48&lt;'Données projet'!$A$88,$BA$205^A48,IF(A48='Données projet'!$A$88,'Données projet'!$B$88,BD47+BC48-BL47)))</f>
        <v>241.00000000000014</v>
      </c>
      <c r="BE48" s="13">
        <f>BD48*VLOOKUP('Données projet'!$B$11,Paramètres!$A$1:$I$89,3,0)*VLOOKUP('Données projet'!$B$11,Paramètres!$A$1:$I$89,5,0)</f>
        <v>176.70120000000011</v>
      </c>
      <c r="BF48" s="13">
        <f t="shared" si="37"/>
        <v>44.587475741993387</v>
      </c>
      <c r="BG48" s="20">
        <f t="shared" si="7"/>
        <v>385.41111025063861</v>
      </c>
      <c r="BH48" s="59">
        <f t="shared" si="8"/>
        <v>678.74444358397193</v>
      </c>
      <c r="BI48" s="59">
        <f ca="1">AVERAGE(OFFSET($BH$3,0,0,'Données projet'!$E$11+1,1))-AVERAGE(OFFSET($H$3,0,0,'Données projet'!$E$11+1,1))</f>
        <v>464.3681853739115</v>
      </c>
      <c r="BJ48" s="59">
        <f t="shared" si="38"/>
        <v>272.97841038165217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35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10.375</v>
      </c>
      <c r="BY48" s="12">
        <f>IF('Données projet'!$A$114&gt;35,BY47+BX48-CG47,IF(A48&lt;'Données projet'!$A$114,$BV$205^A48,IF(A48='Données projet'!$A$114,'Données projet'!$B$114,BY47+BX48-CG47)))</f>
        <v>197.37499999999991</v>
      </c>
      <c r="BZ48" s="13">
        <f>BY48*VLOOKUP('Données projet'!$B$12,Paramètres!$A$1:$I$89,3,0)*VLOOKUP('Données projet'!$B$12,Paramètres!$A$1:$I$89,5,0)</f>
        <v>153.95249999999993</v>
      </c>
      <c r="CA48" s="13">
        <f t="shared" si="39"/>
        <v>39.475441267837361</v>
      </c>
      <c r="CB48" s="20">
        <f t="shared" si="10"/>
        <v>336.88699770814992</v>
      </c>
      <c r="CC48" s="59">
        <f t="shared" si="11"/>
        <v>630.22033104148318</v>
      </c>
      <c r="CD48" s="59">
        <f ca="1">AVERAGE(OFFSET($CC$3,0,0,'Données projet'!$E$12+1,1))-AVERAGE(OFFSET($H$3,0,0,'Données projet'!$E$12+1,1))</f>
        <v>288.82868507674738</v>
      </c>
      <c r="CE48" s="59">
        <f t="shared" si="40"/>
        <v>283.48738729114024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4.6338857401657387</v>
      </c>
      <c r="CM48" s="21">
        <f>EXP(-LN(2)/2)*CM47+(1-EXP(-LN(2)/2))/(LN(2)/2)*CG48*CJ48*VLOOKUP('Données projet'!$B$12,Paramètres!$A$1:$I$89,3,0)*0.475*44/12</f>
        <v>8.950810134435967</v>
      </c>
      <c r="CN48" s="22">
        <f t="shared" si="12"/>
        <v>13.584695874601707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280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279.99999999999989</v>
      </c>
      <c r="CU48" s="17">
        <f>CT48*VLOOKUP('Données projet'!$B$13,Paramètres!$A$1:$I$89,3,0)*VLOOKUP('Données projet'!$B$13,Paramètres!$A$1:$I$89,5,0)</f>
        <v>183.45599999999993</v>
      </c>
      <c r="CV48" s="13">
        <f t="shared" si="41"/>
        <v>46.090229375321108</v>
      </c>
      <c r="CW48" s="20">
        <f t="shared" si="13"/>
        <v>399.79301616201747</v>
      </c>
      <c r="CX48" s="59">
        <f t="shared" si="14"/>
        <v>693.12634949535072</v>
      </c>
      <c r="CY48" s="59">
        <f ca="1">AVERAGE(OFFSET($CX$3,0,0,'Données projet'!$E$13+1,1))-AVERAGE(OFFSET($H$3,0,0,'Données projet'!$E$13+1,1))</f>
        <v>340.49092994349405</v>
      </c>
      <c r="CZ48" s="59">
        <f t="shared" si="42"/>
        <v>331.54434271908832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26</v>
      </c>
      <c r="DC48" s="16">
        <f>IF(ISNA(VLOOKUP(A48,'Données projet'!$A$139:$I$159,5,0)),0%,VLOOKUP(A48,'Données projet'!$A$139:$I$159,5,0)*VLOOKUP('Données projet'!$B$13,Paramètres!$A$1:$I$89,7,0))</f>
        <v>0.129</v>
      </c>
      <c r="DD48" s="16">
        <f>IF(ISNA(VLOOKUP(A48,'Données projet'!$A$139:$I$159,6,0)),0%,VLOOKUP(A48,'Données projet'!$A$139:$I$159,6,0)*VLOOKUP('Données projet'!$B$13,Paramètres!$A$1:$I$89,7,0))</f>
        <v>8.6000000000000007E-2</v>
      </c>
      <c r="DE48" s="16">
        <f>IF(ISNA(VLOOKUP(A48,'Données projet'!$A$139:$I$159,7,0)),0%,VLOOKUP(A48,'Données projet'!$A$139:$I$159,7,0))</f>
        <v>0.3</v>
      </c>
      <c r="DF48" s="21">
        <f>EXP(-LN(2)/35)*DF47+(1-EXP(-LN(2)/35))/(LN(2)/35)*DB48*DC48*VLOOKUP('Données projet'!$B$13,Paramètres!$A$1:$I$89,3,0)*0.475*44/12</f>
        <v>3.5576697117891927</v>
      </c>
      <c r="DG48" s="21">
        <f>EXP(-LN(2)/25)*DG47+(1-EXP(-LN(2)/25))/(LN(2)/25)*Calculateur!DB48*Calculateur!DD48*VLOOKUP('Données projet'!$B$13,Paramètres!$A$1:$I$89,3,0)*0.475*44/12</f>
        <v>8.8965634875222257</v>
      </c>
      <c r="DH48" s="21">
        <f>EXP(-LN(2)/2)*DH47+(1-EXP(-LN(2)/2))/(LN(2)/2)*DB48*DE48*VLOOKUP('Données projet'!$B$13,Paramètres!$A$1:$I$89,3,0)*0.475*44/12</f>
        <v>6.4579030606741537</v>
      </c>
      <c r="DI48" s="22">
        <f t="shared" si="15"/>
        <v>18.912136259985573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11.25</v>
      </c>
      <c r="DO48" s="12">
        <f>IF('Données projet'!$A$166&gt;35,DO47+DN48-DW47,IF(A48&lt;'Données projet'!$A$166,$DL$205^A48,IF(A48='Données projet'!$A$166,'Données projet'!$B$166,DO47+DN48-DW47)))</f>
        <v>153.25</v>
      </c>
      <c r="DP48" s="17">
        <f>DO48*VLOOKUP('Données projet'!$B$14,Paramètres!$A$1:$I$89,3,0)*VLOOKUP('Données projet'!$B$14,Paramètres!$A$1:$I$89,5,0)</f>
        <v>155.3955</v>
      </c>
      <c r="DQ48" s="13">
        <f t="shared" si="43"/>
        <v>39.802199194817561</v>
      </c>
      <c r="DR48" s="20">
        <f t="shared" si="16"/>
        <v>339.96932609764059</v>
      </c>
      <c r="DS48" s="59">
        <f t="shared" si="17"/>
        <v>633.3026594309739</v>
      </c>
      <c r="DT48" s="59">
        <f ca="1">AVERAGE(OFFSET($DS$3,0,0,'Données projet'!$E$14+1,1))-AVERAGE(OFFSET($H$3,0,0,'Données projet'!$E$14+1,1))</f>
        <v>586.50020405958992</v>
      </c>
      <c r="DU48" s="59">
        <f t="shared" si="44"/>
        <v>304.44184537595294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10.740556870616713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10.740556870616713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13.6</v>
      </c>
      <c r="N49" s="13">
        <f>IF('Données projet'!$A$36&gt;35,N48+M49-V48,IF(A49&lt;'Données projet'!$A$36,$K$205^A49,IF(A49='Données projet'!$A$36,'Données projet'!$B$36,N48+M49-V48)))</f>
        <v>219.60000000000014</v>
      </c>
      <c r="O49" s="13">
        <f>N49*VLOOKUP('Données projet'!$B$9,Paramètres!$A$1:$I$89,3,0)*VLOOKUP('Données projet'!$B$9,Paramètres!$A$1:$I$89,5,0)</f>
        <v>188.41680000000014</v>
      </c>
      <c r="P49" s="13">
        <f t="shared" si="33"/>
        <v>47.189759534268717</v>
      </c>
      <c r="Q49" s="20">
        <f t="shared" si="53"/>
        <v>410.34809118885158</v>
      </c>
      <c r="R49" s="59">
        <f t="shared" si="0"/>
        <v>703.6814245221849</v>
      </c>
      <c r="S49" s="59">
        <f ca="1">AVERAGE(OFFSET($R$3,0,0,'Données projet'!$E$9+1,1))-AVERAGE(OFFSET($H$3,0,0,'Données projet'!$E$9+1,1))</f>
        <v>536.21423347711345</v>
      </c>
      <c r="T49" s="59">
        <f t="shared" si="34"/>
        <v>312.14361830038712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11.25</v>
      </c>
      <c r="AI49" s="13">
        <f>IF('Données projet'!$A$62&gt;35,AI48+AH49-AQ48,IF(A49&lt;'Données projet'!$A$62,$AF$205^A49,IF(A49='Données projet'!$A$62,'Données projet'!$B$62,AI48+AH49-AQ48)))</f>
        <v>164.5</v>
      </c>
      <c r="AJ49" s="13">
        <f>AI49*VLOOKUP('Données projet'!$B$10,Paramètres!$A$1:$I$89,3,0)*VLOOKUP('Données projet'!$B$10,Paramètres!$A$1:$I$89,5,0)</f>
        <v>148.83959999999999</v>
      </c>
      <c r="AK49" s="13">
        <f t="shared" si="35"/>
        <v>38.314761484407484</v>
      </c>
      <c r="AL49" s="20">
        <f t="shared" si="4"/>
        <v>325.96051291867633</v>
      </c>
      <c r="AM49" s="59">
        <f t="shared" si="5"/>
        <v>619.29384625200964</v>
      </c>
      <c r="AN49" s="59">
        <f ca="1">AVERAGE(OFFSET($AM$3,0,0,'Données projet'!$E$10+1,1))-AVERAGE(OFFSET($H$3,0,0,'Données projet'!$E$10+1,1))</f>
        <v>528.15559695545812</v>
      </c>
      <c r="AO49" s="59">
        <f t="shared" si="36"/>
        <v>276.26988364830532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9.3218097712886898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9.3218097712886898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13.6</v>
      </c>
      <c r="BD49" s="12">
        <f>IF('Données projet'!$A$88&gt;35,BD48+BC49-BL48,IF(A49&lt;'Données projet'!$A$88,$BA$205^A49,IF(A49='Données projet'!$A$88,'Données projet'!$B$88,BD48+BC49-BL48)))</f>
        <v>219.60000000000014</v>
      </c>
      <c r="BE49" s="13">
        <f>BD49*VLOOKUP('Données projet'!$B$11,Paramètres!$A$1:$I$89,3,0)*VLOOKUP('Données projet'!$B$11,Paramètres!$A$1:$I$89,5,0)</f>
        <v>161.01072000000011</v>
      </c>
      <c r="BF49" s="13">
        <f t="shared" si="37"/>
        <v>41.070402507024554</v>
      </c>
      <c r="BG49" s="20">
        <f t="shared" si="7"/>
        <v>351.95795503306795</v>
      </c>
      <c r="BH49" s="59">
        <f t="shared" si="8"/>
        <v>645.2912883664012</v>
      </c>
      <c r="BI49" s="59">
        <f ca="1">AVERAGE(OFFSET($BH$3,0,0,'Données projet'!$E$11+1,1))-AVERAGE(OFFSET($H$3,0,0,'Données projet'!$E$11+1,1))</f>
        <v>464.3681853739115</v>
      </c>
      <c r="BJ49" s="59">
        <f t="shared" si="38"/>
        <v>272.97841038165217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10.375</v>
      </c>
      <c r="BY49" s="12">
        <f>IF('Données projet'!$A$114&gt;35,BY48+BX49-CG48,IF(A49&lt;'Données projet'!$A$114,$BV$205^A49,IF(A49='Données projet'!$A$114,'Données projet'!$B$114,BY48+BX49-CG48)))</f>
        <v>207.74999999999991</v>
      </c>
      <c r="BZ49" s="13">
        <f>BY49*VLOOKUP('Données projet'!$B$12,Paramètres!$A$1:$I$89,3,0)*VLOOKUP('Données projet'!$B$12,Paramètres!$A$1:$I$89,5,0)</f>
        <v>162.04499999999993</v>
      </c>
      <c r="CA49" s="13">
        <f t="shared" si="39"/>
        <v>41.303429372463391</v>
      </c>
      <c r="CB49" s="20">
        <f t="shared" si="10"/>
        <v>354.16518115704025</v>
      </c>
      <c r="CC49" s="59">
        <f t="shared" si="11"/>
        <v>647.49851449037351</v>
      </c>
      <c r="CD49" s="59">
        <f ca="1">AVERAGE(OFFSET($CC$3,0,0,'Données projet'!$E$12+1,1))-AVERAGE(OFFSET($H$3,0,0,'Données projet'!$E$12+1,1))</f>
        <v>288.82868507674738</v>
      </c>
      <c r="CE49" s="59">
        <f t="shared" si="40"/>
        <v>283.48738729114024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4.5071718909154468</v>
      </c>
      <c r="CM49" s="21">
        <f>EXP(-LN(2)/2)*CM48+(1-EXP(-LN(2)/2))/(LN(2)/2)*CG49*CJ49*VLOOKUP('Données projet'!$B$12,Paramètres!$A$1:$I$89,3,0)*0.475*44/12</f>
        <v>6.3291785431729455</v>
      </c>
      <c r="CN49" s="22">
        <f t="shared" si="12"/>
        <v>10.836350434088391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9.8000000000000007</v>
      </c>
      <c r="CT49" s="12">
        <f>IF('Données projet'!$A$140&gt;35,CT48+CS49-DB48,IF(A49&lt;'Données projet'!$A$140,$CQ$205^A49,IF(A49='Données projet'!$A$140,'Données projet'!$B$140,CT48+CS49-DB48)))</f>
        <v>263.7999999999999</v>
      </c>
      <c r="CU49" s="17">
        <f>CT49*VLOOKUP('Données projet'!$B$13,Paramètres!$A$1:$I$89,3,0)*VLOOKUP('Données projet'!$B$13,Paramètres!$A$1:$I$89,5,0)</f>
        <v>172.84175999999994</v>
      </c>
      <c r="CV49" s="13">
        <f t="shared" si="41"/>
        <v>43.725867908425457</v>
      </c>
      <c r="CW49" s="20">
        <f t="shared" si="13"/>
        <v>377.18861860717419</v>
      </c>
      <c r="CX49" s="59">
        <f t="shared" si="14"/>
        <v>670.52195194050751</v>
      </c>
      <c r="CY49" s="59">
        <f ca="1">AVERAGE(OFFSET($CX$3,0,0,'Données projet'!$E$13+1,1))-AVERAGE(OFFSET($H$3,0,0,'Données projet'!$E$13+1,1))</f>
        <v>340.49092994349405</v>
      </c>
      <c r="CZ49" s="59">
        <f t="shared" si="42"/>
        <v>331.54434271908832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3.4879059787052644</v>
      </c>
      <c r="DG49" s="21">
        <f>EXP(-LN(2)/25)*DG48+(1-EXP(-LN(2)/25))/(LN(2)/25)*Calculateur!DB49*Calculateur!DD49*VLOOKUP('Données projet'!$B$13,Paramètres!$A$1:$I$89,3,0)*0.475*44/12</f>
        <v>8.6532864911059892</v>
      </c>
      <c r="DH49" s="21">
        <f>EXP(-LN(2)/2)*DH48+(1-EXP(-LN(2)/2))/(LN(2)/2)*DB49*DE49*VLOOKUP('Données projet'!$B$13,Paramètres!$A$1:$I$89,3,0)*0.475*44/12</f>
        <v>4.5664270464480543</v>
      </c>
      <c r="DI49" s="22">
        <f t="shared" si="15"/>
        <v>16.707619516259307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11.25</v>
      </c>
      <c r="DO49" s="12">
        <f>IF('Données projet'!$A$166&gt;35,DO48+DN49-DW48,IF(A49&lt;'Données projet'!$A$166,$DL$205^A49,IF(A49='Données projet'!$A$166,'Données projet'!$B$166,DO48+DN49-DW48)))</f>
        <v>164.5</v>
      </c>
      <c r="DP49" s="17">
        <f>DO49*VLOOKUP('Données projet'!$B$14,Paramètres!$A$1:$I$89,3,0)*VLOOKUP('Données projet'!$B$14,Paramètres!$A$1:$I$89,5,0)</f>
        <v>166.803</v>
      </c>
      <c r="DQ49" s="13">
        <f t="shared" si="43"/>
        <v>42.373212708510096</v>
      </c>
      <c r="DR49" s="20">
        <f t="shared" si="16"/>
        <v>364.31523713398838</v>
      </c>
      <c r="DS49" s="59">
        <f t="shared" si="17"/>
        <v>657.64857046732163</v>
      </c>
      <c r="DT49" s="59">
        <f ca="1">AVERAGE(OFFSET($DS$3,0,0,'Données projet'!$E$14+1,1))-AVERAGE(OFFSET($H$3,0,0,'Données projet'!$E$14+1,1))</f>
        <v>586.50020405958992</v>
      </c>
      <c r="DU49" s="59">
        <f t="shared" si="44"/>
        <v>304.44184537595294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10.446855778168361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10.446855778168361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13.6</v>
      </c>
      <c r="N50" s="13">
        <f>IF('Données projet'!$A$36&gt;35,N49+M50-V49,IF(A50&lt;'Données projet'!$A$36,$K$205^A50,IF(A50='Données projet'!$A$36,'Données projet'!$B$36,N49+M50-V49)))</f>
        <v>233.20000000000013</v>
      </c>
      <c r="O50" s="13">
        <f>N50*VLOOKUP('Données projet'!$B$9,Paramètres!$A$1:$I$89,3,0)*VLOOKUP('Données projet'!$B$9,Paramètres!$A$1:$I$89,5,0)</f>
        <v>200.08560000000011</v>
      </c>
      <c r="P50" s="13">
        <f t="shared" si="33"/>
        <v>49.762979545996977</v>
      </c>
      <c r="Q50" s="20">
        <f t="shared" si="53"/>
        <v>435.15294270927825</v>
      </c>
      <c r="R50" s="59">
        <f t="shared" si="0"/>
        <v>728.48627604261151</v>
      </c>
      <c r="S50" s="59">
        <f ca="1">AVERAGE(OFFSET($R$3,0,0,'Données projet'!$E$9+1,1))-AVERAGE(OFFSET($H$3,0,0,'Données projet'!$E$9+1,1))</f>
        <v>536.21423347711345</v>
      </c>
      <c r="T50" s="59">
        <f t="shared" si="34"/>
        <v>312.14361830038712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11.25</v>
      </c>
      <c r="AI50" s="13">
        <f>IF('Données projet'!$A$62&gt;35,AI49+AH50-AQ49,IF(A50&lt;'Données projet'!$A$62,$AF$205^A50,IF(A50='Données projet'!$A$62,'Données projet'!$B$62,AI49+AH50-AQ49)))</f>
        <v>175.75</v>
      </c>
      <c r="AJ50" s="13">
        <f>AI50*VLOOKUP('Données projet'!$B$10,Paramètres!$A$1:$I$89,3,0)*VLOOKUP('Données projet'!$B$10,Paramètres!$A$1:$I$89,5,0)</f>
        <v>159.01859999999999</v>
      </c>
      <c r="AK50" s="13">
        <f t="shared" si="35"/>
        <v>40.62107869517753</v>
      </c>
      <c r="AL50" s="20">
        <f t="shared" si="4"/>
        <v>347.70577372743418</v>
      </c>
      <c r="AM50" s="59">
        <f t="shared" si="5"/>
        <v>641.03910706076749</v>
      </c>
      <c r="AN50" s="59">
        <f ca="1">AVERAGE(OFFSET($AM$3,0,0,'Données projet'!$E$10+1,1))-AVERAGE(OFFSET($H$3,0,0,'Données projet'!$E$10+1,1))</f>
        <v>528.15559695545812</v>
      </c>
      <c r="AO50" s="59">
        <f t="shared" si="36"/>
        <v>276.26988364830532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9.0669043928801294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9.0669043928801294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13.6</v>
      </c>
      <c r="BD50" s="12">
        <f>IF('Données projet'!$A$88&gt;35,BD49+BC50-BL49,IF(A50&lt;'Données projet'!$A$88,$BA$205^A50,IF(A50='Données projet'!$A$88,'Données projet'!$B$88,BD49+BC50-BL49)))</f>
        <v>233.20000000000013</v>
      </c>
      <c r="BE50" s="13">
        <f>BD50*VLOOKUP('Données projet'!$B$11,Paramètres!$A$1:$I$89,3,0)*VLOOKUP('Données projet'!$B$11,Paramètres!$A$1:$I$89,5,0)</f>
        <v>170.9822400000001</v>
      </c>
      <c r="BF50" s="13">
        <f t="shared" si="37"/>
        <v>43.309938852702771</v>
      </c>
      <c r="BG50" s="20">
        <f t="shared" si="7"/>
        <v>373.22554483512414</v>
      </c>
      <c r="BH50" s="59">
        <f t="shared" si="8"/>
        <v>666.55887816845745</v>
      </c>
      <c r="BI50" s="59">
        <f ca="1">AVERAGE(OFFSET($BH$3,0,0,'Données projet'!$E$11+1,1))-AVERAGE(OFFSET($H$3,0,0,'Données projet'!$E$11+1,1))</f>
        <v>464.3681853739115</v>
      </c>
      <c r="BJ50" s="59">
        <f t="shared" si="38"/>
        <v>272.97841038165217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10.375</v>
      </c>
      <c r="BY50" s="12">
        <f>IF('Données projet'!$A$114&gt;35,BY49+BX50-CG49,IF(A50&lt;'Données projet'!$A$114,$BV$205^A50,IF(A50='Données projet'!$A$114,'Données projet'!$B$114,BY49+BX50-CG49)))</f>
        <v>218.12499999999991</v>
      </c>
      <c r="BZ50" s="13">
        <f>BY50*VLOOKUP('Données projet'!$B$12,Paramètres!$A$1:$I$89,3,0)*VLOOKUP('Données projet'!$B$12,Paramètres!$A$1:$I$89,5,0)</f>
        <v>170.13749999999993</v>
      </c>
      <c r="CA50" s="13">
        <f t="shared" si="39"/>
        <v>43.120817562072375</v>
      </c>
      <c r="CB50" s="20">
        <f t="shared" si="10"/>
        <v>371.42490308727588</v>
      </c>
      <c r="CC50" s="59">
        <f t="shared" si="11"/>
        <v>664.75823642060914</v>
      </c>
      <c r="CD50" s="59">
        <f ca="1">AVERAGE(OFFSET($CC$3,0,0,'Données projet'!$E$12+1,1))-AVERAGE(OFFSET($H$3,0,0,'Données projet'!$E$12+1,1))</f>
        <v>288.82868507674738</v>
      </c>
      <c r="CE50" s="59">
        <f t="shared" si="40"/>
        <v>283.48738729114024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4.3839230385364951</v>
      </c>
      <c r="CM50" s="21">
        <f>EXP(-LN(2)/2)*CM49+(1-EXP(-LN(2)/2))/(LN(2)/2)*CG50*CJ50*VLOOKUP('Données projet'!$B$12,Paramètres!$A$1:$I$89,3,0)*0.475*44/12</f>
        <v>4.4754050672179835</v>
      </c>
      <c r="CN50" s="22">
        <f t="shared" si="12"/>
        <v>8.8593281057544786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9.8000000000000007</v>
      </c>
      <c r="CT50" s="12">
        <f>IF('Données projet'!$A$140&gt;35,CT49+CS50-DB49,IF(A50&lt;'Données projet'!$A$140,$CQ$205^A50,IF(A50='Données projet'!$A$140,'Données projet'!$B$140,CT49+CS50-DB49)))</f>
        <v>273.59999999999991</v>
      </c>
      <c r="CU50" s="17">
        <f>CT50*VLOOKUP('Données projet'!$B$13,Paramètres!$A$1:$I$89,3,0)*VLOOKUP('Données projet'!$B$13,Paramètres!$A$1:$I$89,5,0)</f>
        <v>179.26271999999994</v>
      </c>
      <c r="CV50" s="13">
        <f t="shared" si="41"/>
        <v>45.158115787467111</v>
      </c>
      <c r="CW50" s="20">
        <f t="shared" si="13"/>
        <v>390.86628899650509</v>
      </c>
      <c r="CX50" s="59">
        <f t="shared" si="14"/>
        <v>684.19962232983835</v>
      </c>
      <c r="CY50" s="59">
        <f ca="1">AVERAGE(OFFSET($CX$3,0,0,'Données projet'!$E$13+1,1))-AVERAGE(OFFSET($H$3,0,0,'Données projet'!$E$13+1,1))</f>
        <v>340.49092994349405</v>
      </c>
      <c r="CZ50" s="59">
        <f t="shared" si="42"/>
        <v>331.54434271908832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3.4195102698754365</v>
      </c>
      <c r="DG50" s="21">
        <f>EXP(-LN(2)/25)*DG49+(1-EXP(-LN(2)/25))/(LN(2)/25)*Calculateur!DB50*Calculateur!DD50*VLOOKUP('Données projet'!$B$13,Paramètres!$A$1:$I$89,3,0)*0.475*44/12</f>
        <v>8.4166619169501367</v>
      </c>
      <c r="DH50" s="21">
        <f>EXP(-LN(2)/2)*DH49+(1-EXP(-LN(2)/2))/(LN(2)/2)*DB50*DE50*VLOOKUP('Données projet'!$B$13,Paramètres!$A$1:$I$89,3,0)*0.475*44/12</f>
        <v>3.2289515303370768</v>
      </c>
      <c r="DI50" s="22">
        <f t="shared" si="15"/>
        <v>15.065123717162649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11.25</v>
      </c>
      <c r="DO50" s="12">
        <f>IF('Données projet'!$A$166&gt;35,DO49+DN50-DW49,IF(A50&lt;'Données projet'!$A$166,$DL$205^A50,IF(A50='Données projet'!$A$166,'Données projet'!$B$166,DO49+DN50-DW49)))</f>
        <v>175.75</v>
      </c>
      <c r="DP50" s="17">
        <f>DO50*VLOOKUP('Données projet'!$B$14,Paramètres!$A$1:$I$89,3,0)*VLOOKUP('Données projet'!$B$14,Paramètres!$A$1:$I$89,5,0)</f>
        <v>178.2105</v>
      </c>
      <c r="DQ50" s="13">
        <f t="shared" si="43"/>
        <v>44.923824168926657</v>
      </c>
      <c r="DR50" s="20">
        <f t="shared" si="16"/>
        <v>388.62561459421386</v>
      </c>
      <c r="DS50" s="59">
        <f t="shared" si="17"/>
        <v>681.95894792754711</v>
      </c>
      <c r="DT50" s="59">
        <f ca="1">AVERAGE(OFFSET($DS$3,0,0,'Données projet'!$E$14+1,1))-AVERAGE(OFFSET($H$3,0,0,'Données projet'!$E$14+1,1))</f>
        <v>586.50020405958992</v>
      </c>
      <c r="DU50" s="59">
        <f t="shared" si="44"/>
        <v>304.44184537595294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10.161185957538079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10.161185957538079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13.6</v>
      </c>
      <c r="N51" s="13">
        <f>IF('Données projet'!$A$36&gt;35,N50+M51-V50,IF(A51&lt;'Données projet'!$A$36,$K$205^A51,IF(A51='Données projet'!$A$36,'Données projet'!$B$36,N50+M51-V50)))</f>
        <v>246.80000000000013</v>
      </c>
      <c r="O51" s="13">
        <f>N51*VLOOKUP('Données projet'!$B$9,Paramètres!$A$1:$I$89,3,0)*VLOOKUP('Données projet'!$B$9,Paramètres!$A$1:$I$89,5,0)</f>
        <v>211.75440000000012</v>
      </c>
      <c r="P51" s="13">
        <f t="shared" si="33"/>
        <v>52.318780408268793</v>
      </c>
      <c r="Q51" s="20">
        <f t="shared" si="53"/>
        <v>459.92745587773499</v>
      </c>
      <c r="R51" s="59">
        <f t="shared" si="0"/>
        <v>753.2607892110683</v>
      </c>
      <c r="S51" s="59">
        <f ca="1">AVERAGE(OFFSET($R$3,0,0,'Données projet'!$E$9+1,1))-AVERAGE(OFFSET($H$3,0,0,'Données projet'!$E$9+1,1))</f>
        <v>536.21423347711345</v>
      </c>
      <c r="T51" s="59">
        <f t="shared" si="34"/>
        <v>312.14361830038712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11.25</v>
      </c>
      <c r="AI51" s="13">
        <f>IF('Données projet'!$A$62&gt;35,AI50+AH51-AQ50,IF(A51&lt;'Données projet'!$A$62,$AF$205^A51,IF(A51='Données projet'!$A$62,'Données projet'!$B$62,AI50+AH51-AQ50)))</f>
        <v>187</v>
      </c>
      <c r="AJ51" s="13">
        <f>AI51*VLOOKUP('Données projet'!$B$10,Paramètres!$A$1:$I$89,3,0)*VLOOKUP('Données projet'!$B$10,Paramètres!$A$1:$I$89,5,0)</f>
        <v>169.19759999999999</v>
      </c>
      <c r="AK51" s="13">
        <f t="shared" si="35"/>
        <v>42.910263223432885</v>
      </c>
      <c r="AL51" s="20">
        <f t="shared" si="4"/>
        <v>369.42119511414558</v>
      </c>
      <c r="AM51" s="59">
        <f t="shared" si="5"/>
        <v>662.75452844747883</v>
      </c>
      <c r="AN51" s="59">
        <f ca="1">AVERAGE(OFFSET($AM$3,0,0,'Données projet'!$E$10+1,1))-AVERAGE(OFFSET($H$3,0,0,'Données projet'!$E$10+1,1))</f>
        <v>528.15559695545812</v>
      </c>
      <c r="AO51" s="59">
        <f t="shared" si="36"/>
        <v>276.26988364830532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8.8189694154490432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8.8189694154490432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13.6</v>
      </c>
      <c r="BD51" s="12">
        <f>IF('Données projet'!$A$88&gt;35,BD50+BC51-BL50,IF(A51&lt;'Données projet'!$A$88,$BA$205^A51,IF(A51='Données projet'!$A$88,'Données projet'!$B$88,BD50+BC51-BL50)))</f>
        <v>246.80000000000013</v>
      </c>
      <c r="BE51" s="13">
        <f>BD51*VLOOKUP('Données projet'!$B$11,Paramètres!$A$1:$I$89,3,0)*VLOOKUP('Données projet'!$B$11,Paramètres!$A$1:$I$89,5,0)</f>
        <v>180.95376000000007</v>
      </c>
      <c r="BF51" s="13">
        <f t="shared" si="37"/>
        <v>45.534314886343658</v>
      </c>
      <c r="BG51" s="20">
        <f t="shared" si="7"/>
        <v>394.46673042704862</v>
      </c>
      <c r="BH51" s="59">
        <f t="shared" si="8"/>
        <v>687.80006376038193</v>
      </c>
      <c r="BI51" s="59">
        <f ca="1">AVERAGE(OFFSET($BH$3,0,0,'Données projet'!$E$11+1,1))-AVERAGE(OFFSET($H$3,0,0,'Données projet'!$E$11+1,1))</f>
        <v>464.3681853739115</v>
      </c>
      <c r="BJ51" s="59">
        <f t="shared" si="38"/>
        <v>272.97841038165217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10.375</v>
      </c>
      <c r="BY51" s="12">
        <f>IF('Données projet'!$A$114&gt;35,BY50+BX51-CG50,IF(A51&lt;'Données projet'!$A$114,$BV$205^A51,IF(A51='Données projet'!$A$114,'Données projet'!$B$114,BY50+BX51-CG50)))</f>
        <v>228.49999999999991</v>
      </c>
      <c r="BZ51" s="13">
        <f>BY51*VLOOKUP('Données projet'!$B$12,Paramètres!$A$1:$I$89,3,0)*VLOOKUP('Données projet'!$B$12,Paramètres!$A$1:$I$89,5,0)</f>
        <v>178.22999999999993</v>
      </c>
      <c r="CA51" s="13">
        <f t="shared" si="39"/>
        <v>44.928167580487852</v>
      </c>
      <c r="CB51" s="20">
        <f t="shared" si="10"/>
        <v>388.66714186934951</v>
      </c>
      <c r="CC51" s="59">
        <f t="shared" si="11"/>
        <v>682.00047520268276</v>
      </c>
      <c r="CD51" s="59">
        <f ca="1">AVERAGE(OFFSET($CC$3,0,0,'Données projet'!$E$12+1,1))-AVERAGE(OFFSET($H$3,0,0,'Données projet'!$E$12+1,1))</f>
        <v>288.82868507674738</v>
      </c>
      <c r="CE51" s="59">
        <f t="shared" si="40"/>
        <v>283.48738729114024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4.2640444325072213</v>
      </c>
      <c r="CM51" s="21">
        <f>EXP(-LN(2)/2)*CM50+(1-EXP(-LN(2)/2))/(LN(2)/2)*CG51*CJ51*VLOOKUP('Données projet'!$B$12,Paramètres!$A$1:$I$89,3,0)*0.475*44/12</f>
        <v>3.1645892715864727</v>
      </c>
      <c r="CN51" s="22">
        <f t="shared" si="12"/>
        <v>7.4286337040936941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9.8000000000000007</v>
      </c>
      <c r="CT51" s="12">
        <f>IF('Données projet'!$A$140&gt;35,CT50+CS51-DB50,IF(A51&lt;'Données projet'!$A$140,$CQ$205^A51,IF(A51='Données projet'!$A$140,'Données projet'!$B$140,CT50+CS51-DB50)))</f>
        <v>283.39999999999992</v>
      </c>
      <c r="CU51" s="17">
        <f>CT51*VLOOKUP('Données projet'!$B$13,Paramètres!$A$1:$I$89,3,0)*VLOOKUP('Données projet'!$B$13,Paramètres!$A$1:$I$89,5,0)</f>
        <v>185.68367999999995</v>
      </c>
      <c r="CV51" s="13">
        <f t="shared" si="41"/>
        <v>46.584403282779078</v>
      </c>
      <c r="CW51" s="20">
        <f t="shared" si="13"/>
        <v>404.5335783841735</v>
      </c>
      <c r="CX51" s="59">
        <f t="shared" si="14"/>
        <v>697.86691171750681</v>
      </c>
      <c r="CY51" s="59">
        <f ca="1">AVERAGE(OFFSET($CX$3,0,0,'Données projet'!$E$13+1,1))-AVERAGE(OFFSET($H$3,0,0,'Données projet'!$E$13+1,1))</f>
        <v>340.49092994349405</v>
      </c>
      <c r="CZ51" s="59">
        <f t="shared" si="42"/>
        <v>331.54434271908832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3.3524557591784987</v>
      </c>
      <c r="DG51" s="21">
        <f>EXP(-LN(2)/25)*DG50+(1-EXP(-LN(2)/25))/(LN(2)/25)*Calculateur!DB51*Calculateur!DD51*VLOOKUP('Données projet'!$B$13,Paramètres!$A$1:$I$89,3,0)*0.475*44/12</f>
        <v>8.1865078542181209</v>
      </c>
      <c r="DH51" s="21">
        <f>EXP(-LN(2)/2)*DH50+(1-EXP(-LN(2)/2))/(LN(2)/2)*DB51*DE51*VLOOKUP('Données projet'!$B$13,Paramètres!$A$1:$I$89,3,0)*0.475*44/12</f>
        <v>2.2832135232240272</v>
      </c>
      <c r="DI51" s="22">
        <f t="shared" si="15"/>
        <v>13.822177136620647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11.25</v>
      </c>
      <c r="DO51" s="12">
        <f>IF('Données projet'!$A$166&gt;35,DO50+DN51-DW50,IF(A51&lt;'Données projet'!$A$166,$DL$205^A51,IF(A51='Données projet'!$A$166,'Données projet'!$B$166,DO50+DN51-DW50)))</f>
        <v>187</v>
      </c>
      <c r="DP51" s="17">
        <f>DO51*VLOOKUP('Données projet'!$B$14,Paramètres!$A$1:$I$89,3,0)*VLOOKUP('Données projet'!$B$14,Paramètres!$A$1:$I$89,5,0)</f>
        <v>189.61799999999999</v>
      </c>
      <c r="DQ51" s="13">
        <f t="shared" si="43"/>
        <v>47.4554881852685</v>
      </c>
      <c r="DR51" s="20">
        <f t="shared" si="16"/>
        <v>412.90299192267594</v>
      </c>
      <c r="DS51" s="59">
        <f t="shared" si="17"/>
        <v>706.2363252560092</v>
      </c>
      <c r="DT51" s="59">
        <f ca="1">AVERAGE(OFFSET($DS$3,0,0,'Données projet'!$E$14+1,1))-AVERAGE(OFFSET($H$3,0,0,'Données projet'!$E$14+1,1))</f>
        <v>586.50020405958992</v>
      </c>
      <c r="DU51" s="59">
        <f t="shared" si="44"/>
        <v>304.44184537595294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9.8833277931756545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9.8833277931756545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13.6</v>
      </c>
      <c r="N52" s="13">
        <f>IF('Données projet'!$A$36&gt;35,N51+M52-V51,IF(A52&lt;'Données projet'!$A$36,$K$205^A52,IF(A52='Données projet'!$A$36,'Données projet'!$B$36,N51+M52-V51)))</f>
        <v>260.40000000000015</v>
      </c>
      <c r="O52" s="13">
        <f>N52*VLOOKUP('Données projet'!$B$9,Paramètres!$A$1:$I$89,3,0)*VLOOKUP('Données projet'!$B$9,Paramètres!$A$1:$I$89,5,0)</f>
        <v>223.42320000000015</v>
      </c>
      <c r="P52" s="13">
        <f t="shared" si="33"/>
        <v>54.858231422257631</v>
      </c>
      <c r="Q52" s="20">
        <f t="shared" si="53"/>
        <v>484.67349306043229</v>
      </c>
      <c r="R52" s="59">
        <f t="shared" si="0"/>
        <v>778.00682639376555</v>
      </c>
      <c r="S52" s="59">
        <f ca="1">AVERAGE(OFFSET($R$3,0,0,'Données projet'!$E$9+1,1))-AVERAGE(OFFSET($H$3,0,0,'Données projet'!$E$9+1,1))</f>
        <v>536.21423347711345</v>
      </c>
      <c r="T52" s="59">
        <f t="shared" si="34"/>
        <v>312.14361830038712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11.25</v>
      </c>
      <c r="AI52" s="13">
        <f>IF('Données projet'!$A$62&gt;35,AI51+AH52-AQ51,IF(A52&lt;'Données projet'!$A$62,$AF$205^A52,IF(A52='Données projet'!$A$62,'Données projet'!$B$62,AI51+AH52-AQ51)))</f>
        <v>198.25</v>
      </c>
      <c r="AJ52" s="13">
        <f>AI52*VLOOKUP('Données projet'!$B$10,Paramètres!$A$1:$I$89,3,0)*VLOOKUP('Données projet'!$B$10,Paramètres!$A$1:$I$89,5,0)</f>
        <v>179.3766</v>
      </c>
      <c r="AK52" s="13">
        <f t="shared" si="35"/>
        <v>45.18346315973151</v>
      </c>
      <c r="AL52" s="20">
        <f t="shared" si="4"/>
        <v>391.10877666986568</v>
      </c>
      <c r="AM52" s="59">
        <f t="shared" si="5"/>
        <v>684.44211000319899</v>
      </c>
      <c r="AN52" s="59">
        <f ca="1">AVERAGE(OFFSET($AM$3,0,0,'Données projet'!$E$10+1,1))-AVERAGE(OFFSET($H$3,0,0,'Données projet'!$E$10+1,1))</f>
        <v>528.15559695545812</v>
      </c>
      <c r="AO52" s="59">
        <f t="shared" si="36"/>
        <v>276.26988364830532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8.5778142330141431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8.5778142330141431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13.6</v>
      </c>
      <c r="BD52" s="12">
        <f>IF('Données projet'!$A$88&gt;35,BD51+BC52-BL51,IF(A52&lt;'Données projet'!$A$88,$BA$205^A52,IF(A52='Données projet'!$A$88,'Données projet'!$B$88,BD51+BC52-BL51)))</f>
        <v>260.40000000000015</v>
      </c>
      <c r="BE52" s="13">
        <f>BD52*VLOOKUP('Données projet'!$B$11,Paramètres!$A$1:$I$89,3,0)*VLOOKUP('Données projet'!$B$11,Paramètres!$A$1:$I$89,5,0)</f>
        <v>190.9252800000001</v>
      </c>
      <c r="BF52" s="13">
        <f t="shared" si="37"/>
        <v>47.744461246925432</v>
      </c>
      <c r="BG52" s="20">
        <f t="shared" si="7"/>
        <v>415.68313267172863</v>
      </c>
      <c r="BH52" s="59">
        <f t="shared" si="8"/>
        <v>709.01646600506194</v>
      </c>
      <c r="BI52" s="59">
        <f ca="1">AVERAGE(OFFSET($BH$3,0,0,'Données projet'!$E$11+1,1))-AVERAGE(OFFSET($H$3,0,0,'Données projet'!$E$11+1,1))</f>
        <v>464.3681853739115</v>
      </c>
      <c r="BJ52" s="59">
        <f t="shared" si="38"/>
        <v>272.97841038165217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10.375</v>
      </c>
      <c r="BY52" s="12">
        <f>IF('Données projet'!$A$114&gt;35,BY51+BX52-CG51,IF(A52&lt;'Données projet'!$A$114,$BV$205^A52,IF(A52='Données projet'!$A$114,'Données projet'!$B$114,BY51+BX52-CG51)))</f>
        <v>238.87499999999991</v>
      </c>
      <c r="BZ52" s="13">
        <f>BY52*VLOOKUP('Données projet'!$B$12,Paramètres!$A$1:$I$89,3,0)*VLOOKUP('Données projet'!$B$12,Paramètres!$A$1:$I$89,5,0)</f>
        <v>186.32249999999993</v>
      </c>
      <c r="CA52" s="13">
        <f t="shared" si="39"/>
        <v>46.725987276254116</v>
      </c>
      <c r="CB52" s="20">
        <f t="shared" si="10"/>
        <v>405.8927820061424</v>
      </c>
      <c r="CC52" s="59">
        <f t="shared" si="11"/>
        <v>699.22611533947565</v>
      </c>
      <c r="CD52" s="59">
        <f ca="1">AVERAGE(OFFSET($CC$3,0,0,'Données projet'!$E$12+1,1))-AVERAGE(OFFSET($H$3,0,0,'Données projet'!$E$12+1,1))</f>
        <v>288.82868507674738</v>
      </c>
      <c r="CE52" s="59">
        <f t="shared" si="40"/>
        <v>283.48738729114024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4.1474439132639604</v>
      </c>
      <c r="CM52" s="21">
        <f>EXP(-LN(2)/2)*CM51+(1-EXP(-LN(2)/2))/(LN(2)/2)*CG52*CJ52*VLOOKUP('Données projet'!$B$12,Paramètres!$A$1:$I$89,3,0)*0.475*44/12</f>
        <v>2.2377025336089917</v>
      </c>
      <c r="CN52" s="22">
        <f t="shared" si="12"/>
        <v>6.3851464468729517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9.8000000000000007</v>
      </c>
      <c r="CT52" s="12">
        <f>IF('Données projet'!$A$140&gt;35,CT51+CS52-DB51,IF(A52&lt;'Données projet'!$A$140,$CQ$205^A52,IF(A52='Données projet'!$A$140,'Données projet'!$B$140,CT51+CS52-DB51)))</f>
        <v>293.19999999999993</v>
      </c>
      <c r="CU52" s="17">
        <f>CT52*VLOOKUP('Données projet'!$B$13,Paramètres!$A$1:$I$89,3,0)*VLOOKUP('Données projet'!$B$13,Paramètres!$A$1:$I$89,5,0)</f>
        <v>192.10463999999996</v>
      </c>
      <c r="CV52" s="13">
        <f t="shared" si="41"/>
        <v>48.004960126879922</v>
      </c>
      <c r="CW52" s="20">
        <f t="shared" si="13"/>
        <v>418.19088688764913</v>
      </c>
      <c r="CX52" s="59">
        <f t="shared" si="14"/>
        <v>711.52422022098244</v>
      </c>
      <c r="CY52" s="59">
        <f ca="1">AVERAGE(OFFSET($CX$3,0,0,'Données projet'!$E$13+1,1))-AVERAGE(OFFSET($H$3,0,0,'Données projet'!$E$13+1,1))</f>
        <v>340.49092994349405</v>
      </c>
      <c r="CZ52" s="59">
        <f t="shared" si="42"/>
        <v>331.54434271908832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3.2867161465371146</v>
      </c>
      <c r="DG52" s="21">
        <f>EXP(-LN(2)/25)*DG51+(1-EXP(-LN(2)/25))/(LN(2)/25)*Calculateur!DB52*Calculateur!DD52*VLOOKUP('Données projet'!$B$13,Paramètres!$A$1:$I$89,3,0)*0.475*44/12</f>
        <v>7.9626473664347888</v>
      </c>
      <c r="DH52" s="21">
        <f>EXP(-LN(2)/2)*DH51+(1-EXP(-LN(2)/2))/(LN(2)/2)*DB52*DE52*VLOOKUP('Données projet'!$B$13,Paramètres!$A$1:$I$89,3,0)*0.475*44/12</f>
        <v>1.6144757651685384</v>
      </c>
      <c r="DI52" s="22">
        <f t="shared" si="15"/>
        <v>12.863839278140443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11.25</v>
      </c>
      <c r="DO52" s="12">
        <f>IF('Données projet'!$A$166&gt;35,DO51+DN52-DW51,IF(A52&lt;'Données projet'!$A$166,$DL$205^A52,IF(A52='Données projet'!$A$166,'Données projet'!$B$166,DO51+DN52-DW51)))</f>
        <v>198.25</v>
      </c>
      <c r="DP52" s="17">
        <f>DO52*VLOOKUP('Données projet'!$B$14,Paramètres!$A$1:$I$89,3,0)*VLOOKUP('Données projet'!$B$14,Paramètres!$A$1:$I$89,5,0)</f>
        <v>201.02550000000002</v>
      </c>
      <c r="DQ52" s="13">
        <f t="shared" si="43"/>
        <v>49.969474458390742</v>
      </c>
      <c r="DR52" s="20">
        <f t="shared" si="16"/>
        <v>437.14958051503055</v>
      </c>
      <c r="DS52" s="59">
        <f t="shared" si="17"/>
        <v>730.48291384836386</v>
      </c>
      <c r="DT52" s="59">
        <f ca="1">AVERAGE(OFFSET($DS$3,0,0,'Données projet'!$E$14+1,1))-AVERAGE(OFFSET($H$3,0,0,'Données projet'!$E$14+1,1))</f>
        <v>586.50020405958992</v>
      </c>
      <c r="DU52" s="59">
        <f t="shared" si="44"/>
        <v>304.44184537595294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9.6130676749296455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9.6130676749296455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274</v>
      </c>
      <c r="L53" s="12">
        <f>VLOOKUP(A53,'Données projet'!$A$35:$I$55,9,0)</f>
        <v>13.6</v>
      </c>
      <c r="M53" s="12">
        <f t="array" ref="M53">INDEX(L:L,MIN(IF(ISNUMBER(L53:L249),ROW(L53:L249),"")))</f>
        <v>13.6</v>
      </c>
      <c r="N53" s="13">
        <f>IF('Données projet'!$A$36&gt;35,N52+M53-V52,IF(A53&lt;'Données projet'!$A$36,$K$205^A53,IF(A53='Données projet'!$A$36,'Données projet'!$B$36,N52+M53-V52)))</f>
        <v>274.00000000000017</v>
      </c>
      <c r="O53" s="13">
        <f>N53*VLOOKUP('Données projet'!$B$9,Paramètres!$A$1:$I$89,3,0)*VLOOKUP('Données projet'!$B$9,Paramètres!$A$1:$I$89,5,0)</f>
        <v>235.09200000000016</v>
      </c>
      <c r="P53" s="13">
        <f t="shared" si="33"/>
        <v>57.38228388709345</v>
      </c>
      <c r="Q53" s="20">
        <f t="shared" si="53"/>
        <v>509.39271110335471</v>
      </c>
      <c r="R53" s="59">
        <f t="shared" si="0"/>
        <v>802.72604443668797</v>
      </c>
      <c r="S53" s="59">
        <f ca="1">AVERAGE(OFFSET($R$3,0,0,'Données projet'!$E$9+1,1))-AVERAGE(OFFSET($H$3,0,0,'Données projet'!$E$9+1,1))</f>
        <v>536.21423347711345</v>
      </c>
      <c r="T53" s="59">
        <f t="shared" si="34"/>
        <v>312.14361830038712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35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0.26500000000000001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8.7626397712657376</v>
      </c>
      <c r="AB53" s="21">
        <f>EXP(-LN(2)/2)*AB52+(1-EXP(-LN(2)/2))/(LN(2)/2)*V53*Y53*VLOOKUP('Données projet'!$B$9,Paramètres!$A$1:$I$89,3,0)*0.475*44/12</f>
        <v>0</v>
      </c>
      <c r="AC53" s="22">
        <f t="shared" si="3"/>
        <v>8.7626397712657376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11.25</v>
      </c>
      <c r="AI53" s="13">
        <f>IF('Données projet'!$A$62&gt;35,AI52+AH53-AQ52,IF(A53&lt;'Données projet'!$A$62,$AF$205^A53,IF(A53='Données projet'!$A$62,'Données projet'!$B$62,AI52+AH53-AQ52)))</f>
        <v>209.5</v>
      </c>
      <c r="AJ53" s="13">
        <f>AI53*VLOOKUP('Données projet'!$B$10,Paramètres!$A$1:$I$89,3,0)*VLOOKUP('Données projet'!$B$10,Paramètres!$A$1:$I$89,5,0)</f>
        <v>189.5556</v>
      </c>
      <c r="AK53" s="13">
        <f t="shared" si="35"/>
        <v>47.441688934734636</v>
      </c>
      <c r="AL53" s="20">
        <f t="shared" si="4"/>
        <v>412.77027822799613</v>
      </c>
      <c r="AM53" s="59">
        <f t="shared" si="5"/>
        <v>706.10361156132944</v>
      </c>
      <c r="AN53" s="59">
        <f ca="1">AVERAGE(OFFSET($AM$3,0,0,'Données projet'!$E$10+1,1))-AVERAGE(OFFSET($H$3,0,0,'Données projet'!$E$10+1,1))</f>
        <v>528.15559695545812</v>
      </c>
      <c r="AO53" s="59">
        <f t="shared" si="36"/>
        <v>276.26988364830532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8.3432534517247259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8.3432534517247259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274</v>
      </c>
      <c r="BB53" s="12">
        <f>VLOOKUP(A53,'Données projet'!$A$87:$I$107,9,0)</f>
        <v>13.6</v>
      </c>
      <c r="BC53" s="12">
        <f t="array" ref="BC53">INDEX(BB:BB,MIN(IF(ISNUMBER(BB53:BB249),ROW(BB53:BB249),"")))</f>
        <v>13.6</v>
      </c>
      <c r="BD53" s="12">
        <f>IF('Données projet'!$A$88&gt;35,BD52+BC53-BL52,IF(A53&lt;'Données projet'!$A$88,$BA$205^A53,IF(A53='Données projet'!$A$88,'Données projet'!$B$88,BD52+BC53-BL52)))</f>
        <v>274.00000000000017</v>
      </c>
      <c r="BE53" s="13">
        <f>BD53*VLOOKUP('Données projet'!$B$11,Paramètres!$A$1:$I$89,3,0)*VLOOKUP('Données projet'!$B$11,Paramètres!$A$1:$I$89,5,0)</f>
        <v>200.89680000000016</v>
      </c>
      <c r="BF53" s="13">
        <f t="shared" si="37"/>
        <v>49.941205873360261</v>
      </c>
      <c r="BG53" s="20">
        <f t="shared" si="7"/>
        <v>436.8761935627694</v>
      </c>
      <c r="BH53" s="59">
        <f t="shared" si="8"/>
        <v>730.20952689610272</v>
      </c>
      <c r="BI53" s="59">
        <f ca="1">AVERAGE(OFFSET($BH$3,0,0,'Données projet'!$E$11+1,1))-AVERAGE(OFFSET($H$3,0,0,'Données projet'!$E$11+1,1))</f>
        <v>464.3681853739115</v>
      </c>
      <c r="BJ53" s="59">
        <f t="shared" si="38"/>
        <v>272.97841038165217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35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6.07522983798561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6.07522983798561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10.375</v>
      </c>
      <c r="BY53" s="12">
        <f>IF('Données projet'!$A$114&gt;35,BY52+BX53-CG52,IF(A53&lt;'Données projet'!$A$114,$BV$205^A53,IF(A53='Données projet'!$A$114,'Données projet'!$B$114,BY52+BX53-CG52)))</f>
        <v>249.24999999999991</v>
      </c>
      <c r="BZ53" s="13">
        <f>BY53*VLOOKUP('Données projet'!$B$12,Paramètres!$A$1:$I$89,3,0)*VLOOKUP('Données projet'!$B$12,Paramètres!$A$1:$I$89,5,0)</f>
        <v>194.41499999999994</v>
      </c>
      <c r="CA53" s="13">
        <f t="shared" si="39"/>
        <v>48.514737888684927</v>
      </c>
      <c r="CB53" s="20">
        <f t="shared" si="10"/>
        <v>423.10262682279273</v>
      </c>
      <c r="CC53" s="59">
        <f t="shared" si="11"/>
        <v>716.43596015612604</v>
      </c>
      <c r="CD53" s="59">
        <f ca="1">AVERAGE(OFFSET($CC$3,0,0,'Données projet'!$E$12+1,1))-AVERAGE(OFFSET($H$3,0,0,'Données projet'!$E$12+1,1))</f>
        <v>288.82868507674738</v>
      </c>
      <c r="CE53" s="59">
        <f t="shared" si="40"/>
        <v>283.48738729114024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4.0340318413511609</v>
      </c>
      <c r="CM53" s="21">
        <f>EXP(-LN(2)/2)*CM52+(1-EXP(-LN(2)/2))/(LN(2)/2)*CG53*CJ53*VLOOKUP('Données projet'!$B$12,Paramètres!$A$1:$I$89,3,0)*0.475*44/12</f>
        <v>1.5822946357932364</v>
      </c>
      <c r="CN53" s="22">
        <f t="shared" si="12"/>
        <v>5.6163264771443977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303</v>
      </c>
      <c r="CR53" s="12">
        <f>VLOOKUP(A53,'Données projet'!$A$139:$I$159,9,0)</f>
        <v>9.8000000000000007</v>
      </c>
      <c r="CS53" s="12">
        <f t="array" ref="CS53">INDEX(CR:CR,MIN(IF(ISNUMBER(CR53:CR249),ROW(CR53:CR249),"")))</f>
        <v>9.8000000000000007</v>
      </c>
      <c r="CT53" s="12">
        <f>IF('Données projet'!$A$140&gt;35,CT52+CS53-DB52,IF(A53&lt;'Données projet'!$A$140,$CQ$205^A53,IF(A53='Données projet'!$A$140,'Données projet'!$B$140,CT52+CS53-DB52)))</f>
        <v>302.99999999999994</v>
      </c>
      <c r="CU53" s="17">
        <f>CT53*VLOOKUP('Données projet'!$B$13,Paramètres!$A$1:$I$89,3,0)*VLOOKUP('Données projet'!$B$13,Paramètres!$A$1:$I$89,5,0)</f>
        <v>198.52559999999997</v>
      </c>
      <c r="CV53" s="13">
        <f t="shared" si="41"/>
        <v>49.419999823587155</v>
      </c>
      <c r="CW53" s="20">
        <f t="shared" si="13"/>
        <v>431.83858635941419</v>
      </c>
      <c r="CX53" s="59">
        <f t="shared" si="14"/>
        <v>725.17191969274745</v>
      </c>
      <c r="CY53" s="59">
        <f ca="1">AVERAGE(OFFSET($CX$3,0,0,'Données projet'!$E$13+1,1))-AVERAGE(OFFSET($H$3,0,0,'Données projet'!$E$13+1,1))</f>
        <v>340.49092994349405</v>
      </c>
      <c r="CZ53" s="59">
        <f t="shared" si="42"/>
        <v>331.54434271908832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21</v>
      </c>
      <c r="DC53" s="16">
        <f>IF(ISNA(VLOOKUP(A53,'Données projet'!$A$139:$I$159,5,0)),0%,VLOOKUP(A53,'Données projet'!$A$139:$I$159,5,0)*VLOOKUP('Données projet'!$B$13,Paramètres!$A$1:$I$89,7,0))</f>
        <v>0.215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0.3</v>
      </c>
      <c r="DF53" s="21">
        <f>EXP(-LN(2)/35)*DF52+(1-EXP(-LN(2)/35))/(LN(2)/35)*DB53*DC53*VLOOKUP('Données projet'!$B$13,Paramètres!$A$1:$I$89,3,0)*0.475*44/12</f>
        <v>6.4924990775074232</v>
      </c>
      <c r="DG53" s="21">
        <f>EXP(-LN(2)/25)*DG52+(1-EXP(-LN(2)/25))/(LN(2)/25)*Calculateur!DB53*Calculateur!DD53*VLOOKUP('Données projet'!$B$13,Paramètres!$A$1:$I$89,3,0)*0.475*44/12</f>
        <v>7.7449083554622034</v>
      </c>
      <c r="DH53" s="21">
        <f>EXP(-LN(2)/2)*DH52+(1-EXP(-LN(2)/2))/(LN(2)/2)*DB53*DE53*VLOOKUP('Données projet'!$B$13,Paramètres!$A$1:$I$89,3,0)*0.475*44/12</f>
        <v>5.0362594186435503</v>
      </c>
      <c r="DI53" s="22">
        <f t="shared" si="15"/>
        <v>19.273666851613175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11.25</v>
      </c>
      <c r="DO53" s="12">
        <f>IF('Données projet'!$A$166&gt;35,DO52+DN53-DW52,IF(A53&lt;'Données projet'!$A$166,$DL$205^A53,IF(A53='Données projet'!$A$166,'Données projet'!$B$166,DO52+DN53-DW52)))</f>
        <v>209.5</v>
      </c>
      <c r="DP53" s="17">
        <f>DO53*VLOOKUP('Données projet'!$B$14,Paramètres!$A$1:$I$89,3,0)*VLOOKUP('Données projet'!$B$14,Paramètres!$A$1:$I$89,5,0)</f>
        <v>212.43300000000002</v>
      </c>
      <c r="DQ53" s="13">
        <f t="shared" si="43"/>
        <v>52.466900447770541</v>
      </c>
      <c r="DR53" s="20">
        <f t="shared" si="16"/>
        <v>461.36732661320042</v>
      </c>
      <c r="DS53" s="59">
        <f t="shared" si="17"/>
        <v>754.70065994653373</v>
      </c>
      <c r="DT53" s="59">
        <f ca="1">AVERAGE(OFFSET($DS$3,0,0,'Données projet'!$E$14+1,1))-AVERAGE(OFFSET($H$3,0,0,'Données projet'!$E$14+1,1))</f>
        <v>586.50020405958992</v>
      </c>
      <c r="DU53" s="59">
        <f t="shared" si="44"/>
        <v>304.44184537595294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9.3501978338294371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9.3501978338294371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13.4</v>
      </c>
      <c r="N54" s="13">
        <f>IF('Données projet'!$A$36&gt;35,N53+M54-V53,IF(A54&lt;'Données projet'!$A$36,$K$205^A54,IF(A54='Données projet'!$A$36,'Données projet'!$B$36,N53+M54-V53)))</f>
        <v>252.40000000000015</v>
      </c>
      <c r="O54" s="13">
        <f>N54*VLOOKUP('Données projet'!$B$9,Paramètres!$A$1:$I$89,3,0)*VLOOKUP('Données projet'!$B$9,Paramètres!$A$1:$I$89,5,0)</f>
        <v>216.55920000000012</v>
      </c>
      <c r="P54" s="13">
        <f t="shared" si="33"/>
        <v>53.366360125240526</v>
      </c>
      <c r="Q54" s="20">
        <f t="shared" si="53"/>
        <v>470.12035055146072</v>
      </c>
      <c r="R54" s="59">
        <f t="shared" si="0"/>
        <v>763.45368388479403</v>
      </c>
      <c r="S54" s="59">
        <f ca="1">AVERAGE(OFFSET($R$3,0,0,'Données projet'!$E$9+1,1))-AVERAGE(OFFSET($H$3,0,0,'Données projet'!$E$9+1,1))</f>
        <v>536.21423347711345</v>
      </c>
      <c r="T54" s="59">
        <f t="shared" si="34"/>
        <v>312.14361830038712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8.523024925913278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8.523024925913278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11.25</v>
      </c>
      <c r="AI54" s="13">
        <f>IF('Données projet'!$A$62&gt;35,AI53+AH54-AQ53,IF(A54&lt;'Données projet'!$A$62,$AF$205^A54,IF(A54='Données projet'!$A$62,'Données projet'!$B$62,AI53+AH54-AQ53)))</f>
        <v>220.75</v>
      </c>
      <c r="AJ54" s="13">
        <f>AI54*VLOOKUP('Données projet'!$B$10,Paramètres!$A$1:$I$89,3,0)*VLOOKUP('Données projet'!$B$10,Paramètres!$A$1:$I$89,5,0)</f>
        <v>199.7346</v>
      </c>
      <c r="AK54" s="13">
        <f t="shared" si="35"/>
        <v>49.685836331348902</v>
      </c>
      <c r="AL54" s="20">
        <f t="shared" si="4"/>
        <v>434.40725994376595</v>
      </c>
      <c r="AM54" s="59">
        <f t="shared" si="5"/>
        <v>727.74059327709926</v>
      </c>
      <c r="AN54" s="59">
        <f ca="1">AVERAGE(OFFSET($AM$3,0,0,'Données projet'!$E$10+1,1))-AVERAGE(OFFSET($H$3,0,0,'Données projet'!$E$10+1,1))</f>
        <v>528.15559695545812</v>
      </c>
      <c r="AO54" s="59">
        <f t="shared" si="36"/>
        <v>276.26988364830532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8.1151067473346838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8.1151067473346838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</v>
      </c>
      <c r="BD54" s="12">
        <f>IF('Données projet'!$A$88&gt;35,BD53+BC54-BL53,IF(A54&lt;'Données projet'!$A$88,$BA$205^A54,IF(A54='Données projet'!$A$88,'Données projet'!$B$88,BD53+BC54-BL53)))</f>
        <v>252.40000000000015</v>
      </c>
      <c r="BE54" s="13">
        <f>BD54*VLOOKUP('Données projet'!$B$11,Paramètres!$A$1:$I$89,3,0)*VLOOKUP('Données projet'!$B$11,Paramètres!$A$1:$I$89,5,0)</f>
        <v>185.0596800000001</v>
      </c>
      <c r="BF54" s="13">
        <f t="shared" si="37"/>
        <v>46.44604914943055</v>
      </c>
      <c r="BG54" s="20">
        <f t="shared" si="7"/>
        <v>403.20581160192501</v>
      </c>
      <c r="BH54" s="59">
        <f t="shared" si="8"/>
        <v>696.53914493525826</v>
      </c>
      <c r="BI54" s="59">
        <f ca="1">AVERAGE(OFFSET($BH$3,0,0,'Données projet'!$E$11+1,1))-AVERAGE(OFFSET($H$3,0,0,'Données projet'!$E$11+1,1))</f>
        <v>464.3681853739115</v>
      </c>
      <c r="BJ54" s="59">
        <f t="shared" si="38"/>
        <v>272.97841038165217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5.909102358583441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5.909102358583441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10.375</v>
      </c>
      <c r="BY54" s="12">
        <f>IF('Données projet'!$A$114&gt;35,BY53+BX54-CG53,IF(A54&lt;'Données projet'!$A$114,$BV$205^A54,IF(A54='Données projet'!$A$114,'Données projet'!$B$114,BY53+BX54-CG53)))</f>
        <v>259.62499999999989</v>
      </c>
      <c r="BZ54" s="13">
        <f>BY54*VLOOKUP('Données projet'!$B$12,Paramètres!$A$1:$I$89,3,0)*VLOOKUP('Données projet'!$B$12,Paramètres!$A$1:$I$89,5,0)</f>
        <v>202.50749999999991</v>
      </c>
      <c r="CA54" s="13">
        <f t="shared" si="39"/>
        <v>50.294840086606349</v>
      </c>
      <c r="CB54" s="20">
        <f t="shared" si="10"/>
        <v>440.29740898417253</v>
      </c>
      <c r="CC54" s="59">
        <f t="shared" si="11"/>
        <v>733.63074231750579</v>
      </c>
      <c r="CD54" s="59">
        <f ca="1">AVERAGE(OFFSET($CC$3,0,0,'Données projet'!$E$12+1,1))-AVERAGE(OFFSET($H$3,0,0,'Données projet'!$E$12+1,1))</f>
        <v>288.82868507674738</v>
      </c>
      <c r="CE54" s="59">
        <f t="shared" si="40"/>
        <v>283.48738729114024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3.9237210285088988</v>
      </c>
      <c r="CM54" s="21">
        <f>EXP(-LN(2)/2)*CM53+(1-EXP(-LN(2)/2))/(LN(2)/2)*CG54*CJ54*VLOOKUP('Données projet'!$B$12,Paramètres!$A$1:$I$89,3,0)*0.475*44/12</f>
        <v>1.1188512668044959</v>
      </c>
      <c r="CN54" s="22">
        <f t="shared" si="12"/>
        <v>5.0425722953133949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8.4</v>
      </c>
      <c r="CT54" s="12">
        <f>IF('Données projet'!$A$140&gt;35,CT53+CS54-DB53,IF(A54&lt;'Données projet'!$A$140,$CQ$205^A54,IF(A54='Données projet'!$A$140,'Données projet'!$B$140,CT53+CS54-DB53)))</f>
        <v>290.39999999999992</v>
      </c>
      <c r="CU54" s="17">
        <f>CT54*VLOOKUP('Données projet'!$B$13,Paramètres!$A$1:$I$89,3,0)*VLOOKUP('Données projet'!$B$13,Paramètres!$A$1:$I$89,5,0)</f>
        <v>190.27007999999995</v>
      </c>
      <c r="CV54" s="13">
        <f t="shared" si="41"/>
        <v>47.599658767320413</v>
      </c>
      <c r="CW54" s="20">
        <f t="shared" si="13"/>
        <v>414.28979501974959</v>
      </c>
      <c r="CX54" s="59">
        <f t="shared" si="14"/>
        <v>707.62312835308285</v>
      </c>
      <c r="CY54" s="59">
        <f ca="1">AVERAGE(OFFSET($CX$3,0,0,'Données projet'!$E$13+1,1))-AVERAGE(OFFSET($H$3,0,0,'Données projet'!$E$13+1,1))</f>
        <v>340.49092994349405</v>
      </c>
      <c r="CZ54" s="59">
        <f t="shared" si="42"/>
        <v>331.54434271908832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6.3651851306309188</v>
      </c>
      <c r="DG54" s="21">
        <f>EXP(-LN(2)/25)*DG53+(1-EXP(-LN(2)/25))/(LN(2)/25)*Calculateur!DB54*Calculateur!DD54*VLOOKUP('Données projet'!$B$13,Paramètres!$A$1:$I$89,3,0)*0.475*44/12</f>
        <v>7.5331234291950606</v>
      </c>
      <c r="DH54" s="21">
        <f>EXP(-LN(2)/2)*DH53+(1-EXP(-LN(2)/2))/(LN(2)/2)*DB54*DE54*VLOOKUP('Données projet'!$B$13,Paramètres!$A$1:$I$89,3,0)*0.475*44/12</f>
        <v>3.5611731867374741</v>
      </c>
      <c r="DI54" s="22">
        <f t="shared" si="15"/>
        <v>17.459481746563455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11.25</v>
      </c>
      <c r="DO54" s="12">
        <f>IF('Données projet'!$A$166&gt;35,DO53+DN54-DW53,IF(A54&lt;'Données projet'!$A$166,$DL$205^A54,IF(A54='Données projet'!$A$166,'Données projet'!$B$166,DO53+DN54-DW53)))</f>
        <v>220.75</v>
      </c>
      <c r="DP54" s="17">
        <f>DO54*VLOOKUP('Données projet'!$B$14,Paramètres!$A$1:$I$89,3,0)*VLOOKUP('Données projet'!$B$14,Paramètres!$A$1:$I$89,5,0)</f>
        <v>223.84050000000002</v>
      </c>
      <c r="DQ54" s="13">
        <f t="shared" si="43"/>
        <v>54.948756821186457</v>
      </c>
      <c r="DR54" s="20">
        <f t="shared" si="16"/>
        <v>485.55795563023315</v>
      </c>
      <c r="DS54" s="59">
        <f t="shared" si="17"/>
        <v>778.89128896356647</v>
      </c>
      <c r="DT54" s="59">
        <f ca="1">AVERAGE(OFFSET($DS$3,0,0,'Données projet'!$E$14+1,1))-AVERAGE(OFFSET($H$3,0,0,'Données projet'!$E$14+1,1))</f>
        <v>586.50020405958992</v>
      </c>
      <c r="DU54" s="59">
        <f t="shared" si="44"/>
        <v>304.44184537595294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9.0945161823578378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9.0945161823578378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13.4</v>
      </c>
      <c r="N55" s="13">
        <f>IF('Données projet'!$A$36&gt;35,N54+M55-V54,IF(A55&lt;'Données projet'!$A$36,$K$205^A55,IF(A55='Données projet'!$A$36,'Données projet'!$B$36,N54+M55-V54)))</f>
        <v>265.80000000000013</v>
      </c>
      <c r="O55" s="13">
        <f>N55*VLOOKUP('Données projet'!$B$9,Paramètres!$A$1:$I$89,3,0)*VLOOKUP('Données projet'!$B$9,Paramètres!$A$1:$I$89,5,0)</f>
        <v>228.05640000000014</v>
      </c>
      <c r="P55" s="13">
        <f t="shared" si="33"/>
        <v>55.862222430632038</v>
      </c>
      <c r="Q55" s="20">
        <f t="shared" si="53"/>
        <v>494.49160073335105</v>
      </c>
      <c r="R55" s="59">
        <f t="shared" si="0"/>
        <v>787.82493406668436</v>
      </c>
      <c r="S55" s="59">
        <f ca="1">AVERAGE(OFFSET($R$3,0,0,'Données projet'!$E$9+1,1))-AVERAGE(OFFSET($H$3,0,0,'Données projet'!$E$9+1,1))</f>
        <v>536.21423347711345</v>
      </c>
      <c r="T55" s="59">
        <f t="shared" si="34"/>
        <v>312.14361830038712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8.2899623611077775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8.2899623611077775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232</v>
      </c>
      <c r="AG55" s="12">
        <f>VLOOKUP(A55,'Données projet'!$A$61:$I$81,9,0)</f>
        <v>11.25</v>
      </c>
      <c r="AH55" s="12">
        <f t="array" ref="AH55">INDEX(AG:AG,MIN(IF(ISNUMBER(AG55:AG251),ROW(AG55:AG251),"")))</f>
        <v>11.25</v>
      </c>
      <c r="AI55" s="13">
        <f>IF('Données projet'!$A$62&gt;35,AI54+AH55-AQ54,IF(A55&lt;'Données projet'!$A$62,$AF$205^A55,IF(A55='Données projet'!$A$62,'Données projet'!$B$62,AI54+AH55-AQ54)))</f>
        <v>232</v>
      </c>
      <c r="AJ55" s="13">
        <f>AI55*VLOOKUP('Données projet'!$B$10,Paramètres!$A$1:$I$89,3,0)*VLOOKUP('Données projet'!$B$10,Paramètres!$A$1:$I$89,5,0)</f>
        <v>209.9136</v>
      </c>
      <c r="AK55" s="13">
        <f t="shared" si="35"/>
        <v>51.916704672341318</v>
      </c>
      <c r="AL55" s="20">
        <f t="shared" si="4"/>
        <v>456.02111397099435</v>
      </c>
      <c r="AM55" s="59">
        <f t="shared" si="5"/>
        <v>749.35444730432766</v>
      </c>
      <c r="AN55" s="59">
        <f ca="1">AVERAGE(OFFSET($AM$3,0,0,'Données projet'!$E$10+1,1))-AVERAGE(OFFSET($H$3,0,0,'Données projet'!$E$10+1,1))</f>
        <v>528.15559695545812</v>
      </c>
      <c r="AO55" s="59">
        <f t="shared" si="36"/>
        <v>276.26988364830532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63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0.215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21.387964579461087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21.387964579461087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</v>
      </c>
      <c r="BD55" s="12">
        <f>IF('Données projet'!$A$88&gt;35,BD54+BC55-BL54,IF(A55&lt;'Données projet'!$A$88,$BA$205^A55,IF(A55='Données projet'!$A$88,'Données projet'!$B$88,BD54+BC55-BL54)))</f>
        <v>265.80000000000013</v>
      </c>
      <c r="BE55" s="13">
        <f>BD55*VLOOKUP('Données projet'!$B$11,Paramètres!$A$1:$I$89,3,0)*VLOOKUP('Données projet'!$B$11,Paramètres!$A$1:$I$89,5,0)</f>
        <v>194.88456000000011</v>
      </c>
      <c r="BF55" s="13">
        <f t="shared" si="37"/>
        <v>48.618259190257319</v>
      </c>
      <c r="BG55" s="20">
        <f t="shared" si="7"/>
        <v>424.10074342303164</v>
      </c>
      <c r="BH55" s="59">
        <f t="shared" si="8"/>
        <v>717.4340767563649</v>
      </c>
      <c r="BI55" s="59">
        <f ca="1">AVERAGE(OFFSET($BH$3,0,0,'Données projet'!$E$11+1,1))-AVERAGE(OFFSET($H$3,0,0,'Données projet'!$E$11+1,1))</f>
        <v>464.3681853739115</v>
      </c>
      <c r="BJ55" s="59">
        <f t="shared" si="38"/>
        <v>272.97841038165217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5.747517643841789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5.747517643841789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270</v>
      </c>
      <c r="BW55" s="12">
        <f>VLOOKUP(A55,'Données projet'!$A$113:$I$133,9,0)</f>
        <v>10.375</v>
      </c>
      <c r="BX55" s="12">
        <f t="array" ref="BX55">INDEX(BW:BW,MIN(IF(ISNUMBER(BW55:BW251),ROW(BW55:BW251),"")))</f>
        <v>10.375</v>
      </c>
      <c r="BY55" s="12">
        <f>IF('Données projet'!$A$114&gt;35,BY54+BX55-CG54,IF(A55&lt;'Données projet'!$A$114,$BV$205^A55,IF(A55='Données projet'!$A$114,'Données projet'!$B$114,BY54+BX55-CG54)))</f>
        <v>269.99999999999989</v>
      </c>
      <c r="BZ55" s="13">
        <f>BY55*VLOOKUP('Données projet'!$B$12,Paramètres!$A$1:$I$89,3,0)*VLOOKUP('Données projet'!$B$12,Paramètres!$A$1:$I$89,5,0)</f>
        <v>210.59999999999991</v>
      </c>
      <c r="CA55" s="13">
        <f t="shared" si="39"/>
        <v>52.066679014659961</v>
      </c>
      <c r="CB55" s="20">
        <f t="shared" si="10"/>
        <v>457.47779928386586</v>
      </c>
      <c r="CC55" s="59">
        <f t="shared" si="11"/>
        <v>750.81113261719918</v>
      </c>
      <c r="CD55" s="59">
        <f ca="1">AVERAGE(OFFSET($CC$3,0,0,'Données projet'!$E$12+1,1))-AVERAGE(OFFSET($H$3,0,0,'Données projet'!$E$12+1,1))</f>
        <v>288.82868507674738</v>
      </c>
      <c r="CE55" s="59">
        <f t="shared" si="40"/>
        <v>283.48738729114024</v>
      </c>
      <c r="CF55" s="15">
        <f>IF(ISNA(VLOOKUP(A55,'Données projet'!$A$113:$I$133,3,0)),0,VLOOKUP(A55,'Données projet'!$A$113:$I$133,3,0))</f>
        <v>7</v>
      </c>
      <c r="CG55" s="15">
        <f>IF(ISNA(VLOOKUP(A55,'Données projet'!$A$113:$I$133,4,0)),0,VLOOKUP(A55,'Données projet'!$A$113:$I$133,4,0))</f>
        <v>48</v>
      </c>
      <c r="CH55" s="16">
        <f>IF(ISNA(VLOOKUP(A55,'Données projet'!$A$113:$I$133,5,0)),0%,VLOOKUP(A55,'Données projet'!$A$113:$I$133,5,0)*VLOOKUP('Données projet'!$B$12,Paramètres!$A$1:$I$89,7,0))</f>
        <v>4.3000000000000003E-2</v>
      </c>
      <c r="CI55" s="16">
        <f>IF(ISNA(VLOOKUP(A55,'Données projet'!$A$113:$I$133,6,0)),0%,VLOOKUP(A55,'Données projet'!$A$113:$I$133,6,0)*VLOOKUP('Données projet'!$B$12,Paramètres!$A$1:$I$89,7,0))</f>
        <v>0.17200000000000001</v>
      </c>
      <c r="CJ55" s="16">
        <f>IF(ISNA(VLOOKUP(A55,'Données projet'!$A$113:$I$133,7,0)),0%,VLOOKUP(A55,'Données projet'!$A$113:$I$133,7,0))</f>
        <v>0.3</v>
      </c>
      <c r="CK55" s="21">
        <f>EXP(-LN(2)/35)*CK54+(1-EXP(-LN(2)/35))/(LN(2)/35)*CG55*CH55*VLOOKUP('Données projet'!$B$12,Paramètres!$A$1:$I$89,3,0)*0.475*44/12</f>
        <v>1.7797188734176874</v>
      </c>
      <c r="CL55" s="21">
        <f>EXP(-LN(2)/25)*CL54+(1-EXP(-LN(2)/25))/(LN(2)/25)*Calculateur!CG55*Calculateur!CI55*VLOOKUP('Données projet'!$B$12,Paramètres!$A$1:$I$89,3,0)*0.475*44/12</f>
        <v>10.907272438992749</v>
      </c>
      <c r="CM55" s="21">
        <f>EXP(-LN(2)/2)*CM54+(1-EXP(-LN(2)/2))/(LN(2)/2)*CG55*CJ55*VLOOKUP('Données projet'!$B$12,Paramètres!$A$1:$I$89,3,0)*0.475*44/12</f>
        <v>11.388841622744337</v>
      </c>
      <c r="CN55" s="22">
        <f t="shared" si="12"/>
        <v>24.075832935154772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8.4</v>
      </c>
      <c r="CT55" s="12">
        <f>IF('Données projet'!$A$140&gt;35,CT54+CS55-DB54,IF(A55&lt;'Données projet'!$A$140,$CQ$205^A55,IF(A55='Données projet'!$A$140,'Données projet'!$B$140,CT54+CS55-DB54)))</f>
        <v>298.7999999999999</v>
      </c>
      <c r="CU55" s="17">
        <f>CT55*VLOOKUP('Données projet'!$B$13,Paramètres!$A$1:$I$89,3,0)*VLOOKUP('Données projet'!$B$13,Paramètres!$A$1:$I$89,5,0)</f>
        <v>195.77375999999992</v>
      </c>
      <c r="CV55" s="13">
        <f t="shared" si="41"/>
        <v>48.814216733702644</v>
      </c>
      <c r="CW55" s="20">
        <f t="shared" si="13"/>
        <v>425.99072614453195</v>
      </c>
      <c r="CX55" s="59">
        <f t="shared" si="14"/>
        <v>719.32405947786526</v>
      </c>
      <c r="CY55" s="59">
        <f ca="1">AVERAGE(OFFSET($CX$3,0,0,'Données projet'!$E$13+1,1))-AVERAGE(OFFSET($H$3,0,0,'Données projet'!$E$13+1,1))</f>
        <v>340.49092994349405</v>
      </c>
      <c r="CZ55" s="59">
        <f t="shared" si="42"/>
        <v>331.54434271908832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6.2403677325988234</v>
      </c>
      <c r="DG55" s="21">
        <f>EXP(-LN(2)/25)*DG54+(1-EXP(-LN(2)/25))/(LN(2)/25)*Calculateur!DB55*Calculateur!DD55*VLOOKUP('Données projet'!$B$13,Paramètres!$A$1:$I$89,3,0)*0.475*44/12</f>
        <v>7.3271297728739775</v>
      </c>
      <c r="DH55" s="21">
        <f>EXP(-LN(2)/2)*DH54+(1-EXP(-LN(2)/2))/(LN(2)/2)*DB55*DE55*VLOOKUP('Données projet'!$B$13,Paramètres!$A$1:$I$89,3,0)*0.475*44/12</f>
        <v>2.5181297093217756</v>
      </c>
      <c r="DI55" s="22">
        <f t="shared" si="15"/>
        <v>16.085627214794577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232</v>
      </c>
      <c r="DM55" s="12">
        <f>VLOOKUP(A55,'Données projet'!$A$165:$I$185,9,0)</f>
        <v>11.25</v>
      </c>
      <c r="DN55" s="12">
        <f t="array" ref="DN55">INDEX(DM:DM,MIN(IF(ISNUMBER(DM55:DM251),ROW(DM55:DM251),"")))</f>
        <v>11.25</v>
      </c>
      <c r="DO55" s="12">
        <f>IF('Données projet'!$A$166&gt;35,DO54+DN55-DW54,IF(A55&lt;'Données projet'!$A$166,$DL$205^A55,IF(A55='Données projet'!$A$166,'Données projet'!$B$166,DO54+DN55-DW54)))</f>
        <v>232</v>
      </c>
      <c r="DP55" s="17">
        <f>DO55*VLOOKUP('Données projet'!$B$14,Paramètres!$A$1:$I$89,3,0)*VLOOKUP('Données projet'!$B$14,Paramètres!$A$1:$I$89,5,0)</f>
        <v>235.24800000000002</v>
      </c>
      <c r="DQ55" s="13">
        <f t="shared" si="43"/>
        <v>57.41592756883739</v>
      </c>
      <c r="DR55" s="20">
        <f t="shared" si="16"/>
        <v>509.72300718239177</v>
      </c>
      <c r="DS55" s="59">
        <f t="shared" si="17"/>
        <v>803.05634051572508</v>
      </c>
      <c r="DT55" s="59">
        <f ca="1">AVERAGE(OFFSET($DS$3,0,0,'Données projet'!$E$14+1,1))-AVERAGE(OFFSET($H$3,0,0,'Données projet'!$E$14+1,1))</f>
        <v>586.50020405958992</v>
      </c>
      <c r="DU55" s="59">
        <f t="shared" si="44"/>
        <v>304.44184537595294</v>
      </c>
      <c r="DV55" s="15">
        <f>IF(ISNA(VLOOKUP(A55,'Données projet'!$A$165:$I$185,3,0)),0,VLOOKUP(A55,'Données projet'!$A$165:$I$185,3,0))</f>
        <v>3</v>
      </c>
      <c r="DW55" s="15">
        <f>IF(ISNA(VLOOKUP(A55,'Données projet'!$A$165:$I$185,4,0)),0,VLOOKUP(A55,'Données projet'!$A$165:$I$185,4,0))</f>
        <v>63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0.215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23.969270649396051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23.969270649396051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13.4</v>
      </c>
      <c r="N56" s="13">
        <f>IF('Données projet'!$A$36&gt;35,N55+M56-V55,IF(A56&lt;'Données projet'!$A$36,$K$205^A56,IF(A56='Données projet'!$A$36,'Données projet'!$B$36,N55+M56-V55)))</f>
        <v>279.2000000000001</v>
      </c>
      <c r="O56" s="13">
        <f>N56*VLOOKUP('Données projet'!$B$9,Paramètres!$A$1:$I$89,3,0)*VLOOKUP('Données projet'!$B$9,Paramètres!$A$1:$I$89,5,0)</f>
        <v>239.5536000000001</v>
      </c>
      <c r="P56" s="13">
        <f t="shared" si="33"/>
        <v>58.343474943343601</v>
      </c>
      <c r="Q56" s="20">
        <f t="shared" si="53"/>
        <v>518.83740552632355</v>
      </c>
      <c r="R56" s="59">
        <f t="shared" si="0"/>
        <v>812.17073885965692</v>
      </c>
      <c r="S56" s="59">
        <f ca="1">AVERAGE(OFFSET($R$3,0,0,'Données projet'!$E$9+1,1))-AVERAGE(OFFSET($H$3,0,0,'Données projet'!$E$9+1,1))</f>
        <v>536.21423347711345</v>
      </c>
      <c r="T56" s="59">
        <f t="shared" si="34"/>
        <v>312.14361830038712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8.0632729043931111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8.0632729043931111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10.125</v>
      </c>
      <c r="AI56" s="13">
        <f>IF('Données projet'!$A$62&gt;35,AI55+AH56-AQ55,IF(A56&lt;'Données projet'!$A$62,$AF$205^A56,IF(A56='Données projet'!$A$62,'Données projet'!$B$62,AI55+AH56-AQ55)))</f>
        <v>179.125</v>
      </c>
      <c r="AJ56" s="13">
        <f>AI56*VLOOKUP('Données projet'!$B$10,Paramètres!$A$1:$I$89,3,0)*VLOOKUP('Données projet'!$B$10,Paramètres!$A$1:$I$89,5,0)</f>
        <v>162.07230000000001</v>
      </c>
      <c r="AK56" s="13">
        <f t="shared" si="35"/>
        <v>41.309577807279609</v>
      </c>
      <c r="AL56" s="20">
        <f t="shared" si="4"/>
        <v>354.223437181012</v>
      </c>
      <c r="AM56" s="59">
        <f t="shared" si="5"/>
        <v>647.55677051434532</v>
      </c>
      <c r="AN56" s="59">
        <f ca="1">AVERAGE(OFFSET($AM$3,0,0,'Données projet'!$E$10+1,1))-AVERAGE(OFFSET($H$3,0,0,'Données projet'!$E$10+1,1))</f>
        <v>528.15559695545812</v>
      </c>
      <c r="AO56" s="59">
        <f t="shared" si="36"/>
        <v>276.26988364830532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20.803109563291549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20.803109563291549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</v>
      </c>
      <c r="BD56" s="12">
        <f>IF('Données projet'!$A$88&gt;35,BD55+BC56-BL55,IF(A56&lt;'Données projet'!$A$88,$BA$205^A56,IF(A56='Données projet'!$A$88,'Données projet'!$B$88,BD55+BC56-BL55)))</f>
        <v>279.2000000000001</v>
      </c>
      <c r="BE56" s="13">
        <f>BD56*VLOOKUP('Données projet'!$B$11,Paramètres!$A$1:$I$89,3,0)*VLOOKUP('Données projet'!$B$11,Paramètres!$A$1:$I$89,5,0)</f>
        <v>204.70944000000009</v>
      </c>
      <c r="BF56" s="13">
        <f t="shared" si="37"/>
        <v>50.777753970997388</v>
      </c>
      <c r="BG56" s="20">
        <f t="shared" si="7"/>
        <v>444.97352949948726</v>
      </c>
      <c r="BH56" s="59">
        <f t="shared" si="8"/>
        <v>738.30686283282057</v>
      </c>
      <c r="BI56" s="59">
        <f ca="1">AVERAGE(OFFSET($BH$3,0,0,'Données projet'!$E$11+1,1))-AVERAGE(OFFSET($H$3,0,0,'Données projet'!$E$11+1,1))</f>
        <v>464.3681853739115</v>
      </c>
      <c r="BJ56" s="59">
        <f t="shared" si="38"/>
        <v>272.97841038165217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5.5903514716221183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5.5903514716221183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231.37499999999989</v>
      </c>
      <c r="BZ56" s="13">
        <f>BY56*VLOOKUP('Données projet'!$B$12,Paramètres!$A$1:$I$89,3,0)*VLOOKUP('Données projet'!$B$12,Paramètres!$A$1:$I$89,5,0)</f>
        <v>180.47249999999991</v>
      </c>
      <c r="CA56" s="13">
        <f t="shared" si="39"/>
        <v>45.427292666837829</v>
      </c>
      <c r="CB56" s="20">
        <f t="shared" si="10"/>
        <v>393.44213889474241</v>
      </c>
      <c r="CC56" s="59">
        <f t="shared" si="11"/>
        <v>686.77547222807573</v>
      </c>
      <c r="CD56" s="59">
        <f ca="1">AVERAGE(OFFSET($CC$3,0,0,'Données projet'!$E$12+1,1))-AVERAGE(OFFSET($H$3,0,0,'Données projet'!$E$12+1,1))</f>
        <v>288.82868507674738</v>
      </c>
      <c r="CE56" s="59">
        <f t="shared" si="40"/>
        <v>283.48738729114024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1.7448196718312929</v>
      </c>
      <c r="CL56" s="21">
        <f>EXP(-LN(2)/25)*CL55+(1-EXP(-LN(2)/25))/(LN(2)/25)*Calculateur!CG56*Calculateur!CI56*VLOOKUP('Données projet'!$B$12,Paramètres!$A$1:$I$89,3,0)*0.475*44/12</f>
        <v>10.609012500559963</v>
      </c>
      <c r="CM56" s="21">
        <f>EXP(-LN(2)/2)*CM55+(1-EXP(-LN(2)/2))/(LN(2)/2)*CG56*CJ56*VLOOKUP('Données projet'!$B$12,Paramètres!$A$1:$I$89,3,0)*0.475*44/12</f>
        <v>8.0531271413021255</v>
      </c>
      <c r="CN56" s="22">
        <f t="shared" si="12"/>
        <v>20.406959313693381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8.4</v>
      </c>
      <c r="CT56" s="12">
        <f>IF('Données projet'!$A$140&gt;35,CT55+CS56-DB55,IF(A56&lt;'Données projet'!$A$140,$CQ$205^A56,IF(A56='Données projet'!$A$140,'Données projet'!$B$140,CT55+CS56-DB55)))</f>
        <v>307.19999999999987</v>
      </c>
      <c r="CU56" s="17">
        <f>CT56*VLOOKUP('Données projet'!$B$13,Paramètres!$A$1:$I$89,3,0)*VLOOKUP('Données projet'!$B$13,Paramètres!$A$1:$I$89,5,0)</f>
        <v>201.27743999999993</v>
      </c>
      <c r="CV56" s="13">
        <f t="shared" si="41"/>
        <v>50.024806258462775</v>
      </c>
      <c r="CW56" s="20">
        <f t="shared" si="13"/>
        <v>437.68474556682253</v>
      </c>
      <c r="CX56" s="59">
        <f t="shared" si="14"/>
        <v>731.01807890015584</v>
      </c>
      <c r="CY56" s="59">
        <f ca="1">AVERAGE(OFFSET($CX$3,0,0,'Données projet'!$E$13+1,1))-AVERAGE(OFFSET($H$3,0,0,'Données projet'!$E$13+1,1))</f>
        <v>340.49092994349405</v>
      </c>
      <c r="CZ56" s="59">
        <f t="shared" si="42"/>
        <v>331.54434271908832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6.1179979276110412</v>
      </c>
      <c r="DG56" s="21">
        <f>EXP(-LN(2)/25)*DG55+(1-EXP(-LN(2)/25))/(LN(2)/25)*Calculateur!DB56*Calculateur!DD56*VLOOKUP('Données projet'!$B$13,Paramètres!$A$1:$I$89,3,0)*0.475*44/12</f>
        <v>7.1267690239177304</v>
      </c>
      <c r="DH56" s="21">
        <f>EXP(-LN(2)/2)*DH55+(1-EXP(-LN(2)/2))/(LN(2)/2)*DB56*DE56*VLOOKUP('Données projet'!$B$13,Paramètres!$A$1:$I$89,3,0)*0.475*44/12</f>
        <v>1.7805865933687375</v>
      </c>
      <c r="DI56" s="22">
        <f t="shared" si="15"/>
        <v>15.025353544897508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10.125</v>
      </c>
      <c r="DO56" s="12">
        <f>IF('Données projet'!$A$166&gt;35,DO55+DN56-DW55,IF(A56&lt;'Données projet'!$A$166,$DL$205^A56,IF(A56='Données projet'!$A$166,'Données projet'!$B$166,DO55+DN56-DW55)))</f>
        <v>179.125</v>
      </c>
      <c r="DP56" s="17">
        <f>DO56*VLOOKUP('Données projet'!$B$14,Paramètres!$A$1:$I$89,3,0)*VLOOKUP('Données projet'!$B$14,Paramètres!$A$1:$I$89,5,0)</f>
        <v>181.63275000000002</v>
      </c>
      <c r="DQ56" s="13">
        <f t="shared" si="43"/>
        <v>45.685251832742189</v>
      </c>
      <c r="DR56" s="20">
        <f t="shared" si="16"/>
        <v>395.91218652535935</v>
      </c>
      <c r="DS56" s="59">
        <f t="shared" si="17"/>
        <v>689.24551985869266</v>
      </c>
      <c r="DT56" s="59">
        <f ca="1">AVERAGE(OFFSET($DS$3,0,0,'Données projet'!$E$14+1,1))-AVERAGE(OFFSET($H$3,0,0,'Données projet'!$E$14+1,1))</f>
        <v>586.50020405958992</v>
      </c>
      <c r="DU56" s="59">
        <f t="shared" si="44"/>
        <v>304.44184537595294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23.313829682999156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23.313829682999156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13.4</v>
      </c>
      <c r="N57" s="13">
        <f>IF('Données projet'!$A$36&gt;35,N56+M57-V56,IF(A57&lt;'Données projet'!$A$36,$K$205^A57,IF(A57='Données projet'!$A$36,'Données projet'!$B$36,N56+M57-V56)))</f>
        <v>292.60000000000008</v>
      </c>
      <c r="O57" s="13">
        <f>N57*VLOOKUP('Données projet'!$B$9,Paramètres!$A$1:$I$89,3,0)*VLOOKUP('Données projet'!$B$9,Paramètres!$A$1:$I$89,5,0)</f>
        <v>251.05080000000009</v>
      </c>
      <c r="P57" s="13">
        <f t="shared" si="33"/>
        <v>60.810898898941176</v>
      </c>
      <c r="Q57" s="20">
        <f t="shared" si="53"/>
        <v>543.15912558232264</v>
      </c>
      <c r="R57" s="59">
        <f t="shared" si="0"/>
        <v>836.49245891565602</v>
      </c>
      <c r="S57" s="59">
        <f ca="1">AVERAGE(OFFSET($R$3,0,0,'Données projet'!$E$9+1,1))-AVERAGE(OFFSET($H$3,0,0,'Données projet'!$E$9+1,1))</f>
        <v>536.21423347711345</v>
      </c>
      <c r="T57" s="59">
        <f t="shared" si="34"/>
        <v>312.14361830038712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7.8427822827933884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7.8427822827933884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10.125</v>
      </c>
      <c r="AI57" s="13">
        <f>IF('Données projet'!$A$62&gt;35,AI56+AH57-AQ56,IF(A57&lt;'Données projet'!$A$62,$AF$205^A57,IF(A57='Données projet'!$A$62,'Données projet'!$B$62,AI56+AH57-AQ56)))</f>
        <v>189.25</v>
      </c>
      <c r="AJ57" s="13">
        <f>AI57*VLOOKUP('Données projet'!$B$10,Paramètres!$A$1:$I$89,3,0)*VLOOKUP('Données projet'!$B$10,Paramètres!$A$1:$I$89,5,0)</f>
        <v>171.23339999999999</v>
      </c>
      <c r="AK57" s="13">
        <f t="shared" si="35"/>
        <v>43.366147824369882</v>
      </c>
      <c r="AL57" s="20">
        <f t="shared" si="4"/>
        <v>373.76087912744418</v>
      </c>
      <c r="AM57" s="59">
        <f t="shared" si="5"/>
        <v>667.0942124607775</v>
      </c>
      <c r="AN57" s="59">
        <f ca="1">AVERAGE(OFFSET($AM$3,0,0,'Données projet'!$E$10+1,1))-AVERAGE(OFFSET($H$3,0,0,'Données projet'!$E$10+1,1))</f>
        <v>528.15559695545812</v>
      </c>
      <c r="AO57" s="59">
        <f t="shared" si="36"/>
        <v>276.26988364830532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20.234247438295355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20.234247438295355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</v>
      </c>
      <c r="BD57" s="12">
        <f>IF('Données projet'!$A$88&gt;35,BD56+BC57-BL56,IF(A57&lt;'Données projet'!$A$88,$BA$205^A57,IF(A57='Données projet'!$A$88,'Données projet'!$B$88,BD56+BC57-BL56)))</f>
        <v>292.60000000000008</v>
      </c>
      <c r="BE57" s="13">
        <f>BD57*VLOOKUP('Données projet'!$B$11,Paramètres!$A$1:$I$89,3,0)*VLOOKUP('Données projet'!$B$11,Paramètres!$A$1:$I$89,5,0)</f>
        <v>214.53432000000004</v>
      </c>
      <c r="BF57" s="13">
        <f t="shared" si="37"/>
        <v>52.925213420081342</v>
      </c>
      <c r="BG57" s="20">
        <f t="shared" si="7"/>
        <v>465.82535403997502</v>
      </c>
      <c r="BH57" s="59">
        <f t="shared" si="8"/>
        <v>759.15868737330834</v>
      </c>
      <c r="BI57" s="59">
        <f ca="1">AVERAGE(OFFSET($BH$3,0,0,'Données projet'!$E$11+1,1))-AVERAGE(OFFSET($H$3,0,0,'Données projet'!$E$11+1,1))</f>
        <v>464.3681853739115</v>
      </c>
      <c r="BJ57" s="59">
        <f t="shared" si="38"/>
        <v>272.97841038165217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5.4374830166468042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5.4374830166468042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9.375</v>
      </c>
      <c r="BY57" s="12">
        <f>IF('Données projet'!$A$114&gt;35,BY56+BX57-CG56,IF(A57&lt;'Données projet'!$A$114,$BV$205^A57,IF(A57='Données projet'!$A$114,'Données projet'!$B$114,BY56+BX57-CG56)))</f>
        <v>240.74999999999989</v>
      </c>
      <c r="BZ57" s="13">
        <f>BY57*VLOOKUP('Données projet'!$B$12,Paramètres!$A$1:$I$89,3,0)*VLOOKUP('Données projet'!$B$12,Paramètres!$A$1:$I$89,5,0)</f>
        <v>187.78499999999991</v>
      </c>
      <c r="CA57" s="13">
        <f t="shared" si="39"/>
        <v>47.049914090154054</v>
      </c>
      <c r="CB57" s="20">
        <f t="shared" si="10"/>
        <v>409.0041420403515</v>
      </c>
      <c r="CC57" s="59">
        <f t="shared" si="11"/>
        <v>702.33747537368481</v>
      </c>
      <c r="CD57" s="59">
        <f ca="1">AVERAGE(OFFSET($CC$3,0,0,'Données projet'!$E$12+1,1))-AVERAGE(OFFSET($H$3,0,0,'Données projet'!$E$12+1,1))</f>
        <v>288.82868507674738</v>
      </c>
      <c r="CE57" s="59">
        <f t="shared" si="40"/>
        <v>283.48738729114024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1.7106048223015966</v>
      </c>
      <c r="CL57" s="21">
        <f>EXP(-LN(2)/25)*CL56+(1-EXP(-LN(2)/25))/(LN(2)/25)*Calculateur!CG57*Calculateur!CI57*VLOOKUP('Données projet'!$B$12,Paramètres!$A$1:$I$89,3,0)*0.475*44/12</f>
        <v>10.318908495828431</v>
      </c>
      <c r="CM57" s="21">
        <f>EXP(-LN(2)/2)*CM56+(1-EXP(-LN(2)/2))/(LN(2)/2)*CG57*CJ57*VLOOKUP('Données projet'!$B$12,Paramètres!$A$1:$I$89,3,0)*0.475*44/12</f>
        <v>5.6944208113721695</v>
      </c>
      <c r="CN57" s="22">
        <f t="shared" si="12"/>
        <v>17.723934129502197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8.4</v>
      </c>
      <c r="CT57" s="12">
        <f>IF('Données projet'!$A$140&gt;35,CT56+CS57-DB56,IF(A57&lt;'Données projet'!$A$140,$CQ$205^A57,IF(A57='Données projet'!$A$140,'Données projet'!$B$140,CT56+CS57-DB56)))</f>
        <v>315.59999999999985</v>
      </c>
      <c r="CU57" s="17">
        <f>CT57*VLOOKUP('Données projet'!$B$13,Paramètres!$A$1:$I$89,3,0)*VLOOKUP('Données projet'!$B$13,Paramètres!$A$1:$I$89,5,0)</f>
        <v>206.7811199999999</v>
      </c>
      <c r="CV57" s="13">
        <f t="shared" si="41"/>
        <v>51.231548322431593</v>
      </c>
      <c r="CW57" s="20">
        <f t="shared" si="13"/>
        <v>449.37206399490151</v>
      </c>
      <c r="CX57" s="59">
        <f t="shared" si="14"/>
        <v>742.70539732823477</v>
      </c>
      <c r="CY57" s="59">
        <f ca="1">AVERAGE(OFFSET($CX$3,0,0,'Données projet'!$E$13+1,1))-AVERAGE(OFFSET($H$3,0,0,'Données projet'!$E$13+1,1))</f>
        <v>340.49092994349405</v>
      </c>
      <c r="CZ57" s="59">
        <f t="shared" si="42"/>
        <v>331.54434271908832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5.9980277198608585</v>
      </c>
      <c r="DG57" s="21">
        <f>EXP(-LN(2)/25)*DG56+(1-EXP(-LN(2)/25))/(LN(2)/25)*Calculateur!DB57*Calculateur!DD57*VLOOKUP('Données projet'!$B$13,Paramètres!$A$1:$I$89,3,0)*0.475*44/12</f>
        <v>6.9318871501782056</v>
      </c>
      <c r="DH57" s="21">
        <f>EXP(-LN(2)/2)*DH56+(1-EXP(-LN(2)/2))/(LN(2)/2)*DB57*DE57*VLOOKUP('Données projet'!$B$13,Paramètres!$A$1:$I$89,3,0)*0.475*44/12</f>
        <v>1.259064854660888</v>
      </c>
      <c r="DI57" s="22">
        <f t="shared" si="15"/>
        <v>14.188979724699951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10.125</v>
      </c>
      <c r="DO57" s="12">
        <f>IF('Données projet'!$A$166&gt;35,DO56+DN57-DW56,IF(A57&lt;'Données projet'!$A$166,$DL$205^A57,IF(A57='Données projet'!$A$166,'Données projet'!$B$166,DO56+DN57-DW56)))</f>
        <v>189.25</v>
      </c>
      <c r="DP57" s="17">
        <f>DO57*VLOOKUP('Données projet'!$B$14,Paramètres!$A$1:$I$89,3,0)*VLOOKUP('Données projet'!$B$14,Paramètres!$A$1:$I$89,5,0)</f>
        <v>191.89950000000002</v>
      </c>
      <c r="DQ57" s="13">
        <f t="shared" si="43"/>
        <v>47.959661887978321</v>
      </c>
      <c r="DR57" s="20">
        <f t="shared" si="16"/>
        <v>417.75470695489565</v>
      </c>
      <c r="DS57" s="59">
        <f t="shared" si="17"/>
        <v>711.08804028822897</v>
      </c>
      <c r="DT57" s="59">
        <f ca="1">AVERAGE(OFFSET($DS$3,0,0,'Données projet'!$E$14+1,1))-AVERAGE(OFFSET($H$3,0,0,'Données projet'!$E$14+1,1))</f>
        <v>586.50020405958992</v>
      </c>
      <c r="DU57" s="59">
        <f t="shared" si="44"/>
        <v>304.44184537595294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22.676311784296526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22.676311784296526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306</v>
      </c>
      <c r="L58" s="12">
        <f>VLOOKUP(A58,'Données projet'!$A$35:$I$55,9,0)</f>
        <v>13.4</v>
      </c>
      <c r="M58" s="12">
        <f t="array" ref="M58">INDEX(L:L,MIN(IF(ISNUMBER(L58:L254),ROW(L58:L254),"")))</f>
        <v>13.4</v>
      </c>
      <c r="N58" s="13">
        <f>IF('Données projet'!$A$36&gt;35,N57+M58-V57,IF(A58&lt;'Données projet'!$A$36,$K$205^A58,IF(A58='Données projet'!$A$36,'Données projet'!$B$36,N57+M58-V57)))</f>
        <v>306.00000000000006</v>
      </c>
      <c r="O58" s="13">
        <f>N58*VLOOKUP('Données projet'!$B$9,Paramètres!$A$1:$I$89,3,0)*VLOOKUP('Données projet'!$B$9,Paramètres!$A$1:$I$89,5,0)</f>
        <v>262.54800000000006</v>
      </c>
      <c r="P58" s="13">
        <f t="shared" si="33"/>
        <v>63.265199933079444</v>
      </c>
      <c r="Q58" s="20">
        <f t="shared" si="53"/>
        <v>567.45798988344677</v>
      </c>
      <c r="R58" s="59">
        <f t="shared" si="0"/>
        <v>860.79132321678003</v>
      </c>
      <c r="S58" s="59">
        <f ca="1">AVERAGE(OFFSET($R$3,0,0,'Données projet'!$E$9+1,1))-AVERAGE(OFFSET($H$3,0,0,'Données projet'!$E$9+1,1))</f>
        <v>536.21423347711345</v>
      </c>
      <c r="T58" s="59">
        <f t="shared" si="34"/>
        <v>312.14361830038712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0.26500000000000001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16.390960760102146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16.390960760102146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10.125</v>
      </c>
      <c r="AI58" s="13">
        <f>IF('Données projet'!$A$62&gt;35,AI57+AH58-AQ57,IF(A58&lt;'Données projet'!$A$62,$AF$205^A58,IF(A58='Données projet'!$A$62,'Données projet'!$B$62,AI57+AH58-AQ57)))</f>
        <v>199.375</v>
      </c>
      <c r="AJ58" s="13">
        <f>AI58*VLOOKUP('Données projet'!$B$10,Paramètres!$A$1:$I$89,3,0)*VLOOKUP('Données projet'!$B$10,Paramètres!$A$1:$I$89,5,0)</f>
        <v>180.39449999999999</v>
      </c>
      <c r="AK58" s="13">
        <f t="shared" si="35"/>
        <v>45.409943962080618</v>
      </c>
      <c r="AL58" s="20">
        <f t="shared" si="4"/>
        <v>393.27607323395705</v>
      </c>
      <c r="AM58" s="59">
        <f t="shared" si="5"/>
        <v>686.60940656729031</v>
      </c>
      <c r="AN58" s="59">
        <f ca="1">AVERAGE(OFFSET($AM$3,0,0,'Données projet'!$E$10+1,1))-AVERAGE(OFFSET($H$3,0,0,'Données projet'!$E$10+1,1))</f>
        <v>528.15559695545812</v>
      </c>
      <c r="AO58" s="59">
        <f t="shared" si="36"/>
        <v>276.26988364830532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19.680940878022341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19.680940878022341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306</v>
      </c>
      <c r="BB58" s="12">
        <f>VLOOKUP(A58,'Données projet'!$A$87:$I$107,9,0)</f>
        <v>13.4</v>
      </c>
      <c r="BC58" s="12">
        <f t="array" ref="BC58">INDEX(BB:BB,MIN(IF(ISNUMBER(BB58:BB254),ROW(BB58:BB254),"")))</f>
        <v>13.4</v>
      </c>
      <c r="BD58" s="12">
        <f>IF('Données projet'!$A$88&gt;35,BD57+BC58-BL57,IF(A58&lt;'Données projet'!$A$88,$BA$205^A58,IF(A58='Données projet'!$A$88,'Données projet'!$B$88,BD57+BC58-BL57)))</f>
        <v>306.00000000000006</v>
      </c>
      <c r="BE58" s="13">
        <f>BD58*VLOOKUP('Données projet'!$B$11,Paramètres!$A$1:$I$89,3,0)*VLOOKUP('Données projet'!$B$11,Paramètres!$A$1:$I$89,5,0)</f>
        <v>224.35920000000004</v>
      </c>
      <c r="BF58" s="13">
        <f t="shared" si="37"/>
        <v>55.061251669487255</v>
      </c>
      <c r="BG58" s="20">
        <f t="shared" si="7"/>
        <v>486.65728665769035</v>
      </c>
      <c r="BH58" s="59">
        <f t="shared" si="8"/>
        <v>779.99061999102366</v>
      </c>
      <c r="BI58" s="59">
        <f ca="1">AVERAGE(OFFSET($BH$3,0,0,'Données projet'!$E$11+1,1))-AVERAGE(OFFSET($H$3,0,0,'Données projet'!$E$11+1,1))</f>
        <v>464.3681853739115</v>
      </c>
      <c r="BJ58" s="59">
        <f t="shared" si="38"/>
        <v>272.97841038165217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35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11.364024595597403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11.364024595597403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9.375</v>
      </c>
      <c r="BY58" s="12">
        <f>IF('Données projet'!$A$114&gt;35,BY57+BX58-CG57,IF(A58&lt;'Données projet'!$A$114,$BV$205^A58,IF(A58='Données projet'!$A$114,'Données projet'!$B$114,BY57+BX58-CG57)))</f>
        <v>250.12499999999989</v>
      </c>
      <c r="BZ58" s="13">
        <f>BY58*VLOOKUP('Données projet'!$B$12,Paramètres!$A$1:$I$89,3,0)*VLOOKUP('Données projet'!$B$12,Paramètres!$A$1:$I$89,5,0)</f>
        <v>195.09749999999991</v>
      </c>
      <c r="CA58" s="13">
        <f t="shared" si="39"/>
        <v>48.66519532492579</v>
      </c>
      <c r="CB58" s="20">
        <f t="shared" si="10"/>
        <v>424.55336102424553</v>
      </c>
      <c r="CC58" s="59">
        <f t="shared" si="11"/>
        <v>717.88669435757879</v>
      </c>
      <c r="CD58" s="59">
        <f ca="1">AVERAGE(OFFSET($CC$3,0,0,'Données projet'!$E$12+1,1))-AVERAGE(OFFSET($H$3,0,0,'Données projet'!$E$12+1,1))</f>
        <v>288.82868507674738</v>
      </c>
      <c r="CE58" s="59">
        <f t="shared" si="40"/>
        <v>283.48738729114024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1.6770609051021801</v>
      </c>
      <c r="CL58" s="21">
        <f>EXP(-LN(2)/25)*CL57+(1-EXP(-LN(2)/25))/(LN(2)/25)*Calculateur!CG58*Calculateur!CI58*VLOOKUP('Données projet'!$B$12,Paramètres!$A$1:$I$89,3,0)*0.475*44/12</f>
        <v>10.036737400362188</v>
      </c>
      <c r="CM58" s="21">
        <f>EXP(-LN(2)/2)*CM57+(1-EXP(-LN(2)/2))/(LN(2)/2)*CG58*CJ58*VLOOKUP('Données projet'!$B$12,Paramètres!$A$1:$I$89,3,0)*0.475*44/12</f>
        <v>4.0265635706510636</v>
      </c>
      <c r="CN58" s="22">
        <f t="shared" si="12"/>
        <v>15.740361876115433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324</v>
      </c>
      <c r="CR58" s="12">
        <f>VLOOKUP(A58,'Données projet'!$A$139:$I$159,9,0)</f>
        <v>8.4</v>
      </c>
      <c r="CS58" s="12">
        <f t="array" ref="CS58">INDEX(CR:CR,MIN(IF(ISNUMBER(CR58:CR254),ROW(CR58:CR254),"")))</f>
        <v>8.4</v>
      </c>
      <c r="CT58" s="12">
        <f>IF('Données projet'!$A$140&gt;35,CT57+CS58-DB57,IF(A58&lt;'Données projet'!$A$140,$CQ$205^A58,IF(A58='Données projet'!$A$140,'Données projet'!$B$140,CT57+CS58-DB57)))</f>
        <v>323.99999999999983</v>
      </c>
      <c r="CU58" s="17">
        <f>CT58*VLOOKUP('Données projet'!$B$13,Paramètres!$A$1:$I$89,3,0)*VLOOKUP('Données projet'!$B$13,Paramètres!$A$1:$I$89,5,0)</f>
        <v>212.2847999999999</v>
      </c>
      <c r="CV58" s="13">
        <f t="shared" si="41"/>
        <v>52.434557099704143</v>
      </c>
      <c r="CW58" s="20">
        <f t="shared" si="13"/>
        <v>461.05288028198453</v>
      </c>
      <c r="CX58" s="59">
        <f t="shared" si="14"/>
        <v>754.38621361531784</v>
      </c>
      <c r="CY58" s="59">
        <f ca="1">AVERAGE(OFFSET($CX$3,0,0,'Données projet'!$E$13+1,1))-AVERAGE(OFFSET($H$3,0,0,'Données projet'!$E$13+1,1))</f>
        <v>340.49092994349405</v>
      </c>
      <c r="CZ58" s="59">
        <f t="shared" si="42"/>
        <v>331.54434271908832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18</v>
      </c>
      <c r="DC58" s="16">
        <f>IF(ISNA(VLOOKUP(A58,'Données projet'!$A$139:$I$159,5,0)),0%,VLOOKUP(A58,'Données projet'!$A$139:$I$159,5,0)*VLOOKUP('Données projet'!$B$13,Paramètres!$A$1:$I$89,7,0))</f>
        <v>0.30099999999999999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0.2</v>
      </c>
      <c r="DF58" s="21">
        <f>EXP(-LN(2)/35)*DF57+(1-EXP(-LN(2)/35))/(LN(2)/35)*DB58*DC58*VLOOKUP('Données projet'!$B$13,Paramètres!$A$1:$I$89,3,0)*0.475*44/12</f>
        <v>9.8046901705960554</v>
      </c>
      <c r="DG58" s="21">
        <f>EXP(-LN(2)/25)*DG57+(1-EXP(-LN(2)/25))/(LN(2)/25)*Calculateur!DB58*Calculateur!DD58*VLOOKUP('Données projet'!$B$13,Paramètres!$A$1:$I$89,3,0)*0.475*44/12</f>
        <v>6.7423343315244804</v>
      </c>
      <c r="DH58" s="21">
        <f>EXP(-LN(2)/2)*DH57+(1-EXP(-LN(2)/2))/(LN(2)/2)*DB58*DE58*VLOOKUP('Données projet'!$B$13,Paramètres!$A$1:$I$89,3,0)*0.475*44/12</f>
        <v>3.11580910070239</v>
      </c>
      <c r="DI58" s="22">
        <f t="shared" si="15"/>
        <v>19.662833602822925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10.125</v>
      </c>
      <c r="DO58" s="12">
        <f>IF('Données projet'!$A$166&gt;35,DO57+DN58-DW57,IF(A58&lt;'Données projet'!$A$166,$DL$205^A58,IF(A58='Données projet'!$A$166,'Données projet'!$B$166,DO57+DN58-DW57)))</f>
        <v>199.375</v>
      </c>
      <c r="DP58" s="17">
        <f>DO58*VLOOKUP('Données projet'!$B$14,Paramètres!$A$1:$I$89,3,0)*VLOOKUP('Données projet'!$B$14,Paramètres!$A$1:$I$89,5,0)</f>
        <v>202.16625000000002</v>
      </c>
      <c r="DQ58" s="13">
        <f t="shared" si="43"/>
        <v>50.219945003959403</v>
      </c>
      <c r="DR58" s="20">
        <f t="shared" si="16"/>
        <v>439.5726229652293</v>
      </c>
      <c r="DS58" s="59">
        <f t="shared" si="17"/>
        <v>732.90595629856261</v>
      </c>
      <c r="DT58" s="59">
        <f ca="1">AVERAGE(OFFSET($DS$3,0,0,'Données projet'!$E$14+1,1))-AVERAGE(OFFSET($H$3,0,0,'Données projet'!$E$14+1,1))</f>
        <v>586.50020405958992</v>
      </c>
      <c r="DU58" s="59">
        <f t="shared" si="44"/>
        <v>304.44184537595294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22.056226846059527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22.056226846059527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</v>
      </c>
      <c r="N59" s="13">
        <f>IF('Données projet'!$A$36&gt;35,N58+M59-V58,IF(A59&lt;'Données projet'!$A$36,$K$205^A59,IF(A59='Données projet'!$A$36,'Données projet'!$B$36,N58+M59-V58)))</f>
        <v>284.00000000000006</v>
      </c>
      <c r="O59" s="13">
        <f>N59*VLOOKUP('Données projet'!$B$9,Paramètres!$A$1:$I$89,3,0)*VLOOKUP('Données projet'!$B$9,Paramètres!$A$1:$I$89,5,0)</f>
        <v>243.67200000000008</v>
      </c>
      <c r="P59" s="13">
        <f t="shared" si="33"/>
        <v>59.228879636606202</v>
      </c>
      <c r="Q59" s="20">
        <f t="shared" si="53"/>
        <v>527.55236536708924</v>
      </c>
      <c r="R59" s="59">
        <f t="shared" si="0"/>
        <v>820.88569870042261</v>
      </c>
      <c r="S59" s="59">
        <f ca="1">AVERAGE(OFFSET($R$3,0,0,'Données projet'!$E$9+1,1))-AVERAGE(OFFSET($H$3,0,0,'Données projet'!$E$9+1,1))</f>
        <v>536.21423347711345</v>
      </c>
      <c r="T59" s="59">
        <f t="shared" si="34"/>
        <v>312.14361830038712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15.942749076153989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15.942749076153989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10.125</v>
      </c>
      <c r="AI59" s="13">
        <f>IF('Données projet'!$A$62&gt;35,AI58+AH59-AQ58,IF(A59&lt;'Données projet'!$A$62,$AF$205^A59,IF(A59='Données projet'!$A$62,'Données projet'!$B$62,AI58+AH59-AQ58)))</f>
        <v>209.5</v>
      </c>
      <c r="AJ59" s="13">
        <f>AI59*VLOOKUP('Données projet'!$B$10,Paramètres!$A$1:$I$89,3,0)*VLOOKUP('Données projet'!$B$10,Paramètres!$A$1:$I$89,5,0)</f>
        <v>189.5556</v>
      </c>
      <c r="AK59" s="13">
        <f t="shared" si="35"/>
        <v>47.441688934734636</v>
      </c>
      <c r="AL59" s="20">
        <f t="shared" si="4"/>
        <v>412.77027822799613</v>
      </c>
      <c r="AM59" s="59">
        <f t="shared" si="5"/>
        <v>706.10361156132944</v>
      </c>
      <c r="AN59" s="59">
        <f ca="1">AVERAGE(OFFSET($AM$3,0,0,'Données projet'!$E$10+1,1))-AVERAGE(OFFSET($H$3,0,0,'Données projet'!$E$10+1,1))</f>
        <v>528.15559695545812</v>
      </c>
      <c r="AO59" s="59">
        <f t="shared" si="36"/>
        <v>276.26988364830532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19.14276451473712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19.14276451473712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</v>
      </c>
      <c r="BD59" s="12">
        <f>IF('Données projet'!$A$88&gt;35,BD58+BC59-BL58,IF(A59&lt;'Données projet'!$A$88,$BA$205^A59,IF(A59='Données projet'!$A$88,'Données projet'!$B$88,BD58+BC59-BL58)))</f>
        <v>284.00000000000006</v>
      </c>
      <c r="BE59" s="13">
        <f>BD59*VLOOKUP('Données projet'!$B$11,Paramètres!$A$1:$I$89,3,0)*VLOOKUP('Données projet'!$B$11,Paramètres!$A$1:$I$89,5,0)</f>
        <v>208.22880000000004</v>
      </c>
      <c r="BF59" s="13">
        <f t="shared" si="37"/>
        <v>51.548343342352297</v>
      </c>
      <c r="BG59" s="20">
        <f t="shared" si="7"/>
        <v>452.44519132126362</v>
      </c>
      <c r="BH59" s="59">
        <f t="shared" si="8"/>
        <v>745.77852465459694</v>
      </c>
      <c r="BI59" s="59">
        <f ca="1">AVERAGE(OFFSET($BH$3,0,0,'Données projet'!$E$11+1,1))-AVERAGE(OFFSET($H$3,0,0,'Données projet'!$E$11+1,1))</f>
        <v>464.3681853739115</v>
      </c>
      <c r="BJ59" s="59">
        <f t="shared" si="38"/>
        <v>272.97841038165217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11.053274745422712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11.053274745422712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9.375</v>
      </c>
      <c r="BY59" s="12">
        <f>IF('Données projet'!$A$114&gt;35,BY58+BX59-CG58,IF(A59&lt;'Données projet'!$A$114,$BV$205^A59,IF(A59='Données projet'!$A$114,'Données projet'!$B$114,BY58+BX59-CG58)))</f>
        <v>259.49999999999989</v>
      </c>
      <c r="BZ59" s="13">
        <f>BY59*VLOOKUP('Données projet'!$B$12,Paramètres!$A$1:$I$89,3,0)*VLOOKUP('Données projet'!$B$12,Paramètres!$A$1:$I$89,5,0)</f>
        <v>202.40999999999991</v>
      </c>
      <c r="CA59" s="13">
        <f t="shared" si="39"/>
        <v>50.273442991661817</v>
      </c>
      <c r="CB59" s="20">
        <f t="shared" si="10"/>
        <v>440.09032987714414</v>
      </c>
      <c r="CC59" s="59">
        <f t="shared" si="11"/>
        <v>733.42366321047746</v>
      </c>
      <c r="CD59" s="59">
        <f ca="1">AVERAGE(OFFSET($CC$3,0,0,'Données projet'!$E$12+1,1))-AVERAGE(OFFSET($H$3,0,0,'Données projet'!$E$12+1,1))</f>
        <v>288.82868507674738</v>
      </c>
      <c r="CE59" s="59">
        <f t="shared" si="40"/>
        <v>283.48738729114024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1.644174763659275</v>
      </c>
      <c r="CL59" s="21">
        <f>EXP(-LN(2)/25)*CL58+(1-EXP(-LN(2)/25))/(LN(2)/25)*Calculateur!CG59*Calculateur!CI59*VLOOKUP('Données projet'!$B$12,Paramètres!$A$1:$I$89,3,0)*0.475*44/12</f>
        <v>9.7622822883402041</v>
      </c>
      <c r="CM59" s="21">
        <f>EXP(-LN(2)/2)*CM58+(1-EXP(-LN(2)/2))/(LN(2)/2)*CG59*CJ59*VLOOKUP('Données projet'!$B$12,Paramètres!$A$1:$I$89,3,0)*0.475*44/12</f>
        <v>2.8472104056860852</v>
      </c>
      <c r="CN59" s="22">
        <f t="shared" si="12"/>
        <v>14.253667457685562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313.39999999999981</v>
      </c>
      <c r="CU59" s="17">
        <f>CT59*VLOOKUP('Données projet'!$B$13,Paramètres!$A$1:$I$89,3,0)*VLOOKUP('Données projet'!$B$13,Paramètres!$A$1:$I$89,5,0)</f>
        <v>205.33967999999984</v>
      </c>
      <c r="CV59" s="13">
        <f t="shared" si="41"/>
        <v>50.91586219875856</v>
      </c>
      <c r="CW59" s="20">
        <f t="shared" si="13"/>
        <v>446.31173599617085</v>
      </c>
      <c r="CX59" s="59">
        <f t="shared" si="14"/>
        <v>739.64506932950417</v>
      </c>
      <c r="CY59" s="59">
        <f ca="1">AVERAGE(OFFSET($CX$3,0,0,'Données projet'!$E$13+1,1))-AVERAGE(OFFSET($H$3,0,0,'Données projet'!$E$13+1,1))</f>
        <v>340.49092994349405</v>
      </c>
      <c r="CZ59" s="59">
        <f t="shared" si="42"/>
        <v>331.54434271908832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9.6124261766211685</v>
      </c>
      <c r="DG59" s="21">
        <f>EXP(-LN(2)/25)*DG58+(1-EXP(-LN(2)/25))/(LN(2)/25)*Calculateur!DB59*Calculateur!DD59*VLOOKUP('Données projet'!$B$13,Paramètres!$A$1:$I$89,3,0)*0.475*44/12</f>
        <v>6.5579648446649905</v>
      </c>
      <c r="DH59" s="21">
        <f>EXP(-LN(2)/2)*DH58+(1-EXP(-LN(2)/2))/(LN(2)/2)*DB59*DE59*VLOOKUP('Données projet'!$B$13,Paramètres!$A$1:$I$89,3,0)*0.475*44/12</f>
        <v>2.2032097439894183</v>
      </c>
      <c r="DI59" s="22">
        <f t="shared" si="15"/>
        <v>18.373600765275576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10.125</v>
      </c>
      <c r="DO59" s="12">
        <f>IF('Données projet'!$A$166&gt;35,DO58+DN59-DW58,IF(A59&lt;'Données projet'!$A$166,$DL$205^A59,IF(A59='Données projet'!$A$166,'Données projet'!$B$166,DO58+DN59-DW58)))</f>
        <v>209.5</v>
      </c>
      <c r="DP59" s="17">
        <f>DO59*VLOOKUP('Données projet'!$B$14,Paramètres!$A$1:$I$89,3,0)*VLOOKUP('Données projet'!$B$14,Paramètres!$A$1:$I$89,5,0)</f>
        <v>212.43300000000002</v>
      </c>
      <c r="DQ59" s="13">
        <f t="shared" si="43"/>
        <v>52.466900447770541</v>
      </c>
      <c r="DR59" s="20">
        <f t="shared" si="16"/>
        <v>461.36732661320042</v>
      </c>
      <c r="DS59" s="59">
        <f t="shared" si="17"/>
        <v>754.70065994653373</v>
      </c>
      <c r="DT59" s="59">
        <f ca="1">AVERAGE(OFFSET($DS$3,0,0,'Données projet'!$E$14+1,1))-AVERAGE(OFFSET($H$3,0,0,'Données projet'!$E$14+1,1))</f>
        <v>586.50020405958992</v>
      </c>
      <c r="DU59" s="59">
        <f t="shared" si="44"/>
        <v>304.44184537595294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21.45309816306747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21.45309816306747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</v>
      </c>
      <c r="N60" s="13">
        <f>IF('Données projet'!$A$36&gt;35,N59+M60-V59,IF(A60&lt;'Données projet'!$A$36,$K$205^A60,IF(A60='Données projet'!$A$36,'Données projet'!$B$36,N59+M60-V59)))</f>
        <v>297.00000000000006</v>
      </c>
      <c r="O60" s="13">
        <f>N60*VLOOKUP('Données projet'!$B$9,Paramètres!$A$1:$I$89,3,0)*VLOOKUP('Données projet'!$B$9,Paramètres!$A$1:$I$89,5,0)</f>
        <v>254.82600000000008</v>
      </c>
      <c r="P60" s="13">
        <f t="shared" si="33"/>
        <v>61.618203339594587</v>
      </c>
      <c r="Q60" s="20">
        <f t="shared" si="53"/>
        <v>551.14032081646064</v>
      </c>
      <c r="R60" s="59">
        <f t="shared" si="0"/>
        <v>844.4736541497939</v>
      </c>
      <c r="S60" s="59">
        <f ca="1">AVERAGE(OFFSET($R$3,0,0,'Données projet'!$E$9+1,1))-AVERAGE(OFFSET($H$3,0,0,'Données projet'!$E$9+1,1))</f>
        <v>536.21423347711345</v>
      </c>
      <c r="T60" s="59">
        <f t="shared" si="34"/>
        <v>312.14361830038712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15.506793764273821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15.506793764273821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10.125</v>
      </c>
      <c r="AI60" s="13">
        <f>IF('Données projet'!$A$62&gt;35,AI59+AH60-AQ59,IF(A60&lt;'Données projet'!$A$62,$AF$205^A60,IF(A60='Données projet'!$A$62,'Données projet'!$B$62,AI59+AH60-AQ59)))</f>
        <v>219.625</v>
      </c>
      <c r="AJ60" s="13">
        <f>AI60*VLOOKUP('Données projet'!$B$10,Paramètres!$A$1:$I$89,3,0)*VLOOKUP('Données projet'!$B$10,Paramètres!$A$1:$I$89,5,0)</f>
        <v>198.7167</v>
      </c>
      <c r="AK60" s="13">
        <f t="shared" si="35"/>
        <v>49.462031653113236</v>
      </c>
      <c r="AL60" s="20">
        <f t="shared" si="4"/>
        <v>432.24462429583883</v>
      </c>
      <c r="AM60" s="59">
        <f t="shared" si="5"/>
        <v>725.57795762917215</v>
      </c>
      <c r="AN60" s="59">
        <f ca="1">AVERAGE(OFFSET($AM$3,0,0,'Données projet'!$E$10+1,1))-AVERAGE(OFFSET($H$3,0,0,'Données projet'!$E$10+1,1))</f>
        <v>528.15559695545812</v>
      </c>
      <c r="AO60" s="59">
        <f t="shared" si="36"/>
        <v>276.26988364830532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18.619304612407401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18.619304612407401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</v>
      </c>
      <c r="BD60" s="12">
        <f>IF('Données projet'!$A$88&gt;35,BD59+BC60-BL59,IF(A60&lt;'Données projet'!$A$88,$BA$205^A60,IF(A60='Données projet'!$A$88,'Données projet'!$B$88,BD59+BC60-BL59)))</f>
        <v>297.00000000000006</v>
      </c>
      <c r="BE60" s="13">
        <f>BD60*VLOOKUP('Données projet'!$B$11,Paramètres!$A$1:$I$89,3,0)*VLOOKUP('Données projet'!$B$11,Paramètres!$A$1:$I$89,5,0)</f>
        <v>217.76040000000006</v>
      </c>
      <c r="BF60" s="13">
        <f t="shared" si="37"/>
        <v>53.627830230393037</v>
      </c>
      <c r="BG60" s="20">
        <f t="shared" si="7"/>
        <v>472.66783431793465</v>
      </c>
      <c r="BH60" s="59">
        <f t="shared" si="8"/>
        <v>766.00116765126791</v>
      </c>
      <c r="BI60" s="59">
        <f ca="1">AVERAGE(OFFSET($BH$3,0,0,'Données projet'!$E$11+1,1))-AVERAGE(OFFSET($H$3,0,0,'Données projet'!$E$11+1,1))</f>
        <v>464.3681853739115</v>
      </c>
      <c r="BJ60" s="59">
        <f t="shared" si="38"/>
        <v>272.97841038165217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10.751022366242672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10.751022366242672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9.375</v>
      </c>
      <c r="BY60" s="12">
        <f>IF('Données projet'!$A$114&gt;35,BY59+BX60-CG59,IF(A60&lt;'Données projet'!$A$114,$BV$205^A60,IF(A60='Données projet'!$A$114,'Données projet'!$B$114,BY59+BX60-CG59)))</f>
        <v>268.87499999999989</v>
      </c>
      <c r="BZ60" s="13">
        <f>BY60*VLOOKUP('Données projet'!$B$12,Paramètres!$A$1:$I$89,3,0)*VLOOKUP('Données projet'!$B$12,Paramètres!$A$1:$I$89,5,0)</f>
        <v>209.72249999999991</v>
      </c>
      <c r="CA60" s="13">
        <f t="shared" si="39"/>
        <v>51.874940300502246</v>
      </c>
      <c r="CB60" s="20">
        <f t="shared" si="10"/>
        <v>455.61554185670792</v>
      </c>
      <c r="CC60" s="59">
        <f t="shared" si="11"/>
        <v>748.94887519004124</v>
      </c>
      <c r="CD60" s="59">
        <f ca="1">AVERAGE(OFFSET($CC$3,0,0,'Données projet'!$E$12+1,1))-AVERAGE(OFFSET($H$3,0,0,'Données projet'!$E$12+1,1))</f>
        <v>288.82868507674738</v>
      </c>
      <c r="CE60" s="59">
        <f t="shared" si="40"/>
        <v>283.48738729114024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1.6119334993914993</v>
      </c>
      <c r="CL60" s="21">
        <f>EXP(-LN(2)/25)*CL59+(1-EXP(-LN(2)/25))/(LN(2)/25)*Calculateur!CG60*Calculateur!CI60*VLOOKUP('Données projet'!$B$12,Paramètres!$A$1:$I$89,3,0)*0.475*44/12</f>
        <v>9.4953321657894278</v>
      </c>
      <c r="CM60" s="21">
        <f>EXP(-LN(2)/2)*CM59+(1-EXP(-LN(2)/2))/(LN(2)/2)*CG60*CJ60*VLOOKUP('Données projet'!$B$12,Paramètres!$A$1:$I$89,3,0)*0.475*44/12</f>
        <v>2.0132817853255318</v>
      </c>
      <c r="CN60" s="22">
        <f t="shared" si="12"/>
        <v>13.120547450506459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320.79999999999978</v>
      </c>
      <c r="CU60" s="17">
        <f>CT60*VLOOKUP('Données projet'!$B$13,Paramètres!$A$1:$I$89,3,0)*VLOOKUP('Données projet'!$B$13,Paramètres!$A$1:$I$89,5,0)</f>
        <v>210.18815999999987</v>
      </c>
      <c r="CV60" s="13">
        <f t="shared" si="41"/>
        <v>51.976701248879515</v>
      </c>
      <c r="CW60" s="20">
        <f t="shared" si="13"/>
        <v>456.60380000846493</v>
      </c>
      <c r="CX60" s="59">
        <f t="shared" si="14"/>
        <v>749.93713334179824</v>
      </c>
      <c r="CY60" s="59">
        <f ca="1">AVERAGE(OFFSET($CX$3,0,0,'Données projet'!$E$13+1,1))-AVERAGE(OFFSET($H$3,0,0,'Données projet'!$E$13+1,1))</f>
        <v>340.49092994349405</v>
      </c>
      <c r="CZ60" s="59">
        <f t="shared" si="42"/>
        <v>331.54434271908832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9.4239323622986717</v>
      </c>
      <c r="DG60" s="21">
        <f>EXP(-LN(2)/25)*DG59+(1-EXP(-LN(2)/25))/(LN(2)/25)*Calculateur!DB60*Calculateur!DD60*VLOOKUP('Données projet'!$B$13,Paramètres!$A$1:$I$89,3,0)*0.475*44/12</f>
        <v>6.378636951119244</v>
      </c>
      <c r="DH60" s="21">
        <f>EXP(-LN(2)/2)*DH59+(1-EXP(-LN(2)/2))/(LN(2)/2)*DB60*DE60*VLOOKUP('Données projet'!$B$13,Paramètres!$A$1:$I$89,3,0)*0.475*44/12</f>
        <v>1.557904550351195</v>
      </c>
      <c r="DI60" s="22">
        <f t="shared" si="15"/>
        <v>17.360473863769112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10.125</v>
      </c>
      <c r="DO60" s="12">
        <f>IF('Données projet'!$A$166&gt;35,DO59+DN60-DW59,IF(A60&lt;'Données projet'!$A$166,$DL$205^A60,IF(A60='Données projet'!$A$166,'Données projet'!$B$166,DO59+DN60-DW59)))</f>
        <v>219.625</v>
      </c>
      <c r="DP60" s="17">
        <f>DO60*VLOOKUP('Données projet'!$B$14,Paramètres!$A$1:$I$89,3,0)*VLOOKUP('Données projet'!$B$14,Paramètres!$A$1:$I$89,5,0)</f>
        <v>222.69974999999999</v>
      </c>
      <c r="DQ60" s="13">
        <f t="shared" si="43"/>
        <v>54.701245865392025</v>
      </c>
      <c r="DR60" s="20">
        <f t="shared" si="16"/>
        <v>483.14006779889104</v>
      </c>
      <c r="DS60" s="59">
        <f t="shared" si="17"/>
        <v>776.47340113222435</v>
      </c>
      <c r="DT60" s="59">
        <f ca="1">AVERAGE(OFFSET($DS$3,0,0,'Données projet'!$E$14+1,1))-AVERAGE(OFFSET($H$3,0,0,'Données projet'!$E$14+1,1))</f>
        <v>586.50020405958992</v>
      </c>
      <c r="DU60" s="59">
        <f t="shared" si="44"/>
        <v>304.44184537595294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20.866462065628991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20.866462065628991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</v>
      </c>
      <c r="N61" s="13">
        <f>IF('Données projet'!$A$36&gt;35,N60+M61-V60,IF(A61&lt;'Données projet'!$A$36,$K$205^A61,IF(A61='Données projet'!$A$36,'Données projet'!$B$36,N60+M61-V60)))</f>
        <v>310.00000000000006</v>
      </c>
      <c r="O61" s="13">
        <f>N61*VLOOKUP('Données projet'!$B$9,Paramètres!$A$1:$I$89,3,0)*VLOOKUP('Données projet'!$B$9,Paramètres!$A$1:$I$89,5,0)</f>
        <v>265.98000000000008</v>
      </c>
      <c r="P61" s="13">
        <f t="shared" si="33"/>
        <v>63.995380422211646</v>
      </c>
      <c r="Q61" s="20">
        <f t="shared" si="53"/>
        <v>574.7071209020188</v>
      </c>
      <c r="R61" s="59">
        <f t="shared" si="0"/>
        <v>868.04045423535217</v>
      </c>
      <c r="S61" s="59">
        <f ca="1">AVERAGE(OFFSET($R$3,0,0,'Données projet'!$E$9+1,1))-AVERAGE(OFFSET($H$3,0,0,'Données projet'!$E$9+1,1))</f>
        <v>536.21423347711345</v>
      </c>
      <c r="T61" s="59">
        <f t="shared" si="34"/>
        <v>312.14361830038712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15.082759673322911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15.082759673322911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10.125</v>
      </c>
      <c r="AI61" s="13">
        <f>IF('Données projet'!$A$62&gt;35,AI60+AH61-AQ60,IF(A61&lt;'Données projet'!$A$62,$AF$205^A61,IF(A61='Données projet'!$A$62,'Données projet'!$B$62,AI60+AH61-AQ60)))</f>
        <v>229.75</v>
      </c>
      <c r="AJ61" s="13">
        <f>AI61*VLOOKUP('Données projet'!$B$10,Paramètres!$A$1:$I$89,3,0)*VLOOKUP('Données projet'!$B$10,Paramètres!$A$1:$I$89,5,0)</f>
        <v>207.87780000000001</v>
      </c>
      <c r="AK61" s="13">
        <f t="shared" si="35"/>
        <v>51.471557815090421</v>
      </c>
      <c r="AL61" s="20">
        <f t="shared" si="4"/>
        <v>451.70013152794922</v>
      </c>
      <c r="AM61" s="59">
        <f t="shared" si="5"/>
        <v>745.03346486128248</v>
      </c>
      <c r="AN61" s="59">
        <f ca="1">AVERAGE(OFFSET($AM$3,0,0,'Données projet'!$E$10+1,1))-AVERAGE(OFFSET($H$3,0,0,'Données projet'!$E$10+1,1))</f>
        <v>528.15559695545812</v>
      </c>
      <c r="AO61" s="59">
        <f t="shared" si="36"/>
        <v>276.26988364830532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18.110158748634447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18.110158748634447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</v>
      </c>
      <c r="BD61" s="12">
        <f>IF('Données projet'!$A$88&gt;35,BD60+BC61-BL60,IF(A61&lt;'Données projet'!$A$88,$BA$205^A61,IF(A61='Données projet'!$A$88,'Données projet'!$B$88,BD60+BC61-BL60)))</f>
        <v>310.00000000000006</v>
      </c>
      <c r="BE61" s="13">
        <f>BD61*VLOOKUP('Données projet'!$B$11,Paramètres!$A$1:$I$89,3,0)*VLOOKUP('Données projet'!$B$11,Paramètres!$A$1:$I$89,5,0)</f>
        <v>227.29200000000003</v>
      </c>
      <c r="BF61" s="13">
        <f t="shared" si="37"/>
        <v>55.6967456174837</v>
      </c>
      <c r="BG61" s="20">
        <f t="shared" si="7"/>
        <v>492.87206528378414</v>
      </c>
      <c r="BH61" s="59">
        <f t="shared" si="8"/>
        <v>786.20539861711745</v>
      </c>
      <c r="BI61" s="59">
        <f ca="1">AVERAGE(OFFSET($BH$3,0,0,'Données projet'!$E$11+1,1))-AVERAGE(OFFSET($H$3,0,0,'Données projet'!$E$11+1,1))</f>
        <v>464.3681853739115</v>
      </c>
      <c r="BJ61" s="59">
        <f t="shared" si="38"/>
        <v>272.97841038165217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10.457035094266072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10.457035094266072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9.375</v>
      </c>
      <c r="BY61" s="12">
        <f>IF('Données projet'!$A$114&gt;35,BY60+BX61-CG60,IF(A61&lt;'Données projet'!$A$114,$BV$205^A61,IF(A61='Données projet'!$A$114,'Données projet'!$B$114,BY60+BX61-CG60)))</f>
        <v>278.24999999999989</v>
      </c>
      <c r="BZ61" s="13">
        <f>BY61*VLOOKUP('Données projet'!$B$12,Paramètres!$A$1:$I$89,3,0)*VLOOKUP('Données projet'!$B$12,Paramètres!$A$1:$I$89,5,0)</f>
        <v>217.03499999999991</v>
      </c>
      <c r="CA61" s="13">
        <f t="shared" si="39"/>
        <v>53.469949591969474</v>
      </c>
      <c r="CB61" s="20">
        <f t="shared" si="10"/>
        <v>471.12945387267996</v>
      </c>
      <c r="CC61" s="59">
        <f t="shared" si="11"/>
        <v>764.46278720601322</v>
      </c>
      <c r="CD61" s="59">
        <f ca="1">AVERAGE(OFFSET($CC$3,0,0,'Données projet'!$E$12+1,1))-AVERAGE(OFFSET($H$3,0,0,'Données projet'!$E$12+1,1))</f>
        <v>288.82868507674738</v>
      </c>
      <c r="CE61" s="59">
        <f t="shared" si="40"/>
        <v>283.48738729114024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1.5803244666507854</v>
      </c>
      <c r="CL61" s="21">
        <f>EXP(-LN(2)/25)*CL60+(1-EXP(-LN(2)/25))/(LN(2)/25)*Calculateur!CG61*Calculateur!CI61*VLOOKUP('Données projet'!$B$12,Paramètres!$A$1:$I$89,3,0)*0.475*44/12</f>
        <v>9.2356818083781</v>
      </c>
      <c r="CM61" s="21">
        <f>EXP(-LN(2)/2)*CM60+(1-EXP(-LN(2)/2))/(LN(2)/2)*CG61*CJ61*VLOOKUP('Données projet'!$B$12,Paramètres!$A$1:$I$89,3,0)*0.475*44/12</f>
        <v>1.4236052028430426</v>
      </c>
      <c r="CN61" s="22">
        <f t="shared" si="12"/>
        <v>12.239611477871927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328.19999999999976</v>
      </c>
      <c r="CU61" s="17">
        <f>CT61*VLOOKUP('Données projet'!$B$13,Paramètres!$A$1:$I$89,3,0)*VLOOKUP('Données projet'!$B$13,Paramètres!$A$1:$I$89,5,0)</f>
        <v>215.03663999999986</v>
      </c>
      <c r="CV61" s="13">
        <f t="shared" si="41"/>
        <v>53.034695460418575</v>
      </c>
      <c r="CW61" s="20">
        <f t="shared" si="13"/>
        <v>466.89090926022874</v>
      </c>
      <c r="CX61" s="59">
        <f t="shared" si="14"/>
        <v>760.22424259356205</v>
      </c>
      <c r="CY61" s="59">
        <f ca="1">AVERAGE(OFFSET($CX$3,0,0,'Données projet'!$E$13+1,1))-AVERAGE(OFFSET($H$3,0,0,'Données projet'!$E$13+1,1))</f>
        <v>340.49092994349405</v>
      </c>
      <c r="CZ61" s="59">
        <f t="shared" si="42"/>
        <v>331.54434271908832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9.239134796705164</v>
      </c>
      <c r="DG61" s="21">
        <f>EXP(-LN(2)/25)*DG60+(1-EXP(-LN(2)/25))/(LN(2)/25)*Calculateur!DB61*Calculateur!DD61*VLOOKUP('Données projet'!$B$13,Paramètres!$A$1:$I$89,3,0)*0.475*44/12</f>
        <v>6.2042127882529492</v>
      </c>
      <c r="DH61" s="21">
        <f>EXP(-LN(2)/2)*DH60+(1-EXP(-LN(2)/2))/(LN(2)/2)*DB61*DE61*VLOOKUP('Données projet'!$B$13,Paramètres!$A$1:$I$89,3,0)*0.475*44/12</f>
        <v>1.1016048719947091</v>
      </c>
      <c r="DI61" s="22">
        <f t="shared" si="15"/>
        <v>16.544952456952821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10.125</v>
      </c>
      <c r="DO61" s="12">
        <f>IF('Données projet'!$A$166&gt;35,DO60+DN61-DW60,IF(A61&lt;'Données projet'!$A$166,$DL$205^A61,IF(A61='Données projet'!$A$166,'Données projet'!$B$166,DO60+DN61-DW60)))</f>
        <v>229.75</v>
      </c>
      <c r="DP61" s="17">
        <f>DO61*VLOOKUP('Données projet'!$B$14,Paramètres!$A$1:$I$89,3,0)*VLOOKUP('Données projet'!$B$14,Paramètres!$A$1:$I$89,5,0)</f>
        <v>232.96650000000002</v>
      </c>
      <c r="DQ61" s="13">
        <f t="shared" si="43"/>
        <v>56.923628994135441</v>
      </c>
      <c r="DR61" s="20">
        <f t="shared" si="16"/>
        <v>504.89197466478595</v>
      </c>
      <c r="DS61" s="59">
        <f t="shared" si="17"/>
        <v>798.22530799811921</v>
      </c>
      <c r="DT61" s="59">
        <f ca="1">AVERAGE(OFFSET($DS$3,0,0,'Données projet'!$E$14+1,1))-AVERAGE(OFFSET($H$3,0,0,'Données projet'!$E$14+1,1))</f>
        <v>586.50020405958992</v>
      </c>
      <c r="DU61" s="59">
        <f t="shared" si="44"/>
        <v>304.44184537595294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20.295867563124816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20.295867563124816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</v>
      </c>
      <c r="N62" s="13">
        <f>IF('Données projet'!$A$36&gt;35,N61+M62-V61,IF(A62&lt;'Données projet'!$A$36,$K$205^A62,IF(A62='Données projet'!$A$36,'Données projet'!$B$36,N61+M62-V61)))</f>
        <v>323.00000000000006</v>
      </c>
      <c r="O62" s="13">
        <f>N62*VLOOKUP('Données projet'!$B$9,Paramètres!$A$1:$I$89,3,0)*VLOOKUP('Données projet'!$B$9,Paramètres!$A$1:$I$89,5,0)</f>
        <v>277.13400000000007</v>
      </c>
      <c r="P62" s="13">
        <f t="shared" si="33"/>
        <v>66.360978503745613</v>
      </c>
      <c r="Q62" s="20">
        <f t="shared" si="53"/>
        <v>598.25375422735704</v>
      </c>
      <c r="R62" s="59">
        <f t="shared" si="0"/>
        <v>891.58708756069041</v>
      </c>
      <c r="S62" s="59">
        <f ca="1">AVERAGE(OFFSET($R$3,0,0,'Données projet'!$E$9+1,1))-AVERAGE(OFFSET($H$3,0,0,'Données projet'!$E$9+1,1))</f>
        <v>536.21423347711345</v>
      </c>
      <c r="T62" s="59">
        <f t="shared" si="34"/>
        <v>312.14361830038712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14.670320816888037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14.670320816888037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10.125</v>
      </c>
      <c r="AI62" s="13">
        <f>IF('Données projet'!$A$62&gt;35,AI61+AH62-AQ61,IF(A62&lt;'Données projet'!$A$62,$AF$205^A62,IF(A62='Données projet'!$A$62,'Données projet'!$B$62,AI61+AH62-AQ61)))</f>
        <v>239.875</v>
      </c>
      <c r="AJ62" s="13">
        <f>AI62*VLOOKUP('Données projet'!$B$10,Paramètres!$A$1:$I$89,3,0)*VLOOKUP('Données projet'!$B$10,Paramètres!$A$1:$I$89,5,0)</f>
        <v>217.03890000000001</v>
      </c>
      <c r="AK62" s="13">
        <f t="shared" si="35"/>
        <v>53.470798576660421</v>
      </c>
      <c r="AL62" s="20">
        <f t="shared" si="4"/>
        <v>471.13772502101688</v>
      </c>
      <c r="AM62" s="59">
        <f t="shared" si="5"/>
        <v>764.47105835435013</v>
      </c>
      <c r="AN62" s="59">
        <f ca="1">AVERAGE(OFFSET($AM$3,0,0,'Données projet'!$E$10+1,1))-AVERAGE(OFFSET($H$3,0,0,'Données projet'!$E$10+1,1))</f>
        <v>528.15559695545812</v>
      </c>
      <c r="AO62" s="59">
        <f t="shared" si="36"/>
        <v>276.26988364830532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17.614935505281181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17.614935505281181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</v>
      </c>
      <c r="BD62" s="12">
        <f>IF('Données projet'!$A$88&gt;35,BD61+BC62-BL61,IF(A62&lt;'Données projet'!$A$88,$BA$205^A62,IF(A62='Données projet'!$A$88,'Données projet'!$B$88,BD61+BC62-BL61)))</f>
        <v>323.00000000000006</v>
      </c>
      <c r="BE62" s="13">
        <f>BD62*VLOOKUP('Données projet'!$B$11,Paramètres!$A$1:$I$89,3,0)*VLOOKUP('Données projet'!$B$11,Paramètres!$A$1:$I$89,5,0)</f>
        <v>236.82360000000006</v>
      </c>
      <c r="BF62" s="13">
        <f t="shared" si="37"/>
        <v>57.755583516581098</v>
      </c>
      <c r="BG62" s="20">
        <f t="shared" si="7"/>
        <v>513.05874462471218</v>
      </c>
      <c r="BH62" s="59">
        <f t="shared" si="8"/>
        <v>806.39207795804555</v>
      </c>
      <c r="BI62" s="59">
        <f ca="1">AVERAGE(OFFSET($BH$3,0,0,'Données projet'!$E$11+1,1))-AVERAGE(OFFSET($H$3,0,0,'Données projet'!$E$11+1,1))</f>
        <v>464.3681853739115</v>
      </c>
      <c r="BJ62" s="59">
        <f t="shared" si="38"/>
        <v>272.97841038165217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10.171086919701791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10.171086919701791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9.375</v>
      </c>
      <c r="BY62" s="12">
        <f>IF('Données projet'!$A$114&gt;35,BY61+BX62-CG61,IF(A62&lt;'Données projet'!$A$114,$BV$205^A62,IF(A62='Données projet'!$A$114,'Données projet'!$B$114,BY61+BX62-CG61)))</f>
        <v>287.62499999999989</v>
      </c>
      <c r="BZ62" s="13">
        <f>BY62*VLOOKUP('Données projet'!$B$12,Paramètres!$A$1:$I$89,3,0)*VLOOKUP('Données projet'!$B$12,Paramètres!$A$1:$I$89,5,0)</f>
        <v>224.34749999999991</v>
      </c>
      <c r="CA62" s="13">
        <f t="shared" si="39"/>
        <v>55.058714525680429</v>
      </c>
      <c r="CB62" s="20">
        <f t="shared" si="10"/>
        <v>486.63249029889329</v>
      </c>
      <c r="CC62" s="59">
        <f t="shared" si="11"/>
        <v>779.9658236322266</v>
      </c>
      <c r="CD62" s="59">
        <f ca="1">AVERAGE(OFFSET($CC$3,0,0,'Données projet'!$E$12+1,1))-AVERAGE(OFFSET($H$3,0,0,'Données projet'!$E$12+1,1))</f>
        <v>288.82868507674738</v>
      </c>
      <c r="CE62" s="59">
        <f t="shared" si="40"/>
        <v>283.48738729114024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1.5493352677625107</v>
      </c>
      <c r="CL62" s="21">
        <f>EXP(-LN(2)/25)*CL61+(1-EXP(-LN(2)/25))/(LN(2)/25)*Calculateur!CG62*Calculateur!CI62*VLOOKUP('Données projet'!$B$12,Paramètres!$A$1:$I$89,3,0)*0.475*44/12</f>
        <v>8.9831316036446029</v>
      </c>
      <c r="CM62" s="21">
        <f>EXP(-LN(2)/2)*CM61+(1-EXP(-LN(2)/2))/(LN(2)/2)*CG62*CJ62*VLOOKUP('Données projet'!$B$12,Paramètres!$A$1:$I$89,3,0)*0.475*44/12</f>
        <v>1.0066408926627659</v>
      </c>
      <c r="CN62" s="22">
        <f t="shared" si="12"/>
        <v>11.539107764069879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335.59999999999974</v>
      </c>
      <c r="CU62" s="17">
        <f>CT62*VLOOKUP('Données projet'!$B$13,Paramètres!$A$1:$I$89,3,0)*VLOOKUP('Données projet'!$B$13,Paramètres!$A$1:$I$89,5,0)</f>
        <v>219.88511999999983</v>
      </c>
      <c r="CV62" s="13">
        <f t="shared" si="41"/>
        <v>54.089916361227957</v>
      </c>
      <c r="CW62" s="20">
        <f t="shared" si="13"/>
        <v>477.17318832913844</v>
      </c>
      <c r="CX62" s="59">
        <f t="shared" si="14"/>
        <v>770.50652166247176</v>
      </c>
      <c r="CY62" s="59">
        <f ca="1">AVERAGE(OFFSET($CX$3,0,0,'Données projet'!$E$13+1,1))-AVERAGE(OFFSET($H$3,0,0,'Données projet'!$E$13+1,1))</f>
        <v>340.49092994349405</v>
      </c>
      <c r="CZ62" s="59">
        <f t="shared" si="42"/>
        <v>331.54434271908832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9.0579609986575598</v>
      </c>
      <c r="DG62" s="21">
        <f>EXP(-LN(2)/25)*DG61+(1-EXP(-LN(2)/25))/(LN(2)/25)*Calculateur!DB62*Calculateur!DD62*VLOOKUP('Données projet'!$B$13,Paramètres!$A$1:$I$89,3,0)*0.475*44/12</f>
        <v>6.0345582632928014</v>
      </c>
      <c r="DH62" s="21">
        <f>EXP(-LN(2)/2)*DH61+(1-EXP(-LN(2)/2))/(LN(2)/2)*DB62*DE62*VLOOKUP('Données projet'!$B$13,Paramètres!$A$1:$I$89,3,0)*0.475*44/12</f>
        <v>0.77895227517559751</v>
      </c>
      <c r="DI62" s="22">
        <f t="shared" si="15"/>
        <v>15.871471537125959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10.125</v>
      </c>
      <c r="DO62" s="12">
        <f>IF('Données projet'!$A$166&gt;35,DO61+DN62-DW61,IF(A62&lt;'Données projet'!$A$166,$DL$205^A62,IF(A62='Données projet'!$A$166,'Données projet'!$B$166,DO61+DN62-DW61)))</f>
        <v>239.875</v>
      </c>
      <c r="DP62" s="17">
        <f>DO62*VLOOKUP('Données projet'!$B$14,Paramètres!$A$1:$I$89,3,0)*VLOOKUP('Données projet'!$B$14,Paramètres!$A$1:$I$89,5,0)</f>
        <v>243.23325000000003</v>
      </c>
      <c r="DQ62" s="13">
        <f t="shared" si="43"/>
        <v>59.134637252140763</v>
      </c>
      <c r="DR62" s="20">
        <f t="shared" si="16"/>
        <v>526.62407029747862</v>
      </c>
      <c r="DS62" s="59">
        <f t="shared" si="17"/>
        <v>819.957403630812</v>
      </c>
      <c r="DT62" s="59">
        <f ca="1">AVERAGE(OFFSET($DS$3,0,0,'Données projet'!$E$14+1,1))-AVERAGE(OFFSET($H$3,0,0,'Données projet'!$E$14+1,1))</f>
        <v>586.50020405958992</v>
      </c>
      <c r="DU62" s="59">
        <f t="shared" si="44"/>
        <v>304.44184537595294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19.740875997297881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19.740875997297881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336</v>
      </c>
      <c r="L63" s="12">
        <f>VLOOKUP(A63,'Données projet'!$A$35:$I$55,9,0)</f>
        <v>13</v>
      </c>
      <c r="M63" s="12">
        <f t="array" ref="M63">INDEX(L:L,MIN(IF(ISNUMBER(L63:L259),ROW(L63:L259),"")))</f>
        <v>13</v>
      </c>
      <c r="N63" s="13">
        <f>IF('Données projet'!$A$36&gt;35,N62+M63-V62,IF(A63&lt;'Données projet'!$A$36,$K$205^A63,IF(A63='Données projet'!$A$36,'Données projet'!$B$36,N62+M63-V62)))</f>
        <v>336.00000000000006</v>
      </c>
      <c r="O63" s="13">
        <f>N63*VLOOKUP('Données projet'!$B$9,Paramètres!$A$1:$I$89,3,0)*VLOOKUP('Données projet'!$B$9,Paramètres!$A$1:$I$89,5,0)</f>
        <v>288.28800000000007</v>
      </c>
      <c r="P63" s="13">
        <f t="shared" si="33"/>
        <v>68.715516926722444</v>
      </c>
      <c r="Q63" s="20">
        <f t="shared" si="53"/>
        <v>621.78112531404167</v>
      </c>
      <c r="R63" s="59">
        <f t="shared" si="0"/>
        <v>915.11445864737493</v>
      </c>
      <c r="S63" s="59">
        <f ca="1">AVERAGE(OFFSET($R$3,0,0,'Données projet'!$E$9+1,1))-AVERAGE(OFFSET($H$3,0,0,'Données projet'!$E$9+1,1))</f>
        <v>536.21423347711345</v>
      </c>
      <c r="T63" s="59">
        <f t="shared" si="34"/>
        <v>312.14361830038712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35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0.26500000000000001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23.031799893937329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23.031799893937329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250</v>
      </c>
      <c r="AG63" s="12">
        <f>VLOOKUP(A63,'Données projet'!$A$61:$I$81,9,0)</f>
        <v>10.125</v>
      </c>
      <c r="AH63" s="12">
        <f t="array" ref="AH63">INDEX(AG:AG,MIN(IF(ISNUMBER(AG63:AG259),ROW(AG63:AG259),"")))</f>
        <v>10.125</v>
      </c>
      <c r="AI63" s="13">
        <f>IF('Données projet'!$A$62&gt;35,AI62+AH63-AQ62,IF(A63&lt;'Données projet'!$A$62,$AF$205^A63,IF(A63='Données projet'!$A$62,'Données projet'!$B$62,AI62+AH63-AQ62)))</f>
        <v>250</v>
      </c>
      <c r="AJ63" s="13">
        <f>AI63*VLOOKUP('Données projet'!$B$10,Paramètres!$A$1:$I$89,3,0)*VLOOKUP('Données projet'!$B$10,Paramètres!$A$1:$I$89,5,0)</f>
        <v>226.20000000000002</v>
      </c>
      <c r="AK63" s="13">
        <f t="shared" si="35"/>
        <v>55.460237717698156</v>
      </c>
      <c r="AL63" s="20">
        <f t="shared" si="4"/>
        <v>490.55824735832431</v>
      </c>
      <c r="AM63" s="59">
        <f t="shared" si="5"/>
        <v>783.89158069165762</v>
      </c>
      <c r="AN63" s="59">
        <f ca="1">AVERAGE(OFFSET($AM$3,0,0,'Données projet'!$E$10+1,1))-AVERAGE(OFFSET($H$3,0,0,'Données projet'!$E$10+1,1))</f>
        <v>528.15559695545812</v>
      </c>
      <c r="AO63" s="59">
        <f t="shared" si="36"/>
        <v>276.26988364830532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54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0.215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28.700196327177657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28.700196327177657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336</v>
      </c>
      <c r="BB63" s="12">
        <f>VLOOKUP(A63,'Données projet'!$A$87:$I$107,9,0)</f>
        <v>13</v>
      </c>
      <c r="BC63" s="12">
        <f t="array" ref="BC63">INDEX(BB:BB,MIN(IF(ISNUMBER(BB63:BB259),ROW(BB63:BB259),"")))</f>
        <v>13</v>
      </c>
      <c r="BD63" s="12">
        <f>IF('Données projet'!$A$88&gt;35,BD62+BC63-BL62,IF(A63&lt;'Données projet'!$A$88,$BA$205^A63,IF(A63='Données projet'!$A$88,'Données projet'!$B$88,BD62+BC63-BL62)))</f>
        <v>336.00000000000006</v>
      </c>
      <c r="BE63" s="13">
        <f>BD63*VLOOKUP('Données projet'!$B$11,Paramètres!$A$1:$I$89,3,0)*VLOOKUP('Données projet'!$B$11,Paramètres!$A$1:$I$89,5,0)</f>
        <v>246.35520000000002</v>
      </c>
      <c r="BF63" s="13">
        <f t="shared" si="37"/>
        <v>59.804795924194437</v>
      </c>
      <c r="BG63" s="20">
        <f t="shared" si="7"/>
        <v>533.22865956797193</v>
      </c>
      <c r="BH63" s="59">
        <f t="shared" si="8"/>
        <v>826.5619929013053</v>
      </c>
      <c r="BI63" s="59">
        <f ca="1">AVERAGE(OFFSET($BH$3,0,0,'Données projet'!$E$11+1,1))-AVERAGE(OFFSET($H$3,0,0,'Données projet'!$E$11+1,1))</f>
        <v>464.3681853739115</v>
      </c>
      <c r="BJ63" s="59">
        <f t="shared" si="38"/>
        <v>272.97841038165217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35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15.968187850993941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15.968187850993941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297</v>
      </c>
      <c r="BW63" s="12">
        <f>VLOOKUP(A63,'Données projet'!$A$113:$I$133,9,0)</f>
        <v>9.375</v>
      </c>
      <c r="BX63" s="12">
        <f t="array" ref="BX63">INDEX(BW:BW,MIN(IF(ISNUMBER(BW63:BW259),ROW(BW63:BW259),"")))</f>
        <v>9.375</v>
      </c>
      <c r="BY63" s="12">
        <f>IF('Données projet'!$A$114&gt;35,BY62+BX63-CG62,IF(A63&lt;'Données projet'!$A$114,$BV$205^A63,IF(A63='Données projet'!$A$114,'Données projet'!$B$114,BY62+BX63-CG62)))</f>
        <v>296.99999999999989</v>
      </c>
      <c r="BZ63" s="13">
        <f>BY63*VLOOKUP('Données projet'!$B$12,Paramètres!$A$1:$I$89,3,0)*VLOOKUP('Données projet'!$B$12,Paramètres!$A$1:$I$89,5,0)</f>
        <v>231.65999999999991</v>
      </c>
      <c r="CA63" s="13">
        <f t="shared" si="39"/>
        <v>56.641461975682766</v>
      </c>
      <c r="CB63" s="20">
        <f t="shared" si="10"/>
        <v>502.125046274314</v>
      </c>
      <c r="CC63" s="59">
        <f t="shared" si="11"/>
        <v>795.45837960764732</v>
      </c>
      <c r="CD63" s="59">
        <f ca="1">AVERAGE(OFFSET($CC$3,0,0,'Données projet'!$E$12+1,1))-AVERAGE(OFFSET($H$3,0,0,'Données projet'!$E$12+1,1))</f>
        <v>288.82868507674738</v>
      </c>
      <c r="CE63" s="59">
        <f t="shared" si="40"/>
        <v>283.48738729114024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47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8.6000000000000007E-2</v>
      </c>
      <c r="CJ63" s="16">
        <f>IF(ISNA(VLOOKUP(A63,'Données projet'!$A$113:$I$133,7,0)),0%,VLOOKUP(A63,'Données projet'!$A$113:$I$133,7,0))</f>
        <v>0.3</v>
      </c>
      <c r="CK63" s="21">
        <f>EXP(-LN(2)/35)*CK62+(1-EXP(-LN(2)/35))/(LN(2)/35)*CG63*CH63*VLOOKUP('Données projet'!$B$12,Paramètres!$A$1:$I$89,3,0)*0.475*44/12</f>
        <v>6.7468779388273461</v>
      </c>
      <c r="CL63" s="21">
        <f>EXP(-LN(2)/25)*CL62+(1-EXP(-LN(2)/25))/(LN(2)/25)*Calculateur!CG63*Calculateur!CI63*VLOOKUP('Données projet'!$B$12,Paramètres!$A$1:$I$89,3,0)*0.475*44/12</f>
        <v>12.209047304960931</v>
      </c>
      <c r="CM63" s="21">
        <f>EXP(-LN(2)/2)*CM62+(1-EXP(-LN(2)/2))/(LN(2)/2)*CG63*CJ63*VLOOKUP('Données projet'!$B$12,Paramètres!$A$1:$I$89,3,0)*0.475*44/12</f>
        <v>11.088711608251581</v>
      </c>
      <c r="CN63" s="22">
        <f t="shared" si="12"/>
        <v>30.044636852039858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343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342.99999999999972</v>
      </c>
      <c r="CU63" s="17">
        <f>CT63*VLOOKUP('Données projet'!$B$13,Paramètres!$A$1:$I$89,3,0)*VLOOKUP('Données projet'!$B$13,Paramètres!$A$1:$I$89,5,0)</f>
        <v>224.73359999999983</v>
      </c>
      <c r="CV63" s="13">
        <f t="shared" si="41"/>
        <v>55.142432144655537</v>
      </c>
      <c r="CW63" s="20">
        <f t="shared" si="13"/>
        <v>487.45075598527472</v>
      </c>
      <c r="CX63" s="59">
        <f t="shared" si="14"/>
        <v>780.78408931860804</v>
      </c>
      <c r="CY63" s="59">
        <f ca="1">AVERAGE(OFFSET($CX$3,0,0,'Données projet'!$E$13+1,1))-AVERAGE(OFFSET($H$3,0,0,'Données projet'!$E$13+1,1))</f>
        <v>340.49092994349405</v>
      </c>
      <c r="CZ63" s="59">
        <f t="shared" si="42"/>
        <v>331.54434271908832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17</v>
      </c>
      <c r="DC63" s="16">
        <f>IF(ISNA(VLOOKUP(A63,'Données projet'!$A$139:$I$159,5,0)),0%,VLOOKUP(A63,'Données projet'!$A$139:$I$159,5,0)*VLOOKUP('Données projet'!$B$13,Paramètres!$A$1:$I$89,7,0))</f>
        <v>0.30099999999999999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12.586604462176897</v>
      </c>
      <c r="DG63" s="21">
        <f>EXP(-LN(2)/25)*DG62+(1-EXP(-LN(2)/25))/(LN(2)/25)*Calculateur!DB63*Calculateur!DD63*VLOOKUP('Données projet'!$B$13,Paramètres!$A$1:$I$89,3,0)*0.475*44/12</f>
        <v>5.869542950239433</v>
      </c>
      <c r="DH63" s="21">
        <f>EXP(-LN(2)/2)*DH62+(1-EXP(-LN(2)/2))/(LN(2)/2)*DB63*DE63*VLOOKUP('Données projet'!$B$13,Paramètres!$A$1:$I$89,3,0)*0.475*44/12</f>
        <v>2.6526784731254858</v>
      </c>
      <c r="DI63" s="22">
        <f t="shared" si="15"/>
        <v>21.108825885541815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250</v>
      </c>
      <c r="DM63" s="12">
        <f>VLOOKUP(A63,'Données projet'!$A$165:$I$185,9,0)</f>
        <v>10.125</v>
      </c>
      <c r="DN63" s="12">
        <f t="array" ref="DN63">INDEX(DM:DM,MIN(IF(ISNUMBER(DM63:DM259),ROW(DM63:DM259),"")))</f>
        <v>10.125</v>
      </c>
      <c r="DO63" s="12">
        <f>IF('Données projet'!$A$166&gt;35,DO62+DN63-DW62,IF(A63&lt;'Données projet'!$A$166,$DL$205^A63,IF(A63='Données projet'!$A$166,'Données projet'!$B$166,DO62+DN63-DW62)))</f>
        <v>250</v>
      </c>
      <c r="DP63" s="17">
        <f>DO63*VLOOKUP('Données projet'!$B$14,Paramètres!$A$1:$I$89,3,0)*VLOOKUP('Données projet'!$B$14,Paramètres!$A$1:$I$89,5,0)</f>
        <v>253.5</v>
      </c>
      <c r="DQ63" s="13">
        <f t="shared" si="43"/>
        <v>61.334805663162555</v>
      </c>
      <c r="DR63" s="20">
        <f t="shared" si="16"/>
        <v>548.3372865300081</v>
      </c>
      <c r="DS63" s="59">
        <f t="shared" si="17"/>
        <v>841.67061986334147</v>
      </c>
      <c r="DT63" s="59">
        <f ca="1">AVERAGE(OFFSET($DS$3,0,0,'Données projet'!$E$14+1,1))-AVERAGE(OFFSET($H$3,0,0,'Données projet'!$E$14+1,1))</f>
        <v>586.50020405958992</v>
      </c>
      <c r="DU63" s="59">
        <f t="shared" si="44"/>
        <v>304.44184537595294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54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0.215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32.164013125285308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32.164013125285308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12.4</v>
      </c>
      <c r="N64" s="13">
        <f>IF('Données projet'!$A$36&gt;35,N63+M64-V63,IF(A64&lt;'Données projet'!$A$36,$K$205^A64,IF(A64='Données projet'!$A$36,'Données projet'!$B$36,N63+M64-V63)))</f>
        <v>313.40000000000003</v>
      </c>
      <c r="O64" s="13">
        <f>N64*VLOOKUP('Données projet'!$B$9,Paramètres!$A$1:$I$89,3,0)*VLOOKUP('Données projet'!$B$9,Paramètres!$A$1:$I$89,5,0)</f>
        <v>268.89720000000005</v>
      </c>
      <c r="P64" s="13">
        <f t="shared" si="33"/>
        <v>64.615171575073688</v>
      </c>
      <c r="Q64" s="20">
        <f t="shared" si="53"/>
        <v>580.86738049325345</v>
      </c>
      <c r="R64" s="59">
        <f t="shared" si="0"/>
        <v>874.20071382658671</v>
      </c>
      <c r="S64" s="59">
        <f ca="1">AVERAGE(OFFSET($R$3,0,0,'Données projet'!$E$9+1,1))-AVERAGE(OFFSET($H$3,0,0,'Données projet'!$E$9+1,1))</f>
        <v>536.21423347711345</v>
      </c>
      <c r="T64" s="59">
        <f t="shared" si="34"/>
        <v>312.14361830038712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22.401994114647895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22.401994114647895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8.6666666666666661</v>
      </c>
      <c r="AI64" s="13">
        <f>IF('Données projet'!$A$62&gt;35,AI63+AH64-AQ63,IF(A64&lt;'Données projet'!$A$62,$AF$205^A64,IF(A64='Données projet'!$A$62,'Données projet'!$B$62,AI63+AH64-AQ63)))</f>
        <v>204.66666666666669</v>
      </c>
      <c r="AJ64" s="13">
        <f>AI64*VLOOKUP('Données projet'!$B$10,Paramètres!$A$1:$I$89,3,0)*VLOOKUP('Données projet'!$B$10,Paramètres!$A$1:$I$89,5,0)</f>
        <v>185.1824</v>
      </c>
      <c r="AK64" s="13">
        <f t="shared" si="35"/>
        <v>46.473263079642983</v>
      </c>
      <c r="AL64" s="20">
        <f t="shared" si="4"/>
        <v>403.46694653037821</v>
      </c>
      <c r="AM64" s="59">
        <f t="shared" si="5"/>
        <v>696.80027986371147</v>
      </c>
      <c r="AN64" s="59">
        <f ca="1">AVERAGE(OFFSET($AM$3,0,0,'Données projet'!$E$10+1,1))-AVERAGE(OFFSET($H$3,0,0,'Données projet'!$E$10+1,1))</f>
        <v>528.15559695545812</v>
      </c>
      <c r="AO64" s="59">
        <f t="shared" si="36"/>
        <v>276.26988364830532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27.915387949333255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27.915387949333255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12.4</v>
      </c>
      <c r="BD64" s="12">
        <f>IF('Données projet'!$A$88&gt;35,BD63+BC64-BL63,IF(A64&lt;'Données projet'!$A$88,$BA$205^A64,IF(A64='Données projet'!$A$88,'Données projet'!$B$88,BD63+BC64-BL63)))</f>
        <v>313.40000000000003</v>
      </c>
      <c r="BE64" s="13">
        <f>BD64*VLOOKUP('Données projet'!$B$11,Paramètres!$A$1:$I$89,3,0)*VLOOKUP('Données projet'!$B$11,Paramètres!$A$1:$I$89,5,0)</f>
        <v>229.78488000000002</v>
      </c>
      <c r="BF64" s="13">
        <f t="shared" si="37"/>
        <v>56.236165024778025</v>
      </c>
      <c r="BG64" s="20">
        <f t="shared" si="7"/>
        <v>498.15332008482181</v>
      </c>
      <c r="BH64" s="59">
        <f t="shared" si="8"/>
        <v>791.48665341815513</v>
      </c>
      <c r="BI64" s="59">
        <f ca="1">AVERAGE(OFFSET($BH$3,0,0,'Données projet'!$E$11+1,1))-AVERAGE(OFFSET($H$3,0,0,'Données projet'!$E$11+1,1))</f>
        <v>464.3681853739115</v>
      </c>
      <c r="BJ64" s="59">
        <f t="shared" si="38"/>
        <v>272.97841038165217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15.531536914478007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15.531536914478007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8.6666666666666661</v>
      </c>
      <c r="BY64" s="12">
        <f>IF('Données projet'!$A$114&gt;35,BY63+BX64-CG63,IF(A64&lt;'Données projet'!$A$114,$BV$205^A64,IF(A64='Données projet'!$A$114,'Données projet'!$B$114,BY63+BX64-CG63)))</f>
        <v>258.66666666666657</v>
      </c>
      <c r="BZ64" s="13">
        <f>BY64*VLOOKUP('Données projet'!$B$12,Paramètres!$A$1:$I$89,3,0)*VLOOKUP('Données projet'!$B$12,Paramètres!$A$1:$I$89,5,0)</f>
        <v>201.75999999999993</v>
      </c>
      <c r="CA64" s="13">
        <f t="shared" si="39"/>
        <v>50.130765000424169</v>
      </c>
      <c r="CB64" s="20">
        <f t="shared" si="10"/>
        <v>438.70974904240529</v>
      </c>
      <c r="CC64" s="59">
        <f t="shared" si="11"/>
        <v>732.04308237573855</v>
      </c>
      <c r="CD64" s="59">
        <f ca="1">AVERAGE(OFFSET($CC$3,0,0,'Données projet'!$E$12+1,1))-AVERAGE(OFFSET($H$3,0,0,'Données projet'!$E$12+1,1))</f>
        <v>288.82868507674738</v>
      </c>
      <c r="CE64" s="59">
        <f t="shared" si="40"/>
        <v>283.48738729114024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6.6145757776361433</v>
      </c>
      <c r="CL64" s="21">
        <f>EXP(-LN(2)/25)*CL63+(1-EXP(-LN(2)/25))/(LN(2)/25)*Calculateur!CG64*Calculateur!CI64*VLOOKUP('Données projet'!$B$12,Paramètres!$A$1:$I$89,3,0)*0.475*44/12</f>
        <v>11.875190264360882</v>
      </c>
      <c r="CM64" s="21">
        <f>EXP(-LN(2)/2)*CM63+(1-EXP(-LN(2)/2))/(LN(2)/2)*CG64*CJ64*VLOOKUP('Données projet'!$B$12,Paramètres!$A$1:$I$89,3,0)*0.475*44/12</f>
        <v>7.84090317281668</v>
      </c>
      <c r="CN64" s="22">
        <f t="shared" si="12"/>
        <v>26.330669214813707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331.99999999999972</v>
      </c>
      <c r="CU64" s="17">
        <f>CT64*VLOOKUP('Données projet'!$B$13,Paramètres!$A$1:$I$89,3,0)*VLOOKUP('Données projet'!$B$13,Paramètres!$A$1:$I$89,5,0)</f>
        <v>217.52639999999982</v>
      </c>
      <c r="CV64" s="13">
        <f t="shared" si="41"/>
        <v>53.576907690651204</v>
      </c>
      <c r="CW64" s="20">
        <f t="shared" si="13"/>
        <v>472.17159422788382</v>
      </c>
      <c r="CX64" s="59">
        <f t="shared" si="14"/>
        <v>765.50492756121707</v>
      </c>
      <c r="CY64" s="59">
        <f ca="1">AVERAGE(OFFSET($CX$3,0,0,'Données projet'!$E$13+1,1))-AVERAGE(OFFSET($H$3,0,0,'Données projet'!$E$13+1,1))</f>
        <v>340.49092994349405</v>
      </c>
      <c r="CZ64" s="59">
        <f t="shared" si="42"/>
        <v>331.54434271908832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12.339788825744282</v>
      </c>
      <c r="DG64" s="21">
        <f>EXP(-LN(2)/25)*DG63+(1-EXP(-LN(2)/25))/(LN(2)/25)*Calculateur!DB64*Calculateur!DD64*VLOOKUP('Données projet'!$B$13,Paramètres!$A$1:$I$89,3,0)*0.475*44/12</f>
        <v>5.7090399895992867</v>
      </c>
      <c r="DH64" s="21">
        <f>EXP(-LN(2)/2)*DH63+(1-EXP(-LN(2)/2))/(LN(2)/2)*DB64*DE64*VLOOKUP('Données projet'!$B$13,Paramètres!$A$1:$I$89,3,0)*0.475*44/12</f>
        <v>1.8757269366546079</v>
      </c>
      <c r="DI64" s="22">
        <f t="shared" si="15"/>
        <v>19.924555751998177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204.66666666666669</v>
      </c>
      <c r="DP64" s="17">
        <f>DO64*VLOOKUP('Données projet'!$B$14,Paramètres!$A$1:$I$89,3,0)*VLOOKUP('Données projet'!$B$14,Paramètres!$A$1:$I$89,5,0)</f>
        <v>207.53200000000004</v>
      </c>
      <c r="DQ64" s="13">
        <f t="shared" si="43"/>
        <v>51.395895092121414</v>
      </c>
      <c r="DR64" s="20">
        <f t="shared" si="16"/>
        <v>450.96608395211155</v>
      </c>
      <c r="DS64" s="59">
        <f t="shared" si="17"/>
        <v>744.29941728544486</v>
      </c>
      <c r="DT64" s="59">
        <f ca="1">AVERAGE(OFFSET($DS$3,0,0,'Données projet'!$E$14+1,1))-AVERAGE(OFFSET($H$3,0,0,'Données projet'!$E$14+1,1))</f>
        <v>586.50020405958992</v>
      </c>
      <c r="DU64" s="59">
        <f t="shared" si="44"/>
        <v>304.44184537595294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31.284486494942442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31.284486494942442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12.4</v>
      </c>
      <c r="N65" s="13">
        <f>IF('Données projet'!$A$36&gt;35,N64+M65-V64,IF(A65&lt;'Données projet'!$A$36,$K$205^A65,IF(A65='Données projet'!$A$36,'Données projet'!$B$36,N64+M65-V64)))</f>
        <v>325.8</v>
      </c>
      <c r="O65" s="13">
        <f>N65*VLOOKUP('Données projet'!$B$9,Paramètres!$A$1:$I$89,3,0)*VLOOKUP('Données projet'!$B$9,Paramètres!$A$1:$I$89,5,0)</f>
        <v>279.53640000000007</v>
      </c>
      <c r="P65" s="13">
        <f t="shared" si="33"/>
        <v>66.869027427528763</v>
      </c>
      <c r="Q65" s="20">
        <f t="shared" si="53"/>
        <v>603.322786102946</v>
      </c>
      <c r="R65" s="59">
        <f t="shared" si="0"/>
        <v>896.65611943627937</v>
      </c>
      <c r="S65" s="59">
        <f ca="1">AVERAGE(OFFSET($R$3,0,0,'Données projet'!$E$9+1,1))-AVERAGE(OFFSET($H$3,0,0,'Données projet'!$E$9+1,1))</f>
        <v>536.21423347711345</v>
      </c>
      <c r="T65" s="59">
        <f t="shared" si="34"/>
        <v>312.14361830038712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21.789410407513177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21.789410407513177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8.6666666666666661</v>
      </c>
      <c r="AI65" s="13">
        <f>IF('Données projet'!$A$62&gt;35,AI64+AH65-AQ64,IF(A65&lt;'Données projet'!$A$62,$AF$205^A65,IF(A65='Données projet'!$A$62,'Données projet'!$B$62,AI64+AH65-AQ64)))</f>
        <v>213.33333333333334</v>
      </c>
      <c r="AJ65" s="13">
        <f>AI65*VLOOKUP('Données projet'!$B$10,Paramètres!$A$1:$I$89,3,0)*VLOOKUP('Données projet'!$B$10,Paramètres!$A$1:$I$89,5,0)</f>
        <v>193.024</v>
      </c>
      <c r="AK65" s="13">
        <f t="shared" si="35"/>
        <v>48.207900663536861</v>
      </c>
      <c r="AL65" s="20">
        <f t="shared" si="4"/>
        <v>420.14556032232667</v>
      </c>
      <c r="AM65" s="59">
        <f t="shared" si="5"/>
        <v>713.47889365565993</v>
      </c>
      <c r="AN65" s="59">
        <f ca="1">AVERAGE(OFFSET($AM$3,0,0,'Données projet'!$E$10+1,1))-AVERAGE(OFFSET($H$3,0,0,'Données projet'!$E$10+1,1))</f>
        <v>528.15559695545812</v>
      </c>
      <c r="AO65" s="59">
        <f t="shared" si="36"/>
        <v>276.26988364830532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27.152040197852287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27.152040197852287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12.4</v>
      </c>
      <c r="BD65" s="12">
        <f>IF('Données projet'!$A$88&gt;35,BD64+BC65-BL64,IF(A65&lt;'Données projet'!$A$88,$BA$205^A65,IF(A65='Données projet'!$A$88,'Données projet'!$B$88,BD64+BC65-BL64)))</f>
        <v>325.8</v>
      </c>
      <c r="BE65" s="13">
        <f>BD65*VLOOKUP('Données projet'!$B$11,Paramètres!$A$1:$I$89,3,0)*VLOOKUP('Données projet'!$B$11,Paramètres!$A$1:$I$89,5,0)</f>
        <v>238.87656000000001</v>
      </c>
      <c r="BF65" s="13">
        <f t="shared" si="37"/>
        <v>58.197750927455104</v>
      </c>
      <c r="BG65" s="20">
        <f t="shared" si="7"/>
        <v>517.40442486531765</v>
      </c>
      <c r="BH65" s="59">
        <f t="shared" si="8"/>
        <v>810.73775819865091</v>
      </c>
      <c r="BI65" s="59">
        <f ca="1">AVERAGE(OFFSET($BH$3,0,0,'Données projet'!$E$11+1,1))-AVERAGE(OFFSET($H$3,0,0,'Données projet'!$E$11+1,1))</f>
        <v>464.3681853739115</v>
      </c>
      <c r="BJ65" s="59">
        <f t="shared" si="38"/>
        <v>272.97841038165217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15.106826220783578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15.106826220783578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8.6666666666666661</v>
      </c>
      <c r="BY65" s="12">
        <f>IF('Données projet'!$A$114&gt;35,BY64+BX65-CG64,IF(A65&lt;'Données projet'!$A$114,$BV$205^A65,IF(A65='Données projet'!$A$114,'Données projet'!$B$114,BY64+BX65-CG64)))</f>
        <v>267.33333333333326</v>
      </c>
      <c r="BZ65" s="13">
        <f>BY65*VLOOKUP('Données projet'!$B$12,Paramètres!$A$1:$I$89,3,0)*VLOOKUP('Données projet'!$B$12,Paramètres!$A$1:$I$89,5,0)</f>
        <v>208.51999999999995</v>
      </c>
      <c r="CA65" s="13">
        <f t="shared" si="39"/>
        <v>51.612035456318459</v>
      </c>
      <c r="CB65" s="20">
        <f t="shared" si="10"/>
        <v>453.06329508642119</v>
      </c>
      <c r="CC65" s="59">
        <f t="shared" si="11"/>
        <v>746.39662841975451</v>
      </c>
      <c r="CD65" s="59">
        <f ca="1">AVERAGE(OFFSET($CC$3,0,0,'Données projet'!$E$12+1,1))-AVERAGE(OFFSET($H$3,0,0,'Données projet'!$E$12+1,1))</f>
        <v>288.82868507674738</v>
      </c>
      <c r="CE65" s="59">
        <f t="shared" si="40"/>
        <v>283.48738729114024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6.4848679811295495</v>
      </c>
      <c r="CL65" s="21">
        <f>EXP(-LN(2)/25)*CL64+(1-EXP(-LN(2)/25))/(LN(2)/25)*Calculateur!CG65*Calculateur!CI65*VLOOKUP('Données projet'!$B$12,Paramètres!$A$1:$I$89,3,0)*0.475*44/12</f>
        <v>11.550462562092818</v>
      </c>
      <c r="CM65" s="21">
        <f>EXP(-LN(2)/2)*CM64+(1-EXP(-LN(2)/2))/(LN(2)/2)*CG65*CJ65*VLOOKUP('Données projet'!$B$12,Paramètres!$A$1:$I$89,3,0)*0.475*44/12</f>
        <v>5.5443558041257912</v>
      </c>
      <c r="CN65" s="22">
        <f t="shared" si="12"/>
        <v>23.579686347348158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337.99999999999972</v>
      </c>
      <c r="CU65" s="17">
        <f>CT65*VLOOKUP('Données projet'!$B$13,Paramètres!$A$1:$I$89,3,0)*VLOOKUP('Données projet'!$B$13,Paramètres!$A$1:$I$89,5,0)</f>
        <v>221.45759999999979</v>
      </c>
      <c r="CV65" s="13">
        <f t="shared" si="41"/>
        <v>54.431566019643213</v>
      </c>
      <c r="CW65" s="20">
        <f t="shared" si="13"/>
        <v>480.5069641508781</v>
      </c>
      <c r="CX65" s="59">
        <f t="shared" si="14"/>
        <v>773.84029748421142</v>
      </c>
      <c r="CY65" s="59">
        <f ca="1">AVERAGE(OFFSET($CX$3,0,0,'Données projet'!$E$13+1,1))-AVERAGE(OFFSET($H$3,0,0,'Données projet'!$E$13+1,1))</f>
        <v>340.49092994349405</v>
      </c>
      <c r="CZ65" s="59">
        <f t="shared" si="42"/>
        <v>331.54434271908832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12.097813093399438</v>
      </c>
      <c r="DG65" s="21">
        <f>EXP(-LN(2)/25)*DG64+(1-EXP(-LN(2)/25))/(LN(2)/25)*Calculateur!DB65*Calculateur!DD65*VLOOKUP('Données projet'!$B$13,Paramètres!$A$1:$I$89,3,0)*0.475*44/12</f>
        <v>5.5529259908583297</v>
      </c>
      <c r="DH65" s="21">
        <f>EXP(-LN(2)/2)*DH64+(1-EXP(-LN(2)/2))/(LN(2)/2)*DB65*DE65*VLOOKUP('Données projet'!$B$13,Paramètres!$A$1:$I$89,3,0)*0.475*44/12</f>
        <v>1.3263392365627429</v>
      </c>
      <c r="DI65" s="22">
        <f t="shared" si="15"/>
        <v>18.97707832082051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213.33333333333334</v>
      </c>
      <c r="DP65" s="17">
        <f>DO65*VLOOKUP('Données projet'!$B$14,Paramètres!$A$1:$I$89,3,0)*VLOOKUP('Données projet'!$B$14,Paramètres!$A$1:$I$89,5,0)</f>
        <v>216.32000000000005</v>
      </c>
      <c r="DQ65" s="13">
        <f t="shared" si="43"/>
        <v>53.314272356310404</v>
      </c>
      <c r="DR65" s="20">
        <f t="shared" si="16"/>
        <v>469.61302435390735</v>
      </c>
      <c r="DS65" s="59">
        <f t="shared" si="17"/>
        <v>762.94635768724061</v>
      </c>
      <c r="DT65" s="59">
        <f ca="1">AVERAGE(OFFSET($DS$3,0,0,'Données projet'!$E$14+1,1))-AVERAGE(OFFSET($H$3,0,0,'Données projet'!$E$14+1,1))</f>
        <v>586.50020405958992</v>
      </c>
      <c r="DU65" s="59">
        <f t="shared" si="44"/>
        <v>304.44184537595294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30.429010566558599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30.429010566558599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12.4</v>
      </c>
      <c r="N66" s="13">
        <f>IF('Données projet'!$A$36&gt;35,N65+M66-V65,IF(A66&lt;'Données projet'!$A$36,$K$205^A66,IF(A66='Données projet'!$A$36,'Données projet'!$B$36,N65+M66-V65)))</f>
        <v>338.2</v>
      </c>
      <c r="O66" s="13">
        <f>N66*VLOOKUP('Données projet'!$B$9,Paramètres!$A$1:$I$89,3,0)*VLOOKUP('Données projet'!$B$9,Paramètres!$A$1:$I$89,5,0)</f>
        <v>290.17560000000003</v>
      </c>
      <c r="P66" s="13">
        <f t="shared" si="33"/>
        <v>69.112917785973508</v>
      </c>
      <c r="Q66" s="20">
        <f t="shared" si="53"/>
        <v>625.76083514390393</v>
      </c>
      <c r="R66" s="59">
        <f t="shared" si="0"/>
        <v>919.09416847723719</v>
      </c>
      <c r="S66" s="59">
        <f ca="1">AVERAGE(OFFSET($R$3,0,0,'Données projet'!$E$9+1,1))-AVERAGE(OFFSET($H$3,0,0,'Données projet'!$E$9+1,1))</f>
        <v>536.21423347711345</v>
      </c>
      <c r="T66" s="59">
        <f t="shared" si="34"/>
        <v>312.14361830038712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21.193577834064435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21.193577834064435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8.6666666666666661</v>
      </c>
      <c r="AI66" s="13">
        <f>IF('Données projet'!$A$62&gt;35,AI65+AH66-AQ65,IF(A66&lt;'Données projet'!$A$62,$AF$205^A66,IF(A66='Données projet'!$A$62,'Données projet'!$B$62,AI65+AH66-AQ65)))</f>
        <v>222</v>
      </c>
      <c r="AJ66" s="13">
        <f>AI66*VLOOKUP('Données projet'!$B$10,Paramètres!$A$1:$I$89,3,0)*VLOOKUP('Données projet'!$B$10,Paramètres!$A$1:$I$89,5,0)</f>
        <v>200.8656</v>
      </c>
      <c r="AK66" s="13">
        <f t="shared" si="35"/>
        <v>49.934352565642911</v>
      </c>
      <c r="AL66" s="20">
        <f t="shared" si="4"/>
        <v>436.80991738516144</v>
      </c>
      <c r="AM66" s="59">
        <f t="shared" si="5"/>
        <v>730.14325071849476</v>
      </c>
      <c r="AN66" s="59">
        <f ca="1">AVERAGE(OFFSET($AM$3,0,0,'Données projet'!$E$10+1,1))-AVERAGE(OFFSET($H$3,0,0,'Données projet'!$E$10+1,1))</f>
        <v>528.15559695545812</v>
      </c>
      <c r="AO66" s="59">
        <f t="shared" si="36"/>
        <v>276.26988364830532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26.409566230778278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26.409566230778278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12.4</v>
      </c>
      <c r="BD66" s="12">
        <f>IF('Données projet'!$A$88&gt;35,BD65+BC66-BL65,IF(A66&lt;'Données projet'!$A$88,$BA$205^A66,IF(A66='Données projet'!$A$88,'Données projet'!$B$88,BD65+BC66-BL65)))</f>
        <v>338.2</v>
      </c>
      <c r="BE66" s="13">
        <f>BD66*VLOOKUP('Données projet'!$B$11,Paramètres!$A$1:$I$89,3,0)*VLOOKUP('Données projet'!$B$11,Paramètres!$A$1:$I$89,5,0)</f>
        <v>247.96823999999998</v>
      </c>
      <c r="BF66" s="13">
        <f t="shared" si="37"/>
        <v>60.150663616828652</v>
      </c>
      <c r="BG66" s="20">
        <f t="shared" si="7"/>
        <v>536.64042379930981</v>
      </c>
      <c r="BH66" s="59">
        <f t="shared" si="8"/>
        <v>829.97375713264319</v>
      </c>
      <c r="BI66" s="59">
        <f ca="1">AVERAGE(OFFSET($BH$3,0,0,'Données projet'!$E$11+1,1))-AVERAGE(OFFSET($H$3,0,0,'Données projet'!$E$11+1,1))</f>
        <v>464.3681853739115</v>
      </c>
      <c r="BJ66" s="59">
        <f t="shared" si="38"/>
        <v>272.97841038165217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14.693729263342787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14.693729263342787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8.6666666666666661</v>
      </c>
      <c r="BY66" s="12">
        <f>IF('Données projet'!$A$114&gt;35,BY65+BX66-CG65,IF(A66&lt;'Données projet'!$A$114,$BV$205^A66,IF(A66='Données projet'!$A$114,'Données projet'!$B$114,BY65+BX66-CG65)))</f>
        <v>275.99999999999994</v>
      </c>
      <c r="BZ66" s="13">
        <f>BY66*VLOOKUP('Données projet'!$B$12,Paramètres!$A$1:$I$89,3,0)*VLOOKUP('Données projet'!$B$12,Paramètres!$A$1:$I$89,5,0)</f>
        <v>215.27999999999997</v>
      </c>
      <c r="CA66" s="13">
        <f t="shared" si="39"/>
        <v>53.087725740853138</v>
      </c>
      <c r="CB66" s="20">
        <f t="shared" si="10"/>
        <v>467.40712233198587</v>
      </c>
      <c r="CC66" s="59">
        <f t="shared" si="11"/>
        <v>760.74045566531913</v>
      </c>
      <c r="CD66" s="59">
        <f ca="1">AVERAGE(OFFSET($CC$3,0,0,'Données projet'!$E$12+1,1))-AVERAGE(OFFSET($H$3,0,0,'Données projet'!$E$12+1,1))</f>
        <v>288.82868507674738</v>
      </c>
      <c r="CE66" s="59">
        <f t="shared" si="40"/>
        <v>283.48738729114024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6.3577036753985059</v>
      </c>
      <c r="CL66" s="21">
        <f>EXP(-LN(2)/25)*CL65+(1-EXP(-LN(2)/25))/(LN(2)/25)*Calculateur!CG66*Calculateur!CI66*VLOOKUP('Données projet'!$B$12,Paramètres!$A$1:$I$89,3,0)*0.475*44/12</f>
        <v>11.234614555919963</v>
      </c>
      <c r="CM66" s="21">
        <f>EXP(-LN(2)/2)*CM65+(1-EXP(-LN(2)/2))/(LN(2)/2)*CG66*CJ66*VLOOKUP('Données projet'!$B$12,Paramètres!$A$1:$I$89,3,0)*0.475*44/12</f>
        <v>3.9204515864083409</v>
      </c>
      <c r="CN66" s="22">
        <f t="shared" si="12"/>
        <v>21.512769817726809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343.99999999999972</v>
      </c>
      <c r="CU66" s="17">
        <f>CT66*VLOOKUP('Données projet'!$B$13,Paramètres!$A$1:$I$89,3,0)*VLOOKUP('Données projet'!$B$13,Paramètres!$A$1:$I$89,5,0)</f>
        <v>225.3887999999998</v>
      </c>
      <c r="CV66" s="13">
        <f t="shared" si="41"/>
        <v>55.284460117161544</v>
      </c>
      <c r="CW66" s="20">
        <f t="shared" si="13"/>
        <v>488.83926137072262</v>
      </c>
      <c r="CX66" s="59">
        <f t="shared" si="14"/>
        <v>782.17259470405588</v>
      </c>
      <c r="CY66" s="59">
        <f ca="1">AVERAGE(OFFSET($CX$3,0,0,'Données projet'!$E$13+1,1))-AVERAGE(OFFSET($H$3,0,0,'Données projet'!$E$13+1,1))</f>
        <v>340.49092994349405</v>
      </c>
      <c r="CZ66" s="59">
        <f t="shared" si="42"/>
        <v>331.54434271908832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11.860582357575252</v>
      </c>
      <c r="DG66" s="21">
        <f>EXP(-LN(2)/25)*DG65+(1-EXP(-LN(2)/25))/(LN(2)/25)*Calculateur!DB66*Calculateur!DD66*VLOOKUP('Données projet'!$B$13,Paramètres!$A$1:$I$89,3,0)*0.475*44/12</f>
        <v>5.4010809376226225</v>
      </c>
      <c r="DH66" s="21">
        <f>EXP(-LN(2)/2)*DH65+(1-EXP(-LN(2)/2))/(LN(2)/2)*DB66*DE66*VLOOKUP('Données projet'!$B$13,Paramètres!$A$1:$I$89,3,0)*0.475*44/12</f>
        <v>0.93786346832730394</v>
      </c>
      <c r="DI66" s="22">
        <f t="shared" si="15"/>
        <v>18.199526763525178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222</v>
      </c>
      <c r="DP66" s="17">
        <f>DO66*VLOOKUP('Données projet'!$B$14,Paramètres!$A$1:$I$89,3,0)*VLOOKUP('Données projet'!$B$14,Paramètres!$A$1:$I$89,5,0)</f>
        <v>225.10800000000003</v>
      </c>
      <c r="DQ66" s="13">
        <f t="shared" si="43"/>
        <v>55.22359687888963</v>
      </c>
      <c r="DR66" s="20">
        <f t="shared" si="16"/>
        <v>488.24419789739949</v>
      </c>
      <c r="DS66" s="59">
        <f t="shared" si="17"/>
        <v>781.5775312307328</v>
      </c>
      <c r="DT66" s="59">
        <f ca="1">AVERAGE(OFFSET($DS$3,0,0,'Données projet'!$E$14+1,1))-AVERAGE(OFFSET($H$3,0,0,'Données projet'!$E$14+1,1))</f>
        <v>586.50020405958992</v>
      </c>
      <c r="DU66" s="59">
        <f t="shared" si="44"/>
        <v>304.44184537595294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29.596927672423934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29.596927672423934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12.4</v>
      </c>
      <c r="N67" s="13">
        <f>IF('Données projet'!$A$36&gt;35,N66+M67-V66,IF(A67&lt;'Données projet'!$A$36,$K$205^A67,IF(A67='Données projet'!$A$36,'Données projet'!$B$36,N66+M67-V66)))</f>
        <v>350.59999999999997</v>
      </c>
      <c r="O67" s="13">
        <f>N67*VLOOKUP('Données projet'!$B$9,Paramètres!$A$1:$I$89,3,0)*VLOOKUP('Données projet'!$B$9,Paramètres!$A$1:$I$89,5,0)</f>
        <v>300.81479999999999</v>
      </c>
      <c r="P67" s="13">
        <f t="shared" si="33"/>
        <v>71.347249879076941</v>
      </c>
      <c r="Q67" s="20">
        <f t="shared" ref="Q67:Q98" si="54">(O67+P67)*0.475*44/12</f>
        <v>648.18223687272553</v>
      </c>
      <c r="R67" s="59">
        <f t="shared" ref="R67:R130" si="55">Q67+(I67+J67)*44/12</f>
        <v>941.51557020605878</v>
      </c>
      <c r="S67" s="59">
        <f ca="1">AVERAGE(OFFSET($R$3,0,0,'Données projet'!$E$9+1,1))-AVERAGE(OFFSET($H$3,0,0,'Données projet'!$E$9+1,1))</f>
        <v>536.21423347711345</v>
      </c>
      <c r="T67" s="59">
        <f t="shared" si="34"/>
        <v>312.14361830038712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20.614038333670123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20.614038333670123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8.6666666666666661</v>
      </c>
      <c r="AI67" s="13">
        <f>IF('Données projet'!$A$62&gt;35,AI66+AH67-AQ66,IF(A67&lt;'Données projet'!$A$62,$AF$205^A67,IF(A67='Données projet'!$A$62,'Données projet'!$B$62,AI66+AH67-AQ66)))</f>
        <v>230.66666666666666</v>
      </c>
      <c r="AJ67" s="13">
        <f>AI67*VLOOKUP('Données projet'!$B$10,Paramètres!$A$1:$I$89,3,0)*VLOOKUP('Données projet'!$B$10,Paramètres!$A$1:$I$89,5,0)</f>
        <v>208.7072</v>
      </c>
      <c r="AK67" s="13">
        <f t="shared" si="35"/>
        <v>51.652974918933275</v>
      </c>
      <c r="AL67" s="20">
        <f t="shared" si="4"/>
        <v>453.46063798380879</v>
      </c>
      <c r="AM67" s="59">
        <f t="shared" si="5"/>
        <v>746.79397131714211</v>
      </c>
      <c r="AN67" s="59">
        <f ca="1">AVERAGE(OFFSET($AM$3,0,0,'Données projet'!$E$10+1,1))-AVERAGE(OFFSET($H$3,0,0,'Données projet'!$E$10+1,1))</f>
        <v>528.15559695545812</v>
      </c>
      <c r="AO67" s="59">
        <f t="shared" si="36"/>
        <v>276.26988364830532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25.687395253378916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25.687395253378916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12.4</v>
      </c>
      <c r="BD67" s="12">
        <f>IF('Données projet'!$A$88&gt;35,BD66+BC67-BL66,IF(A67&lt;'Données projet'!$A$88,$BA$205^A67,IF(A67='Données projet'!$A$88,'Données projet'!$B$88,BD66+BC67-BL66)))</f>
        <v>350.59999999999997</v>
      </c>
      <c r="BE67" s="13">
        <f>BD67*VLOOKUP('Données projet'!$B$11,Paramètres!$A$1:$I$89,3,0)*VLOOKUP('Données projet'!$B$11,Paramètres!$A$1:$I$89,5,0)</f>
        <v>257.05991999999998</v>
      </c>
      <c r="BF67" s="13">
        <f t="shared" si="37"/>
        <v>62.095257513974488</v>
      </c>
      <c r="BG67" s="20">
        <f t="shared" si="7"/>
        <v>555.86193417017216</v>
      </c>
      <c r="BH67" s="59">
        <f t="shared" si="8"/>
        <v>849.19526750350542</v>
      </c>
      <c r="BI67" s="59">
        <f ca="1">AVERAGE(OFFSET($BH$3,0,0,'Données projet'!$E$11+1,1))-AVERAGE(OFFSET($H$3,0,0,'Données projet'!$E$11+1,1))</f>
        <v>464.3681853739115</v>
      </c>
      <c r="BJ67" s="59">
        <f t="shared" si="38"/>
        <v>272.97841038165217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14.291928463927039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14.291928463927039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8.6666666666666661</v>
      </c>
      <c r="BY67" s="12">
        <f>IF('Données projet'!$A$114&gt;35,BY66+BX67-CG66,IF(A67&lt;'Données projet'!$A$114,$BV$205^A67,IF(A67='Données projet'!$A$114,'Données projet'!$B$114,BY66+BX67-CG66)))</f>
        <v>284.66666666666663</v>
      </c>
      <c r="BZ67" s="13">
        <f>BY67*VLOOKUP('Données projet'!$B$12,Paramètres!$A$1:$I$89,3,0)*VLOOKUP('Données projet'!$B$12,Paramètres!$A$1:$I$89,5,0)</f>
        <v>222.04</v>
      </c>
      <c r="CA67" s="13">
        <f t="shared" si="39"/>
        <v>54.558031180803546</v>
      </c>
      <c r="CB67" s="20">
        <f t="shared" si="10"/>
        <v>481.74157097323285</v>
      </c>
      <c r="CC67" s="59">
        <f t="shared" si="11"/>
        <v>775.07490430656617</v>
      </c>
      <c r="CD67" s="59">
        <f ca="1">AVERAGE(OFFSET($CC$3,0,0,'Données projet'!$E$12+1,1))-AVERAGE(OFFSET($H$3,0,0,'Données projet'!$E$12+1,1))</f>
        <v>288.82868507674738</v>
      </c>
      <c r="CE67" s="59">
        <f t="shared" si="40"/>
        <v>283.48738729114024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6.233032984140281</v>
      </c>
      <c r="CL67" s="21">
        <f>EXP(-LN(2)/25)*CL66+(1-EXP(-LN(2)/25))/(LN(2)/25)*Calculateur!CG67*Calculateur!CI67*VLOOKUP('Données projet'!$B$12,Paramètres!$A$1:$I$89,3,0)*0.475*44/12</f>
        <v>10.927403430085629</v>
      </c>
      <c r="CM67" s="21">
        <f>EXP(-LN(2)/2)*CM66+(1-EXP(-LN(2)/2))/(LN(2)/2)*CG67*CJ67*VLOOKUP('Données projet'!$B$12,Paramètres!$A$1:$I$89,3,0)*0.475*44/12</f>
        <v>2.772177902062896</v>
      </c>
      <c r="CN67" s="22">
        <f t="shared" si="12"/>
        <v>19.932614316288806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349.99999999999972</v>
      </c>
      <c r="CU67" s="17">
        <f>CT67*VLOOKUP('Données projet'!$B$13,Paramètres!$A$1:$I$89,3,0)*VLOOKUP('Données projet'!$B$13,Paramètres!$A$1:$I$89,5,0)</f>
        <v>229.31999999999982</v>
      </c>
      <c r="CV67" s="13">
        <f t="shared" si="41"/>
        <v>56.135624305144574</v>
      </c>
      <c r="CW67" s="20">
        <f t="shared" si="13"/>
        <v>497.16854566479316</v>
      </c>
      <c r="CX67" s="59">
        <f t="shared" si="14"/>
        <v>790.50187899812647</v>
      </c>
      <c r="CY67" s="59">
        <f ca="1">AVERAGE(OFFSET($CX$3,0,0,'Données projet'!$E$13+1,1))-AVERAGE(OFFSET($H$3,0,0,'Données projet'!$E$13+1,1))</f>
        <v>340.49092994349405</v>
      </c>
      <c r="CZ67" s="59">
        <f t="shared" si="42"/>
        <v>331.54434271908832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11.628003571784118</v>
      </c>
      <c r="DG67" s="21">
        <f>EXP(-LN(2)/25)*DG66+(1-EXP(-LN(2)/25))/(LN(2)/25)*Calculateur!DB67*Calculateur!DD67*VLOOKUP('Données projet'!$B$13,Paramètres!$A$1:$I$89,3,0)*0.475*44/12</f>
        <v>5.2533880953528298</v>
      </c>
      <c r="DH67" s="21">
        <f>EXP(-LN(2)/2)*DH66+(1-EXP(-LN(2)/2))/(LN(2)/2)*DB67*DE67*VLOOKUP('Données projet'!$B$13,Paramètres!$A$1:$I$89,3,0)*0.475*44/12</f>
        <v>0.66316961828137144</v>
      </c>
      <c r="DI67" s="22">
        <f t="shared" si="15"/>
        <v>17.544561285418322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230.66666666666666</v>
      </c>
      <c r="DP67" s="17">
        <f>DO67*VLOOKUP('Données projet'!$B$14,Paramètres!$A$1:$I$89,3,0)*VLOOKUP('Données projet'!$B$14,Paramètres!$A$1:$I$89,5,0)</f>
        <v>233.89600000000002</v>
      </c>
      <c r="DQ67" s="13">
        <f t="shared" si="43"/>
        <v>57.12426251584543</v>
      </c>
      <c r="DR67" s="20">
        <f t="shared" si="16"/>
        <v>506.86029054843084</v>
      </c>
      <c r="DS67" s="59">
        <f t="shared" si="17"/>
        <v>800.1936238817641</v>
      </c>
      <c r="DT67" s="59">
        <f ca="1">AVERAGE(OFFSET($DS$3,0,0,'Données projet'!$E$14+1,1))-AVERAGE(OFFSET($H$3,0,0,'Données projet'!$E$14+1,1))</f>
        <v>586.50020405958992</v>
      </c>
      <c r="DU67" s="59">
        <f t="shared" si="44"/>
        <v>304.44184537595294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28.787598128786719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28.787598128786719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363</v>
      </c>
      <c r="L68" s="12">
        <f>VLOOKUP(A68,'Données projet'!$A$35:$I$55,9,0)</f>
        <v>12.4</v>
      </c>
      <c r="M68" s="12">
        <f t="array" ref="M68">INDEX(L:L,MIN(IF(ISNUMBER(L68:L264),ROW(L68:L264),"")))</f>
        <v>12.4</v>
      </c>
      <c r="N68" s="13">
        <f>IF('Données projet'!$A$36&gt;35,N67+M68-V67,IF(A68&lt;'Données projet'!$A$36,$K$205^A68,IF(A68='Données projet'!$A$36,'Données projet'!$B$36,N67+M68-V67)))</f>
        <v>362.99999999999994</v>
      </c>
      <c r="O68" s="13">
        <f>N68*VLOOKUP('Données projet'!$B$9,Paramètres!$A$1:$I$89,3,0)*VLOOKUP('Données projet'!$B$9,Paramètres!$A$1:$I$89,5,0)</f>
        <v>311.45399999999995</v>
      </c>
      <c r="P68" s="13">
        <f t="shared" si="33"/>
        <v>73.572400496659426</v>
      </c>
      <c r="Q68" s="20">
        <f t="shared" si="54"/>
        <v>670.5876475316818</v>
      </c>
      <c r="R68" s="59">
        <f t="shared" si="55"/>
        <v>963.92098086501505</v>
      </c>
      <c r="S68" s="59">
        <f ca="1">AVERAGE(OFFSET($R$3,0,0,'Données projet'!$E$9+1,1))-AVERAGE(OFFSET($H$3,0,0,'Données projet'!$E$9+1,1))</f>
        <v>536.21423347711345</v>
      </c>
      <c r="T68" s="59">
        <f t="shared" si="34"/>
        <v>312.14361830038712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35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0.26500000000000001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28.812986142656491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28.812986142656491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8.6666666666666661</v>
      </c>
      <c r="AI68" s="13">
        <f>IF('Données projet'!$A$62&gt;35,AI67+AH68-AQ67,IF(A68&lt;'Données projet'!$A$62,$AF$205^A68,IF(A68='Données projet'!$A$62,'Données projet'!$B$62,AI67+AH68-AQ67)))</f>
        <v>239.33333333333331</v>
      </c>
      <c r="AJ68" s="13">
        <f>AI68*VLOOKUP('Données projet'!$B$10,Paramètres!$A$1:$I$89,3,0)*VLOOKUP('Données projet'!$B$10,Paramètres!$A$1:$I$89,5,0)</f>
        <v>216.54879999999997</v>
      </c>
      <c r="AK68" s="13">
        <f t="shared" si="35"/>
        <v>53.364095578940479</v>
      </c>
      <c r="AL68" s="20">
        <f t="shared" ref="AL68:AL131" si="58">(AJ68+AK68)*0.475*44/12</f>
        <v>470.09829313332119</v>
      </c>
      <c r="AM68" s="59">
        <f t="shared" ref="AM68:AM131" si="59">AL68+(AD68+AE68)*44/12</f>
        <v>763.43162646665451</v>
      </c>
      <c r="AN68" s="59">
        <f ca="1">AVERAGE(OFFSET($AM$3,0,0,'Données projet'!$E$10+1,1))-AVERAGE(OFFSET($H$3,0,0,'Données projet'!$E$10+1,1))</f>
        <v>528.15559695545812</v>
      </c>
      <c r="AO68" s="59">
        <f t="shared" si="36"/>
        <v>276.26988364830532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24.984972079333861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24.984972079333861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363</v>
      </c>
      <c r="BB68" s="12">
        <f>VLOOKUP(A68,'Données projet'!$A$87:$I$107,9,0)</f>
        <v>12.4</v>
      </c>
      <c r="BC68" s="12">
        <f t="array" ref="BC68">INDEX(BB:BB,MIN(IF(ISNUMBER(BB68:BB264),ROW(BB68:BB264),"")))</f>
        <v>12.4</v>
      </c>
      <c r="BD68" s="12">
        <f>IF('Données projet'!$A$88&gt;35,BD67+BC68-BL67,IF(A68&lt;'Données projet'!$A$88,$BA$205^A68,IF(A68='Données projet'!$A$88,'Données projet'!$B$88,BD67+BC68-BL67)))</f>
        <v>362.99999999999994</v>
      </c>
      <c r="BE68" s="13">
        <f>BD68*VLOOKUP('Données projet'!$B$11,Paramètres!$A$1:$I$89,3,0)*VLOOKUP('Données projet'!$B$11,Paramètres!$A$1:$I$89,5,0)</f>
        <v>266.15159999999992</v>
      </c>
      <c r="BF68" s="13">
        <f t="shared" si="37"/>
        <v>64.031860548293878</v>
      </c>
      <c r="BG68" s="20">
        <f t="shared" ref="BG68:BG131" si="61">(BE68+BF68)*0.475*44/12</f>
        <v>575.06952712161171</v>
      </c>
      <c r="BH68" s="59">
        <f t="shared" ref="BH68:BH131" si="62">BG68+(AY68+AZ68)*44/12</f>
        <v>868.40286045494508</v>
      </c>
      <c r="BI68" s="59">
        <f ca="1">AVERAGE(OFFSET($BH$3,0,0,'Données projet'!$E$11+1,1))-AVERAGE(OFFSET($H$3,0,0,'Données projet'!$E$11+1,1))</f>
        <v>464.3681853739115</v>
      </c>
      <c r="BJ68" s="59">
        <f t="shared" si="38"/>
        <v>272.97841038165217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35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0.215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19.976344766486712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19.976344766486712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8.6666666666666661</v>
      </c>
      <c r="BY68" s="12">
        <f>IF('Données projet'!$A$114&gt;35,BY67+BX68-CG67,IF(A68&lt;'Données projet'!$A$114,$BV$205^A68,IF(A68='Données projet'!$A$114,'Données projet'!$B$114,BY67+BX68-CG67)))</f>
        <v>293.33333333333331</v>
      </c>
      <c r="BZ68" s="13">
        <f>BY68*VLOOKUP('Données projet'!$B$12,Paramètres!$A$1:$I$89,3,0)*VLOOKUP('Données projet'!$B$12,Paramètres!$A$1:$I$89,5,0)</f>
        <v>228.79999999999998</v>
      </c>
      <c r="CA68" s="13">
        <f t="shared" si="39"/>
        <v>56.023134533701196</v>
      </c>
      <c r="CB68" s="20">
        <f t="shared" ref="CB68:CB131" si="64">(BZ68+CA68)*0.475*44/12</f>
        <v>496.06695931286293</v>
      </c>
      <c r="CC68" s="59">
        <f t="shared" ref="CC68:CC131" si="65">CB68+(BT68+BU68)*44/12</f>
        <v>789.40029264619625</v>
      </c>
      <c r="CD68" s="59">
        <f ca="1">AVERAGE(OFFSET($CC$3,0,0,'Données projet'!$E$12+1,1))-AVERAGE(OFFSET($H$3,0,0,'Données projet'!$E$12+1,1))</f>
        <v>288.82868507674738</v>
      </c>
      <c r="CE68" s="59">
        <f t="shared" si="40"/>
        <v>283.48738729114024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6.1108070090960167</v>
      </c>
      <c r="CL68" s="21">
        <f>EXP(-LN(2)/25)*CL67+(1-EXP(-LN(2)/25))/(LN(2)/25)*Calculateur!CG68*Calculateur!CI68*VLOOKUP('Données projet'!$B$12,Paramètres!$A$1:$I$89,3,0)*0.475*44/12</f>
        <v>10.628593008642767</v>
      </c>
      <c r="CM68" s="21">
        <f>EXP(-LN(2)/2)*CM67+(1-EXP(-LN(2)/2))/(LN(2)/2)*CG68*CJ68*VLOOKUP('Données projet'!$B$12,Paramètres!$A$1:$I$89,3,0)*0.475*44/12</f>
        <v>1.9602257932041707</v>
      </c>
      <c r="CN68" s="22">
        <f t="shared" ref="CN68:CN131" si="66">SUM(CK68:CM68)</f>
        <v>18.699625810942955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356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355.99999999999972</v>
      </c>
      <c r="CU68" s="17">
        <f>CT68*VLOOKUP('Données projet'!$B$13,Paramètres!$A$1:$I$89,3,0)*VLOOKUP('Données projet'!$B$13,Paramètres!$A$1:$I$89,5,0)</f>
        <v>233.25119999999981</v>
      </c>
      <c r="CV68" s="13">
        <f t="shared" si="41"/>
        <v>56.985091661350864</v>
      </c>
      <c r="CW68" s="20">
        <f t="shared" ref="CW68:CW131" si="67">(CU68+CV68)*0.475*44/12</f>
        <v>505.4948746435191</v>
      </c>
      <c r="CX68" s="59">
        <f t="shared" ref="CX68:CX131" si="68">CW68+(CO68+CP68)*44/12</f>
        <v>798.82820797685235</v>
      </c>
      <c r="CY68" s="59">
        <f ca="1">AVERAGE(OFFSET($CX$3,0,0,'Données projet'!$E$13+1,1))-AVERAGE(OFFSET($H$3,0,0,'Données projet'!$E$13+1,1))</f>
        <v>340.49092994349405</v>
      </c>
      <c r="CZ68" s="59">
        <f t="shared" si="42"/>
        <v>331.54434271908832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16</v>
      </c>
      <c r="DC68" s="16">
        <f>IF(ISNA(VLOOKUP(A68,'Données projet'!$A$139:$I$159,5,0)),0%,VLOOKUP(A68,'Données projet'!$A$139:$I$159,5,0)*VLOOKUP('Données projet'!$B$13,Paramètres!$A$1:$I$89,7,0))</f>
        <v>0.30099999999999999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0.2</v>
      </c>
      <c r="DF68" s="21">
        <f>EXP(-LN(2)/35)*DF67+(1-EXP(-LN(2)/35))/(LN(2)/35)*DB68*DC68*VLOOKUP('Données projet'!$B$13,Paramètres!$A$1:$I$89,3,0)*0.475*44/12</f>
        <v>14.888234506021963</v>
      </c>
      <c r="DG68" s="21">
        <f>EXP(-LN(2)/25)*DG67+(1-EXP(-LN(2)/25))/(LN(2)/25)*Calculateur!DB68*Calculateur!DD68*VLOOKUP('Données projet'!$B$13,Paramètres!$A$1:$I$89,3,0)*0.475*44/12</f>
        <v>5.1097339216217339</v>
      </c>
      <c r="DH68" s="21">
        <f>EXP(-LN(2)/2)*DH67+(1-EXP(-LN(2)/2))/(LN(2)/2)*DB68*DE68*VLOOKUP('Données projet'!$B$13,Paramètres!$A$1:$I$89,3,0)*0.475*44/12</f>
        <v>2.4471680044018935</v>
      </c>
      <c r="DI68" s="22">
        <f t="shared" ref="DI68:DI131" si="69">SUM(DF68:DH68)</f>
        <v>22.445136432045594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239.33333333333331</v>
      </c>
      <c r="DP68" s="17">
        <f>DO68*VLOOKUP('Données projet'!$B$14,Paramètres!$A$1:$I$89,3,0)*VLOOKUP('Données projet'!$B$14,Paramètres!$A$1:$I$89,5,0)</f>
        <v>242.684</v>
      </c>
      <c r="DQ68" s="13">
        <f t="shared" si="43"/>
        <v>59.016631850466453</v>
      </c>
      <c r="DR68" s="20">
        <f t="shared" ref="DR68:DR131" si="70">(DP68+DQ68)*0.475*44/12</f>
        <v>525.46193380622901</v>
      </c>
      <c r="DS68" s="59">
        <f t="shared" ref="DS68:DS131" si="71">DR68+(DJ68+DK68)*44/12</f>
        <v>818.79526713956238</v>
      </c>
      <c r="DT68" s="59">
        <f ca="1">AVERAGE(OFFSET($DS$3,0,0,'Données projet'!$E$14+1,1))-AVERAGE(OFFSET($H$3,0,0,'Données projet'!$E$14+1,1))</f>
        <v>586.50020405958992</v>
      </c>
      <c r="DU68" s="59">
        <f t="shared" si="44"/>
        <v>304.44184537595294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28.000399744081054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28.000399744081054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</v>
      </c>
      <c r="N69" s="13">
        <f>IF('Données projet'!$A$36&gt;35,N68+M69-V68,IF(A69&lt;'Données projet'!$A$36,$K$205^A69,IF(A69='Données projet'!$A$36,'Données projet'!$B$36,N68+M69-V68)))</f>
        <v>339.79999999999995</v>
      </c>
      <c r="O69" s="13">
        <f>N69*VLOOKUP('Données projet'!$B$9,Paramètres!$A$1:$I$89,3,0)*VLOOKUP('Données projet'!$B$9,Paramètres!$A$1:$I$89,5,0)</f>
        <v>291.54840000000002</v>
      </c>
      <c r="P69" s="13">
        <f t="shared" ref="P69:P132" si="87">EXP(-1.0587+0.8836*LN(O69)+0.284)</f>
        <v>69.40174753959208</v>
      </c>
      <c r="Q69" s="20">
        <f t="shared" si="54"/>
        <v>628.65484029812285</v>
      </c>
      <c r="R69" s="59">
        <f t="shared" si="55"/>
        <v>921.98817363145622</v>
      </c>
      <c r="S69" s="59">
        <f ca="1">AVERAGE(OFFSET($R$3,0,0,'Données projet'!$E$9+1,1))-AVERAGE(OFFSET($H$3,0,0,'Données projet'!$E$9+1,1))</f>
        <v>536.21423347711345</v>
      </c>
      <c r="T69" s="59">
        <f t="shared" ref="T69:T132" si="88">$T$3</f>
        <v>312.14361830038712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28.025093521376462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28.025093521376462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8.6666666666666661</v>
      </c>
      <c r="AI69" s="13">
        <f>IF('Données projet'!$A$62&gt;35,AI68+AH69-AQ68,IF(A69&lt;'Données projet'!$A$62,$AF$205^A69,IF(A69='Données projet'!$A$62,'Données projet'!$B$62,AI68+AH69-AQ68)))</f>
        <v>247.99999999999997</v>
      </c>
      <c r="AJ69" s="13">
        <f>AI69*VLOOKUP('Données projet'!$B$10,Paramètres!$A$1:$I$89,3,0)*VLOOKUP('Données projet'!$B$10,Paramètres!$A$1:$I$89,5,0)</f>
        <v>224.39039999999997</v>
      </c>
      <c r="AK69" s="13">
        <f t="shared" ref="AK69:AK132" si="89">EXP(-1.0587+0.8836*LN(AJ69)+0.284)</f>
        <v>55.068017311015858</v>
      </c>
      <c r="AL69" s="20">
        <f t="shared" si="58"/>
        <v>486.72341015001916</v>
      </c>
      <c r="AM69" s="59">
        <f t="shared" si="59"/>
        <v>780.05674348335242</v>
      </c>
      <c r="AN69" s="59">
        <f ca="1">AVERAGE(OFFSET($AM$3,0,0,'Données projet'!$E$10+1,1))-AVERAGE(OFFSET($H$3,0,0,'Données projet'!$E$10+1,1))</f>
        <v>528.15559695545812</v>
      </c>
      <c r="AO69" s="59">
        <f t="shared" ref="AO69:AO132" si="90">$AO$3</f>
        <v>276.26988364830532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24.3017567039219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24.3017567039219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11.8</v>
      </c>
      <c r="BD69" s="12">
        <f>IF('Données projet'!$A$88&gt;35,BD68+BC69-BL68,IF(A69&lt;'Données projet'!$A$88,$BA$205^A69,IF(A69='Données projet'!$A$88,'Données projet'!$B$88,BD68+BC69-BL68)))</f>
        <v>339.79999999999995</v>
      </c>
      <c r="BE69" s="13">
        <f>BD69*VLOOKUP('Données projet'!$B$11,Paramètres!$A$1:$I$89,3,0)*VLOOKUP('Données projet'!$B$11,Paramètres!$A$1:$I$89,5,0)</f>
        <v>249.14135999999993</v>
      </c>
      <c r="BF69" s="13">
        <f t="shared" ref="BF69:BF132" si="91">EXP(-1.0587+0.8836*LN(BE69)+0.284)</f>
        <v>60.402039219378615</v>
      </c>
      <c r="BG69" s="20">
        <f t="shared" si="61"/>
        <v>539.12142030708435</v>
      </c>
      <c r="BH69" s="59">
        <f t="shared" si="62"/>
        <v>832.45475364041772</v>
      </c>
      <c r="BI69" s="59">
        <f ca="1">AVERAGE(OFFSET($BH$3,0,0,'Données projet'!$E$11+1,1))-AVERAGE(OFFSET($H$3,0,0,'Données projet'!$E$11+1,1))</f>
        <v>464.3681853739115</v>
      </c>
      <c r="BJ69" s="59">
        <f t="shared" ref="BJ69:BJ132" si="92">$BJ$3</f>
        <v>272.97841038165217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19.430090568336819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19.430090568336819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8.6666666666666661</v>
      </c>
      <c r="BY69" s="12">
        <f>IF('Données projet'!$A$114&gt;35,BY68+BX69-CG68,IF(A69&lt;'Données projet'!$A$114,$BV$205^A69,IF(A69='Données projet'!$A$114,'Données projet'!$B$114,BY68+BX69-CG68)))</f>
        <v>302</v>
      </c>
      <c r="BZ69" s="13">
        <f>BY69*VLOOKUP('Données projet'!$B$12,Paramètres!$A$1:$I$89,3,0)*VLOOKUP('Données projet'!$B$12,Paramètres!$A$1:$I$89,5,0)</f>
        <v>235.56</v>
      </c>
      <c r="CA69" s="13">
        <f t="shared" ref="CA69:CA132" si="93">EXP(-1.0587+0.8836*LN(BZ69)+0.284)</f>
        <v>57.483207143847721</v>
      </c>
      <c r="CB69" s="20">
        <f t="shared" si="64"/>
        <v>510.38358577553481</v>
      </c>
      <c r="CC69" s="59">
        <f t="shared" si="65"/>
        <v>803.71691910886807</v>
      </c>
      <c r="CD69" s="59">
        <f ca="1">AVERAGE(OFFSET($CC$3,0,0,'Données projet'!$E$12+1,1))-AVERAGE(OFFSET($H$3,0,0,'Données projet'!$E$12+1,1))</f>
        <v>288.82868507674738</v>
      </c>
      <c r="CE69" s="59">
        <f t="shared" ref="CE69:CE132" si="94">$CE$3</f>
        <v>283.48738729114024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5.990977810871887</v>
      </c>
      <c r="CL69" s="21">
        <f>EXP(-LN(2)/25)*CL68+(1-EXP(-LN(2)/25))/(LN(2)/25)*Calculateur!CG69*Calculateur!CI69*VLOOKUP('Données projet'!$B$12,Paramètres!$A$1:$I$89,3,0)*0.475*44/12</f>
        <v>10.337953573888017</v>
      </c>
      <c r="CM69" s="21">
        <f>EXP(-LN(2)/2)*CM68+(1-EXP(-LN(2)/2))/(LN(2)/2)*CG69*CJ69*VLOOKUP('Données projet'!$B$12,Paramètres!$A$1:$I$89,3,0)*0.475*44/12</f>
        <v>1.3860889510314482</v>
      </c>
      <c r="CN69" s="22">
        <f t="shared" si="66"/>
        <v>17.715020335791351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345.1999999999997</v>
      </c>
      <c r="CU69" s="17">
        <f>CT69*VLOOKUP('Données projet'!$B$13,Paramètres!$A$1:$I$89,3,0)*VLOOKUP('Données projet'!$B$13,Paramètres!$A$1:$I$89,5,0)</f>
        <v>226.1750399999998</v>
      </c>
      <c r="CV69" s="13">
        <f t="shared" ref="CV69:CV132" si="95">EXP(-1.0587+0.8836*LN(CU69)+0.284)</f>
        <v>55.454830271544012</v>
      </c>
      <c r="CW69" s="20">
        <f t="shared" si="67"/>
        <v>490.50535738960554</v>
      </c>
      <c r="CX69" s="59">
        <f t="shared" si="68"/>
        <v>783.83869072293885</v>
      </c>
      <c r="CY69" s="59">
        <f ca="1">AVERAGE(OFFSET($CX$3,0,0,'Données projet'!$E$13+1,1))-AVERAGE(OFFSET($H$3,0,0,'Données projet'!$E$13+1,1))</f>
        <v>340.49092994349405</v>
      </c>
      <c r="CZ69" s="59">
        <f t="shared" ref="CZ69:CZ132" si="96">$CZ$3</f>
        <v>331.54434271908832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14.596285308285253</v>
      </c>
      <c r="DG69" s="21">
        <f>EXP(-LN(2)/25)*DG68+(1-EXP(-LN(2)/25))/(LN(2)/25)*Calculateur!DB69*Calculateur!DD69*VLOOKUP('Données projet'!$B$13,Paramètres!$A$1:$I$89,3,0)*0.475*44/12</f>
        <v>4.970007978825759</v>
      </c>
      <c r="DH69" s="21">
        <f>EXP(-LN(2)/2)*DH68+(1-EXP(-LN(2)/2))/(LN(2)/2)*DB69*DE69*VLOOKUP('Données projet'!$B$13,Paramètres!$A$1:$I$89,3,0)*0.475*44/12</f>
        <v>1.73040909061533</v>
      </c>
      <c r="DI69" s="22">
        <f t="shared" si="69"/>
        <v>21.296702377726341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247.99999999999997</v>
      </c>
      <c r="DP69" s="17">
        <f>DO69*VLOOKUP('Données projet'!$B$14,Paramètres!$A$1:$I$89,3,0)*VLOOKUP('Données projet'!$B$14,Paramètres!$A$1:$I$89,5,0)</f>
        <v>251.47199999999998</v>
      </c>
      <c r="DQ69" s="13">
        <f t="shared" ref="DQ69:DQ132" si="97">EXP(-1.0587+0.8836*LN(DP69)+0.284)</f>
        <v>60.901039718208651</v>
      </c>
      <c r="DR69" s="20">
        <f t="shared" si="70"/>
        <v>544.04971084254669</v>
      </c>
      <c r="DS69" s="59">
        <f t="shared" si="71"/>
        <v>837.38304417588006</v>
      </c>
      <c r="DT69" s="59">
        <f ca="1">AVERAGE(OFFSET($DS$3,0,0,'Données projet'!$E$14+1,1))-AVERAGE(OFFSET($H$3,0,0,'Données projet'!$E$14+1,1))</f>
        <v>586.50020405958992</v>
      </c>
      <c r="DU69" s="59">
        <f t="shared" ref="DU69:DU132" si="98">$DU$3</f>
        <v>304.44184537595294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27.234727340602131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27.234727340602131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</v>
      </c>
      <c r="N70" s="13">
        <f>IF('Données projet'!$A$36&gt;35,N69+M70-V69,IF(A70&lt;'Données projet'!$A$36,$K$205^A70,IF(A70='Données projet'!$A$36,'Données projet'!$B$36,N69+M70-V69)))</f>
        <v>351.59999999999997</v>
      </c>
      <c r="O70" s="13">
        <f>N70*VLOOKUP('Données projet'!$B$9,Paramètres!$A$1:$I$89,3,0)*VLOOKUP('Données projet'!$B$9,Paramètres!$A$1:$I$89,5,0)</f>
        <v>301.6728</v>
      </c>
      <c r="P70" s="13">
        <f t="shared" si="87"/>
        <v>71.527033039285058</v>
      </c>
      <c r="Q70" s="20">
        <f t="shared" si="54"/>
        <v>649.98970921008811</v>
      </c>
      <c r="R70" s="59">
        <f t="shared" si="55"/>
        <v>943.32304254342148</v>
      </c>
      <c r="S70" s="59">
        <f ca="1">AVERAGE(OFFSET($R$3,0,0,'Données projet'!$E$9+1,1))-AVERAGE(OFFSET($H$3,0,0,'Données projet'!$E$9+1,1))</f>
        <v>536.21423347711345</v>
      </c>
      <c r="T70" s="59">
        <f t="shared" si="88"/>
        <v>312.14361830038712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27.258745865258806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27.258745865258806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8.6666666666666661</v>
      </c>
      <c r="AI70" s="13">
        <f>IF('Données projet'!$A$62&gt;35,AI69+AH70-AQ69,IF(A70&lt;'Données projet'!$A$62,$AF$205^A70,IF(A70='Données projet'!$A$62,'Données projet'!$B$62,AI69+AH70-AQ69)))</f>
        <v>256.66666666666663</v>
      </c>
      <c r="AJ70" s="13">
        <f>AI70*VLOOKUP('Données projet'!$B$10,Paramètres!$A$1:$I$89,3,0)*VLOOKUP('Données projet'!$B$10,Paramètres!$A$1:$I$89,5,0)</f>
        <v>232.23199999999997</v>
      </c>
      <c r="AK70" s="13">
        <f t="shared" si="89"/>
        <v>56.765020519538929</v>
      </c>
      <c r="AL70" s="20">
        <f t="shared" si="58"/>
        <v>503.33647740486361</v>
      </c>
      <c r="AM70" s="59">
        <f t="shared" si="59"/>
        <v>796.66981073819693</v>
      </c>
      <c r="AN70" s="59">
        <f ca="1">AVERAGE(OFFSET($AM$3,0,0,'Données projet'!$E$10+1,1))-AVERAGE(OFFSET($H$3,0,0,'Données projet'!$E$10+1,1))</f>
        <v>528.15559695545812</v>
      </c>
      <c r="AO70" s="59">
        <f t="shared" si="90"/>
        <v>276.26988364830532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23.637223888879312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23.637223888879312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11.8</v>
      </c>
      <c r="BD70" s="12">
        <f>IF('Données projet'!$A$88&gt;35,BD69+BC70-BL69,IF(A70&lt;'Données projet'!$A$88,$BA$205^A70,IF(A70='Données projet'!$A$88,'Données projet'!$B$88,BD69+BC70-BL69)))</f>
        <v>351.59999999999997</v>
      </c>
      <c r="BE70" s="13">
        <f>BD70*VLOOKUP('Données projet'!$B$11,Paramètres!$A$1:$I$89,3,0)*VLOOKUP('Données projet'!$B$11,Paramètres!$A$1:$I$89,5,0)</f>
        <v>257.79311999999999</v>
      </c>
      <c r="BF70" s="13">
        <f t="shared" si="91"/>
        <v>62.251727197791588</v>
      </c>
      <c r="BG70" s="20">
        <f t="shared" si="61"/>
        <v>557.41144220282024</v>
      </c>
      <c r="BH70" s="59">
        <f t="shared" si="62"/>
        <v>850.74477553615361</v>
      </c>
      <c r="BI70" s="59">
        <f ca="1">AVERAGE(OFFSET($BH$3,0,0,'Données projet'!$E$11+1,1))-AVERAGE(OFFSET($H$3,0,0,'Données projet'!$E$11+1,1))</f>
        <v>464.3681853739115</v>
      </c>
      <c r="BJ70" s="59">
        <f t="shared" si="92"/>
        <v>272.97841038165217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18.898773719961593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18.898773719961593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8.6666666666666661</v>
      </c>
      <c r="BY70" s="12">
        <f>IF('Données projet'!$A$114&gt;35,BY69+BX70-CG69,IF(A70&lt;'Données projet'!$A$114,$BV$205^A70,IF(A70='Données projet'!$A$114,'Données projet'!$B$114,BY69+BX70-CG69)))</f>
        <v>310.66666666666669</v>
      </c>
      <c r="BZ70" s="13">
        <f>BY70*VLOOKUP('Données projet'!$B$12,Paramètres!$A$1:$I$89,3,0)*VLOOKUP('Données projet'!$B$12,Paramètres!$A$1:$I$89,5,0)</f>
        <v>242.32000000000002</v>
      </c>
      <c r="CA70" s="13">
        <f t="shared" si="93"/>
        <v>58.938409961900859</v>
      </c>
      <c r="CB70" s="20">
        <f t="shared" si="64"/>
        <v>524.69173068364398</v>
      </c>
      <c r="CC70" s="59">
        <f t="shared" si="65"/>
        <v>818.02506401697724</v>
      </c>
      <c r="CD70" s="59">
        <f ca="1">AVERAGE(OFFSET($CC$3,0,0,'Données projet'!$E$12+1,1))-AVERAGE(OFFSET($H$3,0,0,'Données projet'!$E$12+1,1))</f>
        <v>288.82868507674738</v>
      </c>
      <c r="CE70" s="59">
        <f t="shared" si="94"/>
        <v>283.48738729114024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5.873498390136338</v>
      </c>
      <c r="CL70" s="21">
        <f>EXP(-LN(2)/25)*CL69+(1-EXP(-LN(2)/25))/(LN(2)/25)*Calculateur!CG70*Calculateur!CI70*VLOOKUP('Données projet'!$B$12,Paramètres!$A$1:$I$89,3,0)*0.475*44/12</f>
        <v>10.055261689760698</v>
      </c>
      <c r="CM70" s="21">
        <f>EXP(-LN(2)/2)*CM69+(1-EXP(-LN(2)/2))/(LN(2)/2)*CG70*CJ70*VLOOKUP('Données projet'!$B$12,Paramètres!$A$1:$I$89,3,0)*0.475*44/12</f>
        <v>0.98011289660208556</v>
      </c>
      <c r="CN70" s="22">
        <f t="shared" si="66"/>
        <v>16.908872976499122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350.39999999999969</v>
      </c>
      <c r="CU70" s="17">
        <f>CT70*VLOOKUP('Données projet'!$B$13,Paramètres!$A$1:$I$89,3,0)*VLOOKUP('Données projet'!$B$13,Paramètres!$A$1:$I$89,5,0)</f>
        <v>229.58207999999979</v>
      </c>
      <c r="CV70" s="13">
        <f t="shared" si="95"/>
        <v>56.192307893526412</v>
      </c>
      <c r="CW70" s="20">
        <f t="shared" si="67"/>
        <v>497.72372558122476</v>
      </c>
      <c r="CX70" s="59">
        <f t="shared" si="68"/>
        <v>791.05705891455807</v>
      </c>
      <c r="CY70" s="59">
        <f ca="1">AVERAGE(OFFSET($CX$3,0,0,'Données projet'!$E$13+1,1))-AVERAGE(OFFSET($H$3,0,0,'Données projet'!$E$13+1,1))</f>
        <v>340.49092994349405</v>
      </c>
      <c r="CZ70" s="59">
        <f t="shared" si="96"/>
        <v>331.54434271908832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14.310061056244734</v>
      </c>
      <c r="DG70" s="21">
        <f>EXP(-LN(2)/25)*DG69+(1-EXP(-LN(2)/25))/(LN(2)/25)*Calculateur!DB70*Calculateur!DD70*VLOOKUP('Données projet'!$B$13,Paramètres!$A$1:$I$89,3,0)*0.475*44/12</f>
        <v>4.8341028492834077</v>
      </c>
      <c r="DH70" s="21">
        <f>EXP(-LN(2)/2)*DH69+(1-EXP(-LN(2)/2))/(LN(2)/2)*DB70*DE70*VLOOKUP('Données projet'!$B$13,Paramètres!$A$1:$I$89,3,0)*0.475*44/12</f>
        <v>1.223584002200947</v>
      </c>
      <c r="DI70" s="22">
        <f t="shared" si="69"/>
        <v>20.36774790772909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256.66666666666663</v>
      </c>
      <c r="DP70" s="17">
        <f>DO70*VLOOKUP('Données projet'!$B$14,Paramètres!$A$1:$I$89,3,0)*VLOOKUP('Données projet'!$B$14,Paramètres!$A$1:$I$89,5,0)</f>
        <v>260.26</v>
      </c>
      <c r="DQ70" s="13">
        <f t="shared" si="97"/>
        <v>62.777796224993523</v>
      </c>
      <c r="DR70" s="20">
        <f t="shared" si="70"/>
        <v>562.62416175853025</v>
      </c>
      <c r="DS70" s="59">
        <f t="shared" si="71"/>
        <v>855.95749509186362</v>
      </c>
      <c r="DT70" s="59">
        <f ca="1">AVERAGE(OFFSET($DS$3,0,0,'Données projet'!$E$14+1,1))-AVERAGE(OFFSET($H$3,0,0,'Données projet'!$E$14+1,1))</f>
        <v>586.50020405958992</v>
      </c>
      <c r="DU70" s="59">
        <f t="shared" si="98"/>
        <v>304.44184537595294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26.489992289261302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26.489992289261302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</v>
      </c>
      <c r="N71" s="13">
        <f>IF('Données projet'!$A$36&gt;35,N70+M71-V70,IF(A71&lt;'Données projet'!$A$36,$K$205^A71,IF(A71='Données projet'!$A$36,'Données projet'!$B$36,N70+M71-V70)))</f>
        <v>363.4</v>
      </c>
      <c r="O71" s="13">
        <f>N71*VLOOKUP('Données projet'!$B$9,Paramètres!$A$1:$I$89,3,0)*VLOOKUP('Données projet'!$B$9,Paramètres!$A$1:$I$89,5,0)</f>
        <v>311.79720000000003</v>
      </c>
      <c r="P71" s="13">
        <f t="shared" si="87"/>
        <v>73.644030695714719</v>
      </c>
      <c r="Q71" s="20">
        <f t="shared" si="54"/>
        <v>671.31014346170321</v>
      </c>
      <c r="R71" s="59">
        <f t="shared" si="55"/>
        <v>964.64347679503658</v>
      </c>
      <c r="S71" s="59">
        <f ca="1">AVERAGE(OFFSET($R$3,0,0,'Données projet'!$E$9+1,1))-AVERAGE(OFFSET($H$3,0,0,'Données projet'!$E$9+1,1))</f>
        <v>536.21423347711345</v>
      </c>
      <c r="T71" s="59">
        <f t="shared" si="88"/>
        <v>312.14361830038712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26.51335402609816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26.51335402609816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8.6666666666666661</v>
      </c>
      <c r="AI71" s="13">
        <f>IF('Données projet'!$A$62&gt;35,AI70+AH71-AQ70,IF(A71&lt;'Données projet'!$A$62,$AF$205^A71,IF(A71='Données projet'!$A$62,'Données projet'!$B$62,AI70+AH71-AQ70)))</f>
        <v>265.33333333333331</v>
      </c>
      <c r="AJ71" s="13">
        <f>AI71*VLOOKUP('Données projet'!$B$10,Paramètres!$A$1:$I$89,3,0)*VLOOKUP('Données projet'!$B$10,Paramètres!$A$1:$I$89,5,0)</f>
        <v>240.07359999999997</v>
      </c>
      <c r="AK71" s="13">
        <f t="shared" si="89"/>
        <v>58.455365598151033</v>
      </c>
      <c r="AL71" s="20">
        <f t="shared" si="58"/>
        <v>519.93794841677959</v>
      </c>
      <c r="AM71" s="59">
        <f t="shared" si="59"/>
        <v>813.27128175011285</v>
      </c>
      <c r="AN71" s="59">
        <f ca="1">AVERAGE(OFFSET($AM$3,0,0,'Données projet'!$E$10+1,1))-AVERAGE(OFFSET($H$3,0,0,'Données projet'!$E$10+1,1))</f>
        <v>528.15559695545812</v>
      </c>
      <c r="AO71" s="59">
        <f t="shared" si="90"/>
        <v>276.26988364830532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22.990862758610326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22.990862758610326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11.8</v>
      </c>
      <c r="BD71" s="12">
        <f>IF('Données projet'!$A$88&gt;35,BD70+BC71-BL70,IF(A71&lt;'Données projet'!$A$88,$BA$205^A71,IF(A71='Données projet'!$A$88,'Données projet'!$B$88,BD70+BC71-BL70)))</f>
        <v>363.4</v>
      </c>
      <c r="BE71" s="13">
        <f>BD71*VLOOKUP('Données projet'!$B$11,Paramètres!$A$1:$I$89,3,0)*VLOOKUP('Données projet'!$B$11,Paramètres!$A$1:$I$89,5,0)</f>
        <v>266.44487999999996</v>
      </c>
      <c r="BF71" s="13">
        <f t="shared" si="91"/>
        <v>64.094202063399976</v>
      </c>
      <c r="BG71" s="20">
        <f t="shared" si="61"/>
        <v>575.68890126042152</v>
      </c>
      <c r="BH71" s="59">
        <f t="shared" si="62"/>
        <v>869.02223459375477</v>
      </c>
      <c r="BI71" s="59">
        <f ca="1">AVERAGE(OFFSET($BH$3,0,0,'Données projet'!$E$11+1,1))-AVERAGE(OFFSET($H$3,0,0,'Données projet'!$E$11+1,1))</f>
        <v>464.3681853739115</v>
      </c>
      <c r="BJ71" s="59">
        <f t="shared" si="92"/>
        <v>272.97841038165217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18.381985758745927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18.381985758745927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8.6666666666666661</v>
      </c>
      <c r="BY71" s="12">
        <f>IF('Données projet'!$A$114&gt;35,BY70+BX71-CG70,IF(A71&lt;'Données projet'!$A$114,$BV$205^A71,IF(A71='Données projet'!$A$114,'Données projet'!$B$114,BY70+BX71-CG70)))</f>
        <v>319.33333333333337</v>
      </c>
      <c r="BZ71" s="13">
        <f>BY71*VLOOKUP('Données projet'!$B$12,Paramètres!$A$1:$I$89,3,0)*VLOOKUP('Données projet'!$B$12,Paramètres!$A$1:$I$89,5,0)</f>
        <v>249.08000000000004</v>
      </c>
      <c r="CA71" s="13">
        <f t="shared" si="93"/>
        <v>60.388894447487807</v>
      </c>
      <c r="CB71" s="20">
        <f t="shared" si="64"/>
        <v>538.99165782937473</v>
      </c>
      <c r="CC71" s="59">
        <f t="shared" si="65"/>
        <v>832.3249911627081</v>
      </c>
      <c r="CD71" s="59">
        <f ca="1">AVERAGE(OFFSET($CC$3,0,0,'Données projet'!$E$12+1,1))-AVERAGE(OFFSET($H$3,0,0,'Données projet'!$E$12+1,1))</f>
        <v>288.82868507674738</v>
      </c>
      <c r="CE71" s="59">
        <f t="shared" si="94"/>
        <v>283.48738729114024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5.7583226691860423</v>
      </c>
      <c r="CL71" s="21">
        <f>EXP(-LN(2)/25)*CL70+(1-EXP(-LN(2)/25))/(LN(2)/25)*Calculateur!CG71*Calculateur!CI71*VLOOKUP('Données projet'!$B$12,Paramètres!$A$1:$I$89,3,0)*0.475*44/12</f>
        <v>9.7803000300709613</v>
      </c>
      <c r="CM71" s="21">
        <f>EXP(-LN(2)/2)*CM70+(1-EXP(-LN(2)/2))/(LN(2)/2)*CG71*CJ71*VLOOKUP('Données projet'!$B$12,Paramètres!$A$1:$I$89,3,0)*0.475*44/12</f>
        <v>0.69304447551572423</v>
      </c>
      <c r="CN71" s="22">
        <f t="shared" si="66"/>
        <v>16.231667174772728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355.59999999999968</v>
      </c>
      <c r="CU71" s="17">
        <f>CT71*VLOOKUP('Données projet'!$B$13,Paramètres!$A$1:$I$89,3,0)*VLOOKUP('Données projet'!$B$13,Paramètres!$A$1:$I$89,5,0)</f>
        <v>232.98911999999979</v>
      </c>
      <c r="CV71" s="13">
        <f t="shared" si="95"/>
        <v>56.928512648932127</v>
      </c>
      <c r="CW71" s="20">
        <f t="shared" si="67"/>
        <v>504.93987686355644</v>
      </c>
      <c r="CX71" s="59">
        <f t="shared" si="68"/>
        <v>798.27321019688975</v>
      </c>
      <c r="CY71" s="59">
        <f ca="1">AVERAGE(OFFSET($CX$3,0,0,'Données projet'!$E$13+1,1))-AVERAGE(OFFSET($H$3,0,0,'Données projet'!$E$13+1,1))</f>
        <v>340.49092994349405</v>
      </c>
      <c r="CZ71" s="59">
        <f t="shared" si="96"/>
        <v>331.54434271908832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14.029449487207174</v>
      </c>
      <c r="DG71" s="21">
        <f>EXP(-LN(2)/25)*DG70+(1-EXP(-LN(2)/25))/(LN(2)/25)*Calculateur!DB71*Calculateur!DD71*VLOOKUP('Données projet'!$B$13,Paramètres!$A$1:$I$89,3,0)*0.475*44/12</f>
        <v>4.7019140526553329</v>
      </c>
      <c r="DH71" s="21">
        <f>EXP(-LN(2)/2)*DH70+(1-EXP(-LN(2)/2))/(LN(2)/2)*DB71*DE71*VLOOKUP('Données projet'!$B$13,Paramètres!$A$1:$I$89,3,0)*0.475*44/12</f>
        <v>0.86520454530766522</v>
      </c>
      <c r="DI71" s="22">
        <f t="shared" si="69"/>
        <v>19.596568085170173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265.33333333333331</v>
      </c>
      <c r="DP71" s="17">
        <f>DO71*VLOOKUP('Données projet'!$B$14,Paramètres!$A$1:$I$89,3,0)*VLOOKUP('Données projet'!$B$14,Paramètres!$A$1:$I$89,5,0)</f>
        <v>269.048</v>
      </c>
      <c r="DQ71" s="13">
        <f t="shared" si="97"/>
        <v>64.647189346387862</v>
      </c>
      <c r="DR71" s="20">
        <f t="shared" si="70"/>
        <v>581.18578811162547</v>
      </c>
      <c r="DS71" s="59">
        <f t="shared" si="71"/>
        <v>874.51912144495873</v>
      </c>
      <c r="DT71" s="59">
        <f ca="1">AVERAGE(OFFSET($DS$3,0,0,'Données projet'!$E$14+1,1))-AVERAGE(OFFSET($H$3,0,0,'Données projet'!$E$14+1,1))</f>
        <v>586.50020405958992</v>
      </c>
      <c r="DU71" s="59">
        <f t="shared" si="98"/>
        <v>304.44184537595294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25.7656220570633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25.7656220570633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</v>
      </c>
      <c r="N72" s="13">
        <f>IF('Données projet'!$A$36&gt;35,N71+M72-V71,IF(A72&lt;'Données projet'!$A$36,$K$205^A72,IF(A72='Données projet'!$A$36,'Données projet'!$B$36,N71+M72-V71)))</f>
        <v>375.2</v>
      </c>
      <c r="O72" s="13">
        <f>N72*VLOOKUP('Données projet'!$B$9,Paramètres!$A$1:$I$89,3,0)*VLOOKUP('Données projet'!$B$9,Paramètres!$A$1:$I$89,5,0)</f>
        <v>321.92160000000001</v>
      </c>
      <c r="P72" s="13">
        <f t="shared" si="87"/>
        <v>75.753040489321577</v>
      </c>
      <c r="Q72" s="20">
        <f t="shared" si="54"/>
        <v>692.61666551890175</v>
      </c>
      <c r="R72" s="59">
        <f t="shared" si="55"/>
        <v>985.94999885223501</v>
      </c>
      <c r="S72" s="59">
        <f ca="1">AVERAGE(OFFSET($R$3,0,0,'Données projet'!$E$9+1,1))-AVERAGE(OFFSET($H$3,0,0,'Données projet'!$E$9+1,1))</f>
        <v>536.21423347711345</v>
      </c>
      <c r="T72" s="59">
        <f t="shared" si="88"/>
        <v>312.14361830038712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25.788344965977814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25.788344965977814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>
        <f>VLOOKUP(A72,'Données projet'!$A$61:$I$81,2,0)</f>
        <v>274</v>
      </c>
      <c r="AG72" s="12">
        <f>VLOOKUP(A72,'Données projet'!$A$61:$I$81,9,0)</f>
        <v>8.6666666666666661</v>
      </c>
      <c r="AH72" s="12">
        <f t="array" ref="AH72">INDEX(AG:AG,MIN(IF(ISNUMBER(AG72:AG268),ROW(AG72:AG268),"")))</f>
        <v>8.6666666666666661</v>
      </c>
      <c r="AI72" s="13">
        <f>IF('Données projet'!$A$62&gt;35,AI71+AH72-AQ71,IF(A72&lt;'Données projet'!$A$62,$AF$205^A72,IF(A72='Données projet'!$A$62,'Données projet'!$B$62,AI71+AH72-AQ71)))</f>
        <v>274</v>
      </c>
      <c r="AJ72" s="13">
        <f>AI72*VLOOKUP('Données projet'!$B$10,Paramètres!$A$1:$I$89,3,0)*VLOOKUP('Données projet'!$B$10,Paramètres!$A$1:$I$89,5,0)</f>
        <v>247.9152</v>
      </c>
      <c r="AK72" s="13">
        <f t="shared" si="89"/>
        <v>60.139294964297406</v>
      </c>
      <c r="AL72" s="20">
        <f t="shared" si="58"/>
        <v>536.52824539615131</v>
      </c>
      <c r="AM72" s="59">
        <f t="shared" si="59"/>
        <v>829.86157872948456</v>
      </c>
      <c r="AN72" s="59">
        <f ca="1">AVERAGE(OFFSET($AM$3,0,0,'Données projet'!$E$10+1,1))-AVERAGE(OFFSET($H$3,0,0,'Données projet'!$E$10+1,1))</f>
        <v>528.15559695545812</v>
      </c>
      <c r="AO72" s="59">
        <f t="shared" si="90"/>
        <v>276.26988364830532</v>
      </c>
      <c r="AP72" s="15">
        <f>IF(ISNA(VLOOKUP(A72,'Données projet'!$A$61:$I$81,3,0)),0,VLOOKUP(A72,'Données projet'!$A$61:$I$81,3,0))</f>
        <v>5</v>
      </c>
      <c r="AQ72" s="15">
        <f>IF(ISNA(VLOOKUP(A72,'Données projet'!$A$61:$I$81,4,0)),0,VLOOKUP(A72,'Données projet'!$A$61:$I$81,4,0))</f>
        <v>51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0.215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33.286510669300256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33.286510669300256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11.8</v>
      </c>
      <c r="BD72" s="12">
        <f>IF('Données projet'!$A$88&gt;35,BD71+BC72-BL71,IF(A72&lt;'Données projet'!$A$88,$BA$205^A72,IF(A72='Données projet'!$A$88,'Données projet'!$B$88,BD71+BC72-BL71)))</f>
        <v>375.2</v>
      </c>
      <c r="BE72" s="13">
        <f>BD72*VLOOKUP('Données projet'!$B$11,Paramètres!$A$1:$I$89,3,0)*VLOOKUP('Données projet'!$B$11,Paramètres!$A$1:$I$89,5,0)</f>
        <v>275.09663999999998</v>
      </c>
      <c r="BF72" s="13">
        <f t="shared" si="91"/>
        <v>65.92972489652206</v>
      </c>
      <c r="BG72" s="20">
        <f t="shared" si="61"/>
        <v>593.9542521947759</v>
      </c>
      <c r="BH72" s="59">
        <f t="shared" si="62"/>
        <v>887.28758552810928</v>
      </c>
      <c r="BI72" s="59">
        <f ca="1">AVERAGE(OFFSET($BH$3,0,0,'Données projet'!$E$11+1,1))-AVERAGE(OFFSET($H$3,0,0,'Données projet'!$E$11+1,1))</f>
        <v>464.3681853739115</v>
      </c>
      <c r="BJ72" s="59">
        <f t="shared" si="92"/>
        <v>272.97841038165217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17.879329391506403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17.879329391506403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328</v>
      </c>
      <c r="BW72" s="12">
        <f>VLOOKUP(A72,'Données projet'!$A$113:$I$133,9,0)</f>
        <v>8.6666666666666661</v>
      </c>
      <c r="BX72" s="12">
        <f t="array" ref="BX72">INDEX(BW:BW,MIN(IF(ISNUMBER(BW72:BW268),ROW(BW72:BW268),"")))</f>
        <v>8.6666666666666661</v>
      </c>
      <c r="BY72" s="12">
        <f>IF('Données projet'!$A$114&gt;35,BY71+BX72-CG71,IF(A72&lt;'Données projet'!$A$114,$BV$205^A72,IF(A72='Données projet'!$A$114,'Données projet'!$B$114,BY71+BX72-CG71)))</f>
        <v>328.00000000000006</v>
      </c>
      <c r="BZ72" s="13">
        <f>BY72*VLOOKUP('Données projet'!$B$12,Paramètres!$A$1:$I$89,3,0)*VLOOKUP('Données projet'!$B$12,Paramètres!$A$1:$I$89,5,0)</f>
        <v>255.84000000000006</v>
      </c>
      <c r="CA72" s="13">
        <f t="shared" si="93"/>
        <v>61.834803371075836</v>
      </c>
      <c r="CB72" s="20">
        <f t="shared" si="64"/>
        <v>553.28361587129041</v>
      </c>
      <c r="CC72" s="59">
        <f t="shared" si="65"/>
        <v>846.61694920462378</v>
      </c>
      <c r="CD72" s="59">
        <f ca="1">AVERAGE(OFFSET($CC$3,0,0,'Données projet'!$E$12+1,1))-AVERAGE(OFFSET($H$3,0,0,'Données projet'!$E$12+1,1))</f>
        <v>288.82868507674738</v>
      </c>
      <c r="CE72" s="59">
        <f t="shared" si="94"/>
        <v>283.48738729114024</v>
      </c>
      <c r="CF72" s="15" t="str">
        <f>IF(ISNA(VLOOKUP(A72,'Données projet'!$A$113:$I$133,3,0)),0,VLOOKUP(A72,'Données projet'!$A$113:$I$133,3,0))</f>
        <v>CR</v>
      </c>
      <c r="CG72" s="15">
        <f>IF(ISNA(VLOOKUP(A72,'Données projet'!$A$113:$I$133,4,0)),0,VLOOKUP(A72,'Données projet'!$A$113:$I$133,4,0))</f>
        <v>328</v>
      </c>
      <c r="CH72" s="16">
        <f>IF(ISNA(VLOOKUP(A72,'Données projet'!$A$113:$I$133,5,0)),0%,VLOOKUP(A72,'Données projet'!$A$113:$I$133,5,0)*VLOOKUP('Données projet'!$B$12,Paramètres!$A$1:$I$89,7,0))</f>
        <v>0.215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0.3</v>
      </c>
      <c r="CK72" s="21">
        <f>EXP(-LN(2)/35)*CK71+(1-EXP(-LN(2)/35))/(LN(2)/35)*CG72*CH72*VLOOKUP('Données projet'!$B$12,Paramètres!$A$1:$I$89,3,0)*0.475*44/12</f>
        <v>66.45246698231098</v>
      </c>
      <c r="CL72" s="21">
        <f>EXP(-LN(2)/25)*CL71+(1-EXP(-LN(2)/25))/(LN(2)/25)*Calculateur!CG72*Calculateur!CI72*VLOOKUP('Données projet'!$B$12,Paramètres!$A$1:$I$89,3,0)*0.475*44/12</f>
        <v>9.5128572114250449</v>
      </c>
      <c r="CM72" s="21">
        <f>EXP(-LN(2)/2)*CM71+(1-EXP(-LN(2)/2))/(LN(2)/2)*CG72*CJ72*VLOOKUP('Données projet'!$B$12,Paramètres!$A$1:$I$89,3,0)*0.475*44/12</f>
        <v>72.907634198093803</v>
      </c>
      <c r="CN72" s="22">
        <f t="shared" si="66"/>
        <v>148.87295839182983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360.79999999999967</v>
      </c>
      <c r="CU72" s="17">
        <f>CT72*VLOOKUP('Données projet'!$B$13,Paramètres!$A$1:$I$89,3,0)*VLOOKUP('Données projet'!$B$13,Paramètres!$A$1:$I$89,5,0)</f>
        <v>236.39615999999978</v>
      </c>
      <c r="CV72" s="13">
        <f t="shared" si="95"/>
        <v>57.663465301516489</v>
      </c>
      <c r="CW72" s="20">
        <f t="shared" si="67"/>
        <v>512.15384740014088</v>
      </c>
      <c r="CX72" s="59">
        <f t="shared" si="68"/>
        <v>805.48718073347413</v>
      </c>
      <c r="CY72" s="59">
        <f ca="1">AVERAGE(OFFSET($CX$3,0,0,'Données projet'!$E$13+1,1))-AVERAGE(OFFSET($H$3,0,0,'Données projet'!$E$13+1,1))</f>
        <v>340.49092994349405</v>
      </c>
      <c r="CZ72" s="59">
        <f t="shared" si="96"/>
        <v>331.54434271908832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13.754340539882284</v>
      </c>
      <c r="DG72" s="21">
        <f>EXP(-LN(2)/25)*DG71+(1-EXP(-LN(2)/25))/(LN(2)/25)*Calculateur!DB72*Calculateur!DD72*VLOOKUP('Données projet'!$B$13,Paramètres!$A$1:$I$89,3,0)*0.475*44/12</f>
        <v>4.5733399656225595</v>
      </c>
      <c r="DH72" s="21">
        <f>EXP(-LN(2)/2)*DH71+(1-EXP(-LN(2)/2))/(LN(2)/2)*DB72*DE72*VLOOKUP('Données projet'!$B$13,Paramètres!$A$1:$I$89,3,0)*0.475*44/12</f>
        <v>0.6117920011004736</v>
      </c>
      <c r="DI72" s="22">
        <f t="shared" si="69"/>
        <v>18.939472506605316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274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274</v>
      </c>
      <c r="DP72" s="17">
        <f>DO72*VLOOKUP('Données projet'!$B$14,Paramètres!$A$1:$I$89,3,0)*VLOOKUP('Données projet'!$B$14,Paramètres!$A$1:$I$89,5,0)</f>
        <v>277.83600000000001</v>
      </c>
      <c r="DQ72" s="13">
        <f t="shared" si="97"/>
        <v>66.509487177652318</v>
      </c>
      <c r="DR72" s="20">
        <f t="shared" si="70"/>
        <v>599.73505683441124</v>
      </c>
      <c r="DS72" s="59">
        <f t="shared" si="71"/>
        <v>893.06839016774461</v>
      </c>
      <c r="DT72" s="59">
        <f ca="1">AVERAGE(OFFSET($DS$3,0,0,'Données projet'!$E$14+1,1))-AVERAGE(OFFSET($H$3,0,0,'Données projet'!$E$14+1,1))</f>
        <v>586.50020405958992</v>
      </c>
      <c r="DU72" s="59">
        <f t="shared" si="98"/>
        <v>304.44184537595294</v>
      </c>
      <c r="DV72" s="15">
        <f>IF(ISNA(VLOOKUP(A72,'Données projet'!$A$165:$I$185,3,0)),0,VLOOKUP(A72,'Données projet'!$A$165:$I$185,3,0))</f>
        <v>5</v>
      </c>
      <c r="DW72" s="15">
        <f>IF(ISNA(VLOOKUP(A72,'Données projet'!$A$165:$I$185,4,0)),0,VLOOKUP(A72,'Données projet'!$A$165:$I$185,4,0))</f>
        <v>51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0.215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37.303848163870981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37.303848163870981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387</v>
      </c>
      <c r="L73" s="12">
        <f>VLOOKUP(A73,'Données projet'!$A$35:$I$55,9,0)</f>
        <v>11.8</v>
      </c>
      <c r="M73" s="12">
        <f t="array" ref="M73">INDEX(L:L,MIN(IF(ISNUMBER(L73:L269),ROW(L73:L269),"")))</f>
        <v>11.8</v>
      </c>
      <c r="N73" s="13">
        <f>IF('Données projet'!$A$36&gt;35,N72+M73-V72,IF(A73&lt;'Données projet'!$A$36,$K$205^A73,IF(A73='Données projet'!$A$36,'Données projet'!$B$36,N72+M73-V72)))</f>
        <v>387</v>
      </c>
      <c r="O73" s="13">
        <f>N73*VLOOKUP('Données projet'!$B$9,Paramètres!$A$1:$I$89,3,0)*VLOOKUP('Données projet'!$B$9,Paramètres!$A$1:$I$89,5,0)</f>
        <v>332.04600000000005</v>
      </c>
      <c r="P73" s="13">
        <f t="shared" si="87"/>
        <v>77.854342460208699</v>
      </c>
      <c r="Q73" s="20">
        <f t="shared" si="54"/>
        <v>713.90976311819679</v>
      </c>
      <c r="R73" s="59">
        <f t="shared" si="55"/>
        <v>1007.2430964515302</v>
      </c>
      <c r="S73" s="59">
        <f ca="1">AVERAGE(OFFSET($R$3,0,0,'Données projet'!$E$9+1,1))-AVERAGE(OFFSET($H$3,0,0,'Données projet'!$E$9+1,1))</f>
        <v>536.21423347711345</v>
      </c>
      <c r="T73" s="59">
        <f t="shared" si="88"/>
        <v>312.14361830038712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35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0.26500000000000001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33.845801087998765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33.845801087998765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8.1111111111111107</v>
      </c>
      <c r="AI73" s="13">
        <f>IF('Données projet'!$A$62&gt;35,AI72+AH73-AQ72,IF(A73&lt;'Données projet'!$A$62,$AF$205^A73,IF(A73='Données projet'!$A$62,'Données projet'!$B$62,AI72+AH73-AQ72)))</f>
        <v>231.11111111111109</v>
      </c>
      <c r="AJ73" s="13">
        <f>AI73*VLOOKUP('Données projet'!$B$10,Paramètres!$A$1:$I$89,3,0)*VLOOKUP('Données projet'!$B$10,Paramètres!$A$1:$I$89,5,0)</f>
        <v>209.1093333333333</v>
      </c>
      <c r="AK73" s="13">
        <f t="shared" si="89"/>
        <v>51.740904503189689</v>
      </c>
      <c r="AL73" s="20">
        <f t="shared" si="58"/>
        <v>454.31416423194418</v>
      </c>
      <c r="AM73" s="59">
        <f t="shared" si="59"/>
        <v>747.64749756527749</v>
      </c>
      <c r="AN73" s="59">
        <f ca="1">AVERAGE(OFFSET($AM$3,0,0,'Données projet'!$E$10+1,1))-AVERAGE(OFFSET($H$3,0,0,'Données projet'!$E$10+1,1))</f>
        <v>528.15559695545812</v>
      </c>
      <c r="AO73" s="59">
        <f t="shared" si="90"/>
        <v>276.26988364830532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32.376289284586719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32.376289284586719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387</v>
      </c>
      <c r="BB73" s="12">
        <f>VLOOKUP(A73,'Données projet'!$A$87:$I$107,9,0)</f>
        <v>11.8</v>
      </c>
      <c r="BC73" s="12">
        <f t="array" ref="BC73">INDEX(BB:BB,MIN(IF(ISNUMBER(BB73:BB269),ROW(BB73:BB269),"")))</f>
        <v>11.8</v>
      </c>
      <c r="BD73" s="12">
        <f>IF('Données projet'!$A$88&gt;35,BD72+BC73-BL72,IF(A73&lt;'Données projet'!$A$88,$BA$205^A73,IF(A73='Données projet'!$A$88,'Données projet'!$B$88,BD72+BC73-BL72)))</f>
        <v>387</v>
      </c>
      <c r="BE73" s="13">
        <f>BD73*VLOOKUP('Données projet'!$B$11,Paramètres!$A$1:$I$89,3,0)*VLOOKUP('Données projet'!$B$11,Paramètres!$A$1:$I$89,5,0)</f>
        <v>283.7484</v>
      </c>
      <c r="BF73" s="13">
        <f t="shared" si="91"/>
        <v>67.758539422912406</v>
      </c>
      <c r="BG73" s="20">
        <f t="shared" si="61"/>
        <v>612.20791949490581</v>
      </c>
      <c r="BH73" s="59">
        <f t="shared" si="62"/>
        <v>905.54125282823907</v>
      </c>
      <c r="BI73" s="59">
        <f ca="1">AVERAGE(OFFSET($BH$3,0,0,'Données projet'!$E$11+1,1))-AVERAGE(OFFSET($H$3,0,0,'Données projet'!$E$11+1,1))</f>
        <v>464.3681853739115</v>
      </c>
      <c r="BJ73" s="59">
        <f t="shared" si="92"/>
        <v>272.97841038165217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35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0.215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23.4656480270482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23.4656480270482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5.6843418860808015E-14</v>
      </c>
      <c r="BZ73" s="13">
        <f>BY73*VLOOKUP('Données projet'!$B$12,Paramètres!$A$1:$I$89,3,0)*VLOOKUP('Données projet'!$B$12,Paramètres!$A$1:$I$89,5,0)</f>
        <v>4.4337866711430253E-14</v>
      </c>
      <c r="CA73" s="13">
        <f t="shared" si="93"/>
        <v>7.3222115536967035E-13</v>
      </c>
      <c r="CB73" s="20">
        <f t="shared" si="64"/>
        <v>1.3525069634579169E-12</v>
      </c>
      <c r="CC73" s="59">
        <f t="shared" si="65"/>
        <v>293.33333333333468</v>
      </c>
      <c r="CD73" s="59">
        <f ca="1">AVERAGE(OFFSET($CC$3,0,0,'Données projet'!$E$12+1,1))-AVERAGE(OFFSET($H$3,0,0,'Données projet'!$E$12+1,1))</f>
        <v>288.82868507674738</v>
      </c>
      <c r="CE73" s="59">
        <f t="shared" si="94"/>
        <v>283.48738729114024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65.149374636790512</v>
      </c>
      <c r="CL73" s="21">
        <f>EXP(-LN(2)/25)*CL72+(1-EXP(-LN(2)/25))/(LN(2)/25)*Calculateur!CG73*Calculateur!CI73*VLOOKUP('Données projet'!$B$12,Paramètres!$A$1:$I$89,3,0)*0.475*44/12</f>
        <v>9.2527276307192086</v>
      </c>
      <c r="CM73" s="21">
        <f>EXP(-LN(2)/2)*CM72+(1-EXP(-LN(2)/2))/(LN(2)/2)*CG73*CJ73*VLOOKUP('Données projet'!$B$12,Paramètres!$A$1:$I$89,3,0)*0.475*44/12</f>
        <v>51.553482541740365</v>
      </c>
      <c r="CN73" s="22">
        <f t="shared" si="66"/>
        <v>125.95558480925008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366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365.99999999999966</v>
      </c>
      <c r="CU73" s="17">
        <f>CT73*VLOOKUP('Données projet'!$B$13,Paramètres!$A$1:$I$89,3,0)*VLOOKUP('Données projet'!$B$13,Paramètres!$A$1:$I$89,5,0)</f>
        <v>239.80319999999978</v>
      </c>
      <c r="CV73" s="13">
        <f t="shared" si="95"/>
        <v>58.397185982155214</v>
      </c>
      <c r="CW73" s="20">
        <f t="shared" si="67"/>
        <v>519.36567225225326</v>
      </c>
      <c r="CX73" s="59">
        <f t="shared" si="68"/>
        <v>812.69900558558652</v>
      </c>
      <c r="CY73" s="59">
        <f ca="1">AVERAGE(OFFSET($CX$3,0,0,'Données projet'!$E$13+1,1))-AVERAGE(OFFSET($H$3,0,0,'Données projet'!$E$13+1,1))</f>
        <v>340.49092994349405</v>
      </c>
      <c r="CZ73" s="59">
        <f t="shared" si="96"/>
        <v>331.54434271908832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15</v>
      </c>
      <c r="DC73" s="16">
        <f>IF(ISNA(VLOOKUP(A73,'Données projet'!$A$139:$I$159,5,0)),0%,VLOOKUP(A73,'Données projet'!$A$139:$I$159,5,0)*VLOOKUP('Données projet'!$B$13,Paramètres!$A$1:$I$89,7,0))</f>
        <v>0.30099999999999999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0.2</v>
      </c>
      <c r="DF73" s="21">
        <f>EXP(-LN(2)/35)*DF72+(1-EXP(-LN(2)/35))/(LN(2)/35)*DB73*DC73*VLOOKUP('Données projet'!$B$13,Paramètres!$A$1:$I$89,3,0)*0.475*44/12</f>
        <v>16.754859741119546</v>
      </c>
      <c r="DG73" s="21">
        <f>EXP(-LN(2)/25)*DG72+(1-EXP(-LN(2)/25))/(LN(2)/25)*Calculateur!DB73*Calculateur!DD73*VLOOKUP('Données projet'!$B$13,Paramètres!$A$1:$I$89,3,0)*0.475*44/12</f>
        <v>4.4482817437611146</v>
      </c>
      <c r="DH73" s="21">
        <f>EXP(-LN(2)/2)*DH72+(1-EXP(-LN(2)/2))/(LN(2)/2)*DB73*DE73*VLOOKUP('Données projet'!$B$13,Paramètres!$A$1:$I$89,3,0)*0.475*44/12</f>
        <v>2.2871987760021839</v>
      </c>
      <c r="DI73" s="22">
        <f t="shared" si="69"/>
        <v>23.490340260882846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8.1111111111111107</v>
      </c>
      <c r="DO73" s="12">
        <f>IF('Données projet'!$A$166&gt;35,DO72+DN73-DW72,IF(A73&lt;'Données projet'!$A$166,$DL$205^A73,IF(A73='Données projet'!$A$166,'Données projet'!$B$166,DO72+DN73-DW72)))</f>
        <v>231.11111111111109</v>
      </c>
      <c r="DP73" s="17">
        <f>DO73*VLOOKUP('Données projet'!$B$14,Paramètres!$A$1:$I$89,3,0)*VLOOKUP('Données projet'!$B$14,Paramètres!$A$1:$I$89,5,0)</f>
        <v>234.34666666666664</v>
      </c>
      <c r="DQ73" s="13">
        <f t="shared" si="97"/>
        <v>57.22150594977844</v>
      </c>
      <c r="DR73" s="20">
        <f t="shared" si="70"/>
        <v>507.81456730697511</v>
      </c>
      <c r="DS73" s="59">
        <f t="shared" si="71"/>
        <v>801.14790064030842</v>
      </c>
      <c r="DT73" s="59">
        <f ca="1">AVERAGE(OFFSET($DS$3,0,0,'Données projet'!$E$14+1,1))-AVERAGE(OFFSET($H$3,0,0,'Données projet'!$E$14+1,1))</f>
        <v>586.50020405958992</v>
      </c>
      <c r="DU73" s="59">
        <f t="shared" si="98"/>
        <v>304.44184537595294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36.283772474105817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36.283772474105817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</v>
      </c>
      <c r="N74" s="13">
        <f>IF('Données projet'!$A$36&gt;35,N73+M74-V73,IF(A74&lt;'Données projet'!$A$36,$K$205^A74,IF(A74='Données projet'!$A$36,'Données projet'!$B$36,N73+M74-V73)))</f>
        <v>363</v>
      </c>
      <c r="O74" s="13">
        <f>N74*VLOOKUP('Données projet'!$B$9,Paramètres!$A$1:$I$89,3,0)*VLOOKUP('Données projet'!$B$9,Paramètres!$A$1:$I$89,5,0)</f>
        <v>311.45400000000001</v>
      </c>
      <c r="P74" s="13">
        <f t="shared" si="87"/>
        <v>73.572400496659426</v>
      </c>
      <c r="Q74" s="20">
        <f t="shared" si="54"/>
        <v>670.58764753168191</v>
      </c>
      <c r="R74" s="59">
        <f t="shared" si="55"/>
        <v>963.92098086501528</v>
      </c>
      <c r="S74" s="59">
        <f ca="1">AVERAGE(OFFSET($R$3,0,0,'Données projet'!$E$9+1,1))-AVERAGE(OFFSET($H$3,0,0,'Données projet'!$E$9+1,1))</f>
        <v>536.21423347711345</v>
      </c>
      <c r="T74" s="59">
        <f t="shared" si="88"/>
        <v>312.14361830038712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32.920285877374113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32.920285877374113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8.1111111111111107</v>
      </c>
      <c r="AI74" s="13">
        <f>IF('Données projet'!$A$62&gt;35,AI73+AH74-AQ73,IF(A74&lt;'Données projet'!$A$62,$AF$205^A74,IF(A74='Données projet'!$A$62,'Données projet'!$B$62,AI73+AH74-AQ73)))</f>
        <v>239.2222222222222</v>
      </c>
      <c r="AJ74" s="13">
        <f>AI74*VLOOKUP('Données projet'!$B$10,Paramètres!$A$1:$I$89,3,0)*VLOOKUP('Données projet'!$B$10,Paramètres!$A$1:$I$89,5,0)</f>
        <v>216.44826666666665</v>
      </c>
      <c r="AK74" s="13">
        <f t="shared" si="89"/>
        <v>53.342204311943696</v>
      </c>
      <c r="AL74" s="20">
        <f t="shared" si="58"/>
        <v>469.88507028774637</v>
      </c>
      <c r="AM74" s="59">
        <f t="shared" si="59"/>
        <v>763.21840362107969</v>
      </c>
      <c r="AN74" s="59">
        <f ca="1">AVERAGE(OFFSET($AM$3,0,0,'Données projet'!$E$10+1,1))-AVERAGE(OFFSET($H$3,0,0,'Données projet'!$E$10+1,1))</f>
        <v>528.15559695545812</v>
      </c>
      <c r="AO74" s="59">
        <f t="shared" si="90"/>
        <v>276.26988364830532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31.490957951504637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31.490957951504637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11</v>
      </c>
      <c r="BD74" s="12">
        <f>IF('Données projet'!$A$88&gt;35,BD73+BC74-BL73,IF(A74&lt;'Données projet'!$A$88,$BA$205^A74,IF(A74='Données projet'!$A$88,'Données projet'!$B$88,BD73+BC74-BL73)))</f>
        <v>363</v>
      </c>
      <c r="BE74" s="13">
        <f>BD74*VLOOKUP('Données projet'!$B$11,Paramètres!$A$1:$I$89,3,0)*VLOOKUP('Données projet'!$B$11,Paramètres!$A$1:$I$89,5,0)</f>
        <v>266.15159999999997</v>
      </c>
      <c r="BF74" s="13">
        <f t="shared" si="91"/>
        <v>64.031860548293878</v>
      </c>
      <c r="BG74" s="20">
        <f t="shared" si="61"/>
        <v>575.06952712161171</v>
      </c>
      <c r="BH74" s="59">
        <f t="shared" si="62"/>
        <v>868.40286045494508</v>
      </c>
      <c r="BI74" s="59">
        <f ca="1">AVERAGE(OFFSET($BH$3,0,0,'Données projet'!$E$11+1,1))-AVERAGE(OFFSET($H$3,0,0,'Données projet'!$E$11+1,1))</f>
        <v>464.3681853739115</v>
      </c>
      <c r="BJ74" s="59">
        <f t="shared" si="92"/>
        <v>272.97841038165217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22.823978647743768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22.823978647743768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5.6843418860808015E-14</v>
      </c>
      <c r="BZ74" s="13">
        <f>BY74*VLOOKUP('Données projet'!$B$12,Paramètres!$A$1:$I$89,3,0)*VLOOKUP('Données projet'!$B$12,Paramètres!$A$1:$I$89,5,0)</f>
        <v>4.4337866711430253E-14</v>
      </c>
      <c r="CA74" s="13">
        <f t="shared" si="93"/>
        <v>7.3222115536967035E-13</v>
      </c>
      <c r="CB74" s="20">
        <f t="shared" si="64"/>
        <v>1.3525069634579169E-12</v>
      </c>
      <c r="CC74" s="59">
        <f t="shared" si="65"/>
        <v>293.33333333333468</v>
      </c>
      <c r="CD74" s="59">
        <f ca="1">AVERAGE(OFFSET($CC$3,0,0,'Données projet'!$E$12+1,1))-AVERAGE(OFFSET($H$3,0,0,'Données projet'!$E$12+1,1))</f>
        <v>288.82868507674738</v>
      </c>
      <c r="CE74" s="59">
        <f t="shared" si="94"/>
        <v>283.48738729114024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63.871835137357856</v>
      </c>
      <c r="CL74" s="21">
        <f>EXP(-LN(2)/25)*CL73+(1-EXP(-LN(2)/25))/(LN(2)/25)*Calculateur!CG74*Calculateur!CI74*VLOOKUP('Données projet'!$B$12,Paramètres!$A$1:$I$89,3,0)*0.475*44/12</f>
        <v>8.9997113070773924</v>
      </c>
      <c r="CM74" s="21">
        <f>EXP(-LN(2)/2)*CM73+(1-EXP(-LN(2)/2))/(LN(2)/2)*CG74*CJ74*VLOOKUP('Données projet'!$B$12,Paramètres!$A$1:$I$89,3,0)*0.475*44/12</f>
        <v>36.453817099046908</v>
      </c>
      <c r="CN74" s="22">
        <f t="shared" si="66"/>
        <v>109.32536354348215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355.79999999999967</v>
      </c>
      <c r="CU74" s="17">
        <f>CT74*VLOOKUP('Données projet'!$B$13,Paramètres!$A$1:$I$89,3,0)*VLOOKUP('Données projet'!$B$13,Paramètres!$A$1:$I$89,5,0)</f>
        <v>233.1201599999998</v>
      </c>
      <c r="CV74" s="13">
        <f t="shared" si="95"/>
        <v>56.956803080632973</v>
      </c>
      <c r="CW74" s="20">
        <f t="shared" si="67"/>
        <v>505.21737736543542</v>
      </c>
      <c r="CX74" s="59">
        <f t="shared" si="68"/>
        <v>798.55071069876874</v>
      </c>
      <c r="CY74" s="59">
        <f ca="1">AVERAGE(OFFSET($CX$3,0,0,'Données projet'!$E$13+1,1))-AVERAGE(OFFSET($H$3,0,0,'Données projet'!$E$13+1,1))</f>
        <v>340.49092994349405</v>
      </c>
      <c r="CZ74" s="59">
        <f t="shared" si="96"/>
        <v>331.54434271908832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16.426307161051547</v>
      </c>
      <c r="DG74" s="21">
        <f>EXP(-LN(2)/25)*DG73+(1-EXP(-LN(2)/25))/(LN(2)/25)*Calculateur!DB74*Calculateur!DD74*VLOOKUP('Données projet'!$B$13,Paramètres!$A$1:$I$89,3,0)*0.475*44/12</f>
        <v>4.3266432455529964</v>
      </c>
      <c r="DH74" s="21">
        <f>EXP(-LN(2)/2)*DH73+(1-EXP(-LN(2)/2))/(LN(2)/2)*DB74*DE74*VLOOKUP('Données projet'!$B$13,Paramètres!$A$1:$I$89,3,0)*0.475*44/12</f>
        <v>1.6172937644327157</v>
      </c>
      <c r="DI74" s="22">
        <f t="shared" si="69"/>
        <v>22.37024417103726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8.1111111111111107</v>
      </c>
      <c r="DO74" s="12">
        <f>IF('Données projet'!$A$166&gt;35,DO73+DN74-DW73,IF(A74&lt;'Données projet'!$A$166,$DL$205^A74,IF(A74='Données projet'!$A$166,'Données projet'!$B$166,DO73+DN74-DW73)))</f>
        <v>239.2222222222222</v>
      </c>
      <c r="DP74" s="17">
        <f>DO74*VLOOKUP('Données projet'!$B$14,Paramètres!$A$1:$I$89,3,0)*VLOOKUP('Données projet'!$B$14,Paramètres!$A$1:$I$89,5,0)</f>
        <v>242.57133333333334</v>
      </c>
      <c r="DQ74" s="13">
        <f t="shared" si="97"/>
        <v>58.992421773802171</v>
      </c>
      <c r="DR74" s="20">
        <f t="shared" si="70"/>
        <v>525.22354014492771</v>
      </c>
      <c r="DS74" s="59">
        <f t="shared" si="71"/>
        <v>818.55687347826097</v>
      </c>
      <c r="DT74" s="59">
        <f ca="1">AVERAGE(OFFSET($DS$3,0,0,'Données projet'!$E$14+1,1))-AVERAGE(OFFSET($H$3,0,0,'Données projet'!$E$14+1,1))</f>
        <v>586.50020405958992</v>
      </c>
      <c r="DU74" s="59">
        <f t="shared" si="98"/>
        <v>304.44184537595294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35.291590807720723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35.291590807720723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</v>
      </c>
      <c r="N75" s="13">
        <f>IF('Données projet'!$A$36&gt;35,N74+M75-V74,IF(A75&lt;'Données projet'!$A$36,$K$205^A75,IF(A75='Données projet'!$A$36,'Données projet'!$B$36,N74+M75-V74)))</f>
        <v>374</v>
      </c>
      <c r="O75" s="13">
        <f>N75*VLOOKUP('Données projet'!$B$9,Paramètres!$A$1:$I$89,3,0)*VLOOKUP('Données projet'!$B$9,Paramètres!$A$1:$I$89,5,0)</f>
        <v>320.89200000000005</v>
      </c>
      <c r="P75" s="13">
        <f t="shared" si="87"/>
        <v>75.538921531436799</v>
      </c>
      <c r="Q75" s="20">
        <f t="shared" si="54"/>
        <v>690.45052166725247</v>
      </c>
      <c r="R75" s="59">
        <f t="shared" si="55"/>
        <v>983.78385500058585</v>
      </c>
      <c r="S75" s="59">
        <f ca="1">AVERAGE(OFFSET($R$3,0,0,'Données projet'!$E$9+1,1))-AVERAGE(OFFSET($H$3,0,0,'Données projet'!$E$9+1,1))</f>
        <v>536.21423347711345</v>
      </c>
      <c r="T75" s="59">
        <f t="shared" si="88"/>
        <v>312.14361830038712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32.020078928854723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32.020078928854723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8.1111111111111107</v>
      </c>
      <c r="AI75" s="13">
        <f>IF('Données projet'!$A$62&gt;35,AI74+AH75-AQ74,IF(A75&lt;'Données projet'!$A$62,$AF$205^A75,IF(A75='Données projet'!$A$62,'Données projet'!$B$62,AI74+AH75-AQ74)))</f>
        <v>247.33333333333331</v>
      </c>
      <c r="AJ75" s="13">
        <f>AI75*VLOOKUP('Données projet'!$B$10,Paramètres!$A$1:$I$89,3,0)*VLOOKUP('Données projet'!$B$10,Paramètres!$A$1:$I$89,5,0)</f>
        <v>223.78719999999998</v>
      </c>
      <c r="AK75" s="13">
        <f t="shared" si="89"/>
        <v>54.937195482089855</v>
      </c>
      <c r="AL75" s="20">
        <f t="shared" si="58"/>
        <v>485.44498879797311</v>
      </c>
      <c r="AM75" s="59">
        <f t="shared" si="59"/>
        <v>778.77832213130637</v>
      </c>
      <c r="AN75" s="59">
        <f ca="1">AVERAGE(OFFSET($AM$3,0,0,'Données projet'!$E$10+1,1))-AVERAGE(OFFSET($H$3,0,0,'Données projet'!$E$10+1,1))</f>
        <v>528.15559695545812</v>
      </c>
      <c r="AO75" s="59">
        <f t="shared" si="90"/>
        <v>276.26988364830532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30.629836050283238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30.629836050283238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</v>
      </c>
      <c r="BD75" s="12">
        <f>IF('Données projet'!$A$88&gt;35,BD74+BC75-BL74,IF(A75&lt;'Données projet'!$A$88,$BA$205^A75,IF(A75='Données projet'!$A$88,'Données projet'!$B$88,BD74+BC75-BL74)))</f>
        <v>374</v>
      </c>
      <c r="BE75" s="13">
        <f>BD75*VLOOKUP('Données projet'!$B$11,Paramètres!$A$1:$I$89,3,0)*VLOOKUP('Données projet'!$B$11,Paramètres!$A$1:$I$89,5,0)</f>
        <v>274.21680000000003</v>
      </c>
      <c r="BF75" s="13">
        <f t="shared" si="91"/>
        <v>65.743371927752975</v>
      </c>
      <c r="BG75" s="20">
        <f t="shared" si="61"/>
        <v>592.09729944083642</v>
      </c>
      <c r="BH75" s="59">
        <f t="shared" si="62"/>
        <v>885.43063277416968</v>
      </c>
      <c r="BI75" s="59">
        <f ca="1">AVERAGE(OFFSET($BH$3,0,0,'Données projet'!$E$11+1,1))-AVERAGE(OFFSET($H$3,0,0,'Données projet'!$E$11+1,1))</f>
        <v>464.3681853739115</v>
      </c>
      <c r="BJ75" s="59">
        <f t="shared" si="92"/>
        <v>272.97841038165217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22.199855751360342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22.199855751360342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5.6843418860808015E-14</v>
      </c>
      <c r="BZ75" s="13">
        <f>BY75*VLOOKUP('Données projet'!$B$12,Paramètres!$A$1:$I$89,3,0)*VLOOKUP('Données projet'!$B$12,Paramètres!$A$1:$I$89,5,0)</f>
        <v>4.4337866711430253E-14</v>
      </c>
      <c r="CA75" s="13">
        <f t="shared" si="93"/>
        <v>7.3222115536967035E-13</v>
      </c>
      <c r="CB75" s="20">
        <f t="shared" si="64"/>
        <v>1.3525069634579169E-12</v>
      </c>
      <c r="CC75" s="59">
        <f t="shared" si="65"/>
        <v>293.33333333333468</v>
      </c>
      <c r="CD75" s="59">
        <f ca="1">AVERAGE(OFFSET($CC$3,0,0,'Données projet'!$E$12+1,1))-AVERAGE(OFFSET($H$3,0,0,'Données projet'!$E$12+1,1))</f>
        <v>288.82868507674738</v>
      </c>
      <c r="CE75" s="59">
        <f t="shared" si="94"/>
        <v>283.48738729114024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62.61934740828692</v>
      </c>
      <c r="CL75" s="21">
        <f>EXP(-LN(2)/25)*CL74+(1-EXP(-LN(2)/25))/(LN(2)/25)*Calculateur!CG75*Calculateur!CI75*VLOOKUP('Données projet'!$B$12,Paramètres!$A$1:$I$89,3,0)*0.475*44/12</f>
        <v>8.7536137281111124</v>
      </c>
      <c r="CM75" s="21">
        <f>EXP(-LN(2)/2)*CM74+(1-EXP(-LN(2)/2))/(LN(2)/2)*CG75*CJ75*VLOOKUP('Données projet'!$B$12,Paramètres!$A$1:$I$89,3,0)*0.475*44/12</f>
        <v>25.77674127087019</v>
      </c>
      <c r="CN75" s="22">
        <f t="shared" si="66"/>
        <v>97.149702407268222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360.59999999999968</v>
      </c>
      <c r="CU75" s="17">
        <f>CT75*VLOOKUP('Données projet'!$B$13,Paramètres!$A$1:$I$89,3,0)*VLOOKUP('Données projet'!$B$13,Paramètres!$A$1:$I$89,5,0)</f>
        <v>236.2651199999998</v>
      </c>
      <c r="CV75" s="13">
        <f t="shared" si="95"/>
        <v>57.635220799267813</v>
      </c>
      <c r="CW75" s="20">
        <f t="shared" si="67"/>
        <v>511.87642689205774</v>
      </c>
      <c r="CX75" s="59">
        <f t="shared" si="68"/>
        <v>805.20976022539105</v>
      </c>
      <c r="CY75" s="59">
        <f ca="1">AVERAGE(OFFSET($CX$3,0,0,'Données projet'!$E$13+1,1))-AVERAGE(OFFSET($H$3,0,0,'Données projet'!$E$13+1,1))</f>
        <v>340.49092994349405</v>
      </c>
      <c r="CZ75" s="59">
        <f t="shared" si="96"/>
        <v>331.54434271908832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16.104197296681395</v>
      </c>
      <c r="DG75" s="21">
        <f>EXP(-LN(2)/25)*DG74+(1-EXP(-LN(2)/25))/(LN(2)/25)*Calculateur!DB75*Calculateur!DD75*VLOOKUP('Données projet'!$B$13,Paramètres!$A$1:$I$89,3,0)*0.475*44/12</f>
        <v>4.2083309584750701</v>
      </c>
      <c r="DH75" s="21">
        <f>EXP(-LN(2)/2)*DH74+(1-EXP(-LN(2)/2))/(LN(2)/2)*DB75*DE75*VLOOKUP('Données projet'!$B$13,Paramètres!$A$1:$I$89,3,0)*0.475*44/12</f>
        <v>1.1435993880010922</v>
      </c>
      <c r="DI75" s="22">
        <f t="shared" si="69"/>
        <v>21.456127643157558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8.1111111111111107</v>
      </c>
      <c r="DO75" s="12">
        <f>IF('Données projet'!$A$166&gt;35,DO74+DN75-DW74,IF(A75&lt;'Données projet'!$A$166,$DL$205^A75,IF(A75='Données projet'!$A$166,'Données projet'!$B$166,DO74+DN75-DW74)))</f>
        <v>247.33333333333331</v>
      </c>
      <c r="DP75" s="17">
        <f>DO75*VLOOKUP('Données projet'!$B$14,Paramètres!$A$1:$I$89,3,0)*VLOOKUP('Données projet'!$B$14,Paramètres!$A$1:$I$89,5,0)</f>
        <v>250.79599999999999</v>
      </c>
      <c r="DQ75" s="13">
        <f t="shared" si="97"/>
        <v>60.756360723240782</v>
      </c>
      <c r="DR75" s="20">
        <f t="shared" si="70"/>
        <v>542.6203615929777</v>
      </c>
      <c r="DS75" s="59">
        <f t="shared" si="71"/>
        <v>835.95369492631107</v>
      </c>
      <c r="DT75" s="59">
        <f ca="1">AVERAGE(OFFSET($DS$3,0,0,'Données projet'!$E$14+1,1))-AVERAGE(OFFSET($H$3,0,0,'Données projet'!$E$14+1,1))</f>
        <v>586.50020405958992</v>
      </c>
      <c r="DU75" s="59">
        <f t="shared" si="98"/>
        <v>304.44184537595294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34.3265404011795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34.3265404011795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</v>
      </c>
      <c r="N76" s="13">
        <f>IF('Données projet'!$A$36&gt;35,N75+M76-V75,IF(A76&lt;'Données projet'!$A$36,$K$205^A76,IF(A76='Données projet'!$A$36,'Données projet'!$B$36,N75+M76-V75)))</f>
        <v>385</v>
      </c>
      <c r="O76" s="13">
        <f>N76*VLOOKUP('Données projet'!$B$9,Paramètres!$A$1:$I$89,3,0)*VLOOKUP('Données projet'!$B$9,Paramètres!$A$1:$I$89,5,0)</f>
        <v>330.33000000000004</v>
      </c>
      <c r="P76" s="13">
        <f t="shared" si="87"/>
        <v>77.498720610826084</v>
      </c>
      <c r="Q76" s="20">
        <f t="shared" si="54"/>
        <v>710.30168839718874</v>
      </c>
      <c r="R76" s="59">
        <f t="shared" si="55"/>
        <v>1003.6350217305221</v>
      </c>
      <c r="S76" s="59">
        <f ca="1">AVERAGE(OFFSET($R$3,0,0,'Données projet'!$E$9+1,1))-AVERAGE(OFFSET($H$3,0,0,'Données projet'!$E$9+1,1))</f>
        <v>536.21423347711345</v>
      </c>
      <c r="T76" s="59">
        <f t="shared" si="88"/>
        <v>312.14361830038712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31.144488186682423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31.144488186682423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8.1111111111111107</v>
      </c>
      <c r="AI76" s="13">
        <f>IF('Données projet'!$A$62&gt;35,AI75+AH76-AQ75,IF(A76&lt;'Données projet'!$A$62,$AF$205^A76,IF(A76='Données projet'!$A$62,'Données projet'!$B$62,AI75+AH76-AQ75)))</f>
        <v>255.44444444444443</v>
      </c>
      <c r="AJ76" s="13">
        <f>AI76*VLOOKUP('Données projet'!$B$10,Paramètres!$A$1:$I$89,3,0)*VLOOKUP('Données projet'!$B$10,Paramètres!$A$1:$I$89,5,0)</f>
        <v>231.12613333333331</v>
      </c>
      <c r="AK76" s="13">
        <f t="shared" si="89"/>
        <v>56.526108626018512</v>
      </c>
      <c r="AL76" s="20">
        <f t="shared" si="58"/>
        <v>500.99432141253783</v>
      </c>
      <c r="AM76" s="59">
        <f t="shared" si="59"/>
        <v>794.32765474587109</v>
      </c>
      <c r="AN76" s="59">
        <f ca="1">AVERAGE(OFFSET($AM$3,0,0,'Données projet'!$E$10+1,1))-AVERAGE(OFFSET($H$3,0,0,'Données projet'!$E$10+1,1))</f>
        <v>528.15559695545812</v>
      </c>
      <c r="AO76" s="59">
        <f t="shared" si="90"/>
        <v>276.26988364830532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29.792261572735171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29.792261572735171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</v>
      </c>
      <c r="BD76" s="12">
        <f>IF('Données projet'!$A$88&gt;35,BD75+BC76-BL75,IF(A76&lt;'Données projet'!$A$88,$BA$205^A76,IF(A76='Données projet'!$A$88,'Données projet'!$B$88,BD75+BC76-BL75)))</f>
        <v>385</v>
      </c>
      <c r="BE76" s="13">
        <f>BD76*VLOOKUP('Données projet'!$B$11,Paramètres!$A$1:$I$89,3,0)*VLOOKUP('Données projet'!$B$11,Paramètres!$A$1:$I$89,5,0)</f>
        <v>282.28199999999998</v>
      </c>
      <c r="BF76" s="13">
        <f t="shared" si="91"/>
        <v>67.449033024944271</v>
      </c>
      <c r="BG76" s="20">
        <f t="shared" si="61"/>
        <v>609.11488251844457</v>
      </c>
      <c r="BH76" s="59">
        <f t="shared" si="62"/>
        <v>902.44821585177783</v>
      </c>
      <c r="BI76" s="59">
        <f ca="1">AVERAGE(OFFSET($BH$3,0,0,'Données projet'!$E$11+1,1))-AVERAGE(OFFSET($H$3,0,0,'Données projet'!$E$11+1,1))</f>
        <v>464.3681853739115</v>
      </c>
      <c r="BJ76" s="59">
        <f t="shared" si="92"/>
        <v>272.97841038165217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21.59279952839972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21.59279952839972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5.6843418860808015E-14</v>
      </c>
      <c r="BZ76" s="13">
        <f>BY76*VLOOKUP('Données projet'!$B$12,Paramètres!$A$1:$I$89,3,0)*VLOOKUP('Données projet'!$B$12,Paramètres!$A$1:$I$89,5,0)</f>
        <v>4.4337866711430253E-14</v>
      </c>
      <c r="CA76" s="13">
        <f t="shared" si="93"/>
        <v>7.3222115536967035E-13</v>
      </c>
      <c r="CB76" s="20">
        <f t="shared" si="64"/>
        <v>1.3525069634579169E-12</v>
      </c>
      <c r="CC76" s="59">
        <f t="shared" si="65"/>
        <v>293.33333333333468</v>
      </c>
      <c r="CD76" s="59">
        <f ca="1">AVERAGE(OFFSET($CC$3,0,0,'Données projet'!$E$12+1,1))-AVERAGE(OFFSET($H$3,0,0,'Données projet'!$E$12+1,1))</f>
        <v>288.82868507674738</v>
      </c>
      <c r="CE76" s="59">
        <f t="shared" si="94"/>
        <v>283.48738729114024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61.391420199640983</v>
      </c>
      <c r="CL76" s="21">
        <f>EXP(-LN(2)/25)*CL75+(1-EXP(-LN(2)/25))/(LN(2)/25)*Calculateur!CG76*Calculateur!CI76*VLOOKUP('Données projet'!$B$12,Paramètres!$A$1:$I$89,3,0)*0.475*44/12</f>
        <v>8.5142457003833751</v>
      </c>
      <c r="CM76" s="21">
        <f>EXP(-LN(2)/2)*CM75+(1-EXP(-LN(2)/2))/(LN(2)/2)*CG76*CJ76*VLOOKUP('Données projet'!$B$12,Paramètres!$A$1:$I$89,3,0)*0.475*44/12</f>
        <v>18.226908549523458</v>
      </c>
      <c r="CN76" s="22">
        <f t="shared" si="66"/>
        <v>88.132574449547818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365.39999999999969</v>
      </c>
      <c r="CU76" s="17">
        <f>CT76*VLOOKUP('Données projet'!$B$13,Paramètres!$A$1:$I$89,3,0)*VLOOKUP('Données projet'!$B$13,Paramètres!$A$1:$I$89,5,0)</f>
        <v>239.41007999999982</v>
      </c>
      <c r="CV76" s="13">
        <f t="shared" si="95"/>
        <v>58.312588146640707</v>
      </c>
      <c r="CW76" s="20">
        <f t="shared" si="67"/>
        <v>518.53364702206557</v>
      </c>
      <c r="CX76" s="59">
        <f t="shared" si="68"/>
        <v>811.86698035539894</v>
      </c>
      <c r="CY76" s="59">
        <f ca="1">AVERAGE(OFFSET($CX$3,0,0,'Données projet'!$E$13+1,1))-AVERAGE(OFFSET($H$3,0,0,'Données projet'!$E$13+1,1))</f>
        <v>340.49092994349405</v>
      </c>
      <c r="CZ76" s="59">
        <f t="shared" si="96"/>
        <v>331.54434271908832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15.788403810283924</v>
      </c>
      <c r="DG76" s="21">
        <f>EXP(-LN(2)/25)*DG75+(1-EXP(-LN(2)/25))/(LN(2)/25)*Calculateur!DB76*Calculateur!DD76*VLOOKUP('Données projet'!$B$13,Paramètres!$A$1:$I$89,3,0)*0.475*44/12</f>
        <v>4.0932539271090622</v>
      </c>
      <c r="DH76" s="21">
        <f>EXP(-LN(2)/2)*DH75+(1-EXP(-LN(2)/2))/(LN(2)/2)*DB76*DE76*VLOOKUP('Données projet'!$B$13,Paramètres!$A$1:$I$89,3,0)*0.475*44/12</f>
        <v>0.80864688221635805</v>
      </c>
      <c r="DI76" s="22">
        <f t="shared" si="69"/>
        <v>20.690304619609343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8.1111111111111107</v>
      </c>
      <c r="DO76" s="12">
        <f>IF('Données projet'!$A$166&gt;35,DO75+DN76-DW75,IF(A76&lt;'Données projet'!$A$166,$DL$205^A76,IF(A76='Données projet'!$A$166,'Données projet'!$B$166,DO75+DN76-DW75)))</f>
        <v>255.44444444444443</v>
      </c>
      <c r="DP76" s="17">
        <f>DO76*VLOOKUP('Données projet'!$B$14,Paramètres!$A$1:$I$89,3,0)*VLOOKUP('Données projet'!$B$14,Paramètres!$A$1:$I$89,5,0)</f>
        <v>259.02066666666667</v>
      </c>
      <c r="DQ76" s="13">
        <f t="shared" si="97"/>
        <v>62.513577837862201</v>
      </c>
      <c r="DR76" s="20">
        <f t="shared" si="70"/>
        <v>560.00547584538776</v>
      </c>
      <c r="DS76" s="59">
        <f t="shared" si="71"/>
        <v>853.33880917872102</v>
      </c>
      <c r="DT76" s="59">
        <f ca="1">AVERAGE(OFFSET($DS$3,0,0,'Données projet'!$E$14+1,1))-AVERAGE(OFFSET($H$3,0,0,'Données projet'!$E$14+1,1))</f>
        <v>586.50020405958992</v>
      </c>
      <c r="DU76" s="59">
        <f t="shared" si="98"/>
        <v>304.44184537595294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33.387879348754943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33.387879348754943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</v>
      </c>
      <c r="N77" s="13">
        <f>IF('Données projet'!$A$36&gt;35,N76+M77-V76,IF(A77&lt;'Données projet'!$A$36,$K$205^A77,IF(A77='Données projet'!$A$36,'Données projet'!$B$36,N76+M77-V76)))</f>
        <v>396</v>
      </c>
      <c r="O77" s="13">
        <f>N77*VLOOKUP('Données projet'!$B$9,Paramètres!$A$1:$I$89,3,0)*VLOOKUP('Données projet'!$B$9,Paramètres!$A$1:$I$89,5,0)</f>
        <v>339.76800000000003</v>
      </c>
      <c r="P77" s="13">
        <f t="shared" si="87"/>
        <v>79.452011848891914</v>
      </c>
      <c r="Q77" s="20">
        <f t="shared" si="54"/>
        <v>730.14152063682013</v>
      </c>
      <c r="R77" s="59">
        <f t="shared" si="55"/>
        <v>1023.4748539701534</v>
      </c>
      <c r="S77" s="59">
        <f ca="1">AVERAGE(OFFSET($R$3,0,0,'Données projet'!$E$9+1,1))-AVERAGE(OFFSET($H$3,0,0,'Données projet'!$E$9+1,1))</f>
        <v>536.21423347711345</v>
      </c>
      <c r="T77" s="59">
        <f t="shared" si="88"/>
        <v>312.14361830038712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30.292840519400141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30.292840519400141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8.1111111111111107</v>
      </c>
      <c r="AI77" s="13">
        <f>IF('Données projet'!$A$62&gt;35,AI76+AH77-AQ76,IF(A77&lt;'Données projet'!$A$62,$AF$205^A77,IF(A77='Données projet'!$A$62,'Données projet'!$B$62,AI76+AH77-AQ76)))</f>
        <v>263.55555555555554</v>
      </c>
      <c r="AJ77" s="13">
        <f>AI77*VLOOKUP('Données projet'!$B$10,Paramètres!$A$1:$I$89,3,0)*VLOOKUP('Données projet'!$B$10,Paramètres!$A$1:$I$89,5,0)</f>
        <v>238.46506666666667</v>
      </c>
      <c r="AK77" s="13">
        <f t="shared" si="89"/>
        <v>58.109158879235501</v>
      </c>
      <c r="AL77" s="20">
        <f t="shared" si="58"/>
        <v>516.53344282577962</v>
      </c>
      <c r="AM77" s="59">
        <f t="shared" si="59"/>
        <v>809.86677615911299</v>
      </c>
      <c r="AN77" s="59">
        <f ca="1">AVERAGE(OFFSET($AM$3,0,0,'Données projet'!$E$10+1,1))-AVERAGE(OFFSET($H$3,0,0,'Données projet'!$E$10+1,1))</f>
        <v>528.15559695545812</v>
      </c>
      <c r="AO77" s="59">
        <f t="shared" si="90"/>
        <v>276.26988364830532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28.977590613321784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28.977590613321784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</v>
      </c>
      <c r="BD77" s="12">
        <f>IF('Données projet'!$A$88&gt;35,BD76+BC77-BL76,IF(A77&lt;'Données projet'!$A$88,$BA$205^A77,IF(A77='Données projet'!$A$88,'Données projet'!$B$88,BD76+BC77-BL76)))</f>
        <v>396</v>
      </c>
      <c r="BE77" s="13">
        <f>BD77*VLOOKUP('Données projet'!$B$11,Paramètres!$A$1:$I$89,3,0)*VLOOKUP('Données projet'!$B$11,Paramètres!$A$1:$I$89,5,0)</f>
        <v>290.34719999999999</v>
      </c>
      <c r="BF77" s="13">
        <f t="shared" si="91"/>
        <v>69.149030188577811</v>
      </c>
      <c r="BG77" s="20">
        <f t="shared" si="61"/>
        <v>626.12260091177302</v>
      </c>
      <c r="BH77" s="59">
        <f t="shared" si="62"/>
        <v>919.45593424510639</v>
      </c>
      <c r="BI77" s="59">
        <f ca="1">AVERAGE(OFFSET($BH$3,0,0,'Données projet'!$E$11+1,1))-AVERAGE(OFFSET($H$3,0,0,'Données projet'!$E$11+1,1))</f>
        <v>464.3681853739115</v>
      </c>
      <c r="BJ77" s="59">
        <f t="shared" si="92"/>
        <v>272.97841038165217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21.002343289779652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21.002343289779652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5.6843418860808015E-14</v>
      </c>
      <c r="BZ77" s="13">
        <f>BY77*VLOOKUP('Données projet'!$B$12,Paramètres!$A$1:$I$89,3,0)*VLOOKUP('Données projet'!$B$12,Paramètres!$A$1:$I$89,5,0)</f>
        <v>4.4337866711430253E-14</v>
      </c>
      <c r="CA77" s="13">
        <f t="shared" si="93"/>
        <v>7.3222115536967035E-13</v>
      </c>
      <c r="CB77" s="20">
        <f t="shared" si="64"/>
        <v>1.3525069634579169E-12</v>
      </c>
      <c r="CC77" s="59">
        <f t="shared" si="65"/>
        <v>293.33333333333468</v>
      </c>
      <c r="CD77" s="59">
        <f ca="1">AVERAGE(OFFSET($CC$3,0,0,'Données projet'!$E$12+1,1))-AVERAGE(OFFSET($H$3,0,0,'Données projet'!$E$12+1,1))</f>
        <v>288.82868507674738</v>
      </c>
      <c r="CE77" s="59">
        <f t="shared" si="94"/>
        <v>283.48738729114024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60.187571894594953</v>
      </c>
      <c r="CL77" s="21">
        <f>EXP(-LN(2)/25)*CL76+(1-EXP(-LN(2)/25))/(LN(2)/25)*Calculateur!CG77*Calculateur!CI77*VLOOKUP('Données projet'!$B$12,Paramètres!$A$1:$I$89,3,0)*0.475*44/12</f>
        <v>8.2814232039616691</v>
      </c>
      <c r="CM77" s="21">
        <f>EXP(-LN(2)/2)*CM76+(1-EXP(-LN(2)/2))/(LN(2)/2)*CG77*CJ77*VLOOKUP('Données projet'!$B$12,Paramètres!$A$1:$I$89,3,0)*0.475*44/12</f>
        <v>12.888370635435097</v>
      </c>
      <c r="CN77" s="22">
        <f t="shared" si="66"/>
        <v>81.357365733991713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370.1999999999997</v>
      </c>
      <c r="CU77" s="17">
        <f>CT77*VLOOKUP('Données projet'!$B$13,Paramètres!$A$1:$I$89,3,0)*VLOOKUP('Données projet'!$B$13,Paramètres!$A$1:$I$89,5,0)</f>
        <v>242.55503999999979</v>
      </c>
      <c r="CV77" s="13">
        <f t="shared" si="95"/>
        <v>58.988920515936691</v>
      </c>
      <c r="CW77" s="20">
        <f t="shared" si="67"/>
        <v>525.18906456525599</v>
      </c>
      <c r="CX77" s="59">
        <f t="shared" si="68"/>
        <v>818.52239789858936</v>
      </c>
      <c r="CY77" s="59">
        <f ca="1">AVERAGE(OFFSET($CX$3,0,0,'Données projet'!$E$13+1,1))-AVERAGE(OFFSET($H$3,0,0,'Données projet'!$E$13+1,1))</f>
        <v>340.49092994349405</v>
      </c>
      <c r="CZ77" s="59">
        <f t="shared" si="96"/>
        <v>331.54434271908832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15.4788028415397</v>
      </c>
      <c r="DG77" s="21">
        <f>EXP(-LN(2)/25)*DG76+(1-EXP(-LN(2)/25))/(LN(2)/25)*Calculateur!DB77*Calculateur!DD77*VLOOKUP('Données projet'!$B$13,Paramètres!$A$1:$I$89,3,0)*0.475*44/12</f>
        <v>3.9813236832173962</v>
      </c>
      <c r="DH77" s="21">
        <f>EXP(-LN(2)/2)*DH76+(1-EXP(-LN(2)/2))/(LN(2)/2)*DB77*DE77*VLOOKUP('Données projet'!$B$13,Paramètres!$A$1:$I$89,3,0)*0.475*44/12</f>
        <v>0.5717996940005462</v>
      </c>
      <c r="DI77" s="22">
        <f t="shared" si="69"/>
        <v>20.031926218757643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8.1111111111111107</v>
      </c>
      <c r="DO77" s="12">
        <f>IF('Données projet'!$A$166&gt;35,DO76+DN77-DW76,IF(A77&lt;'Données projet'!$A$166,$DL$205^A77,IF(A77='Données projet'!$A$166,'Données projet'!$B$166,DO76+DN77-DW76)))</f>
        <v>263.55555555555554</v>
      </c>
      <c r="DP77" s="17">
        <f>DO77*VLOOKUP('Données projet'!$B$14,Paramètres!$A$1:$I$89,3,0)*VLOOKUP('Données projet'!$B$14,Paramètres!$A$1:$I$89,5,0)</f>
        <v>267.24533333333335</v>
      </c>
      <c r="DQ77" s="13">
        <f t="shared" si="97"/>
        <v>64.264311041176555</v>
      </c>
      <c r="DR77" s="20">
        <f t="shared" si="70"/>
        <v>577.37929728560482</v>
      </c>
      <c r="DS77" s="59">
        <f t="shared" si="71"/>
        <v>870.71263061893819</v>
      </c>
      <c r="DT77" s="59">
        <f ca="1">AVERAGE(OFFSET($DS$3,0,0,'Données projet'!$E$14+1,1))-AVERAGE(OFFSET($H$3,0,0,'Données projet'!$E$14+1,1))</f>
        <v>586.50020405958992</v>
      </c>
      <c r="DU77" s="59">
        <f t="shared" si="98"/>
        <v>304.44184537595294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32.474886032170971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32.474886032170971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407</v>
      </c>
      <c r="L78" s="12">
        <f>VLOOKUP(A78,'Données projet'!$A$35:$I$55,9,0)</f>
        <v>11</v>
      </c>
      <c r="M78" s="12">
        <f t="array" ref="M78">INDEX(L:L,MIN(IF(ISNUMBER(L78:L274),ROW(L78:L274),"")))</f>
        <v>11</v>
      </c>
      <c r="N78" s="13">
        <f>IF('Données projet'!$A$36&gt;35,N77+M78-V77,IF(A78&lt;'Données projet'!$A$36,$K$205^A78,IF(A78='Données projet'!$A$36,'Données projet'!$B$36,N77+M78-V77)))</f>
        <v>407</v>
      </c>
      <c r="O78" s="13">
        <f>N78*VLOOKUP('Données projet'!$B$9,Paramètres!$A$1:$I$89,3,0)*VLOOKUP('Données projet'!$B$9,Paramètres!$A$1:$I$89,5,0)</f>
        <v>349.20600000000007</v>
      </c>
      <c r="P78" s="13">
        <f t="shared" si="87"/>
        <v>81.398996787610969</v>
      </c>
      <c r="Q78" s="20">
        <f t="shared" si="54"/>
        <v>749.97036940508917</v>
      </c>
      <c r="R78" s="59">
        <f t="shared" si="55"/>
        <v>1043.3037027384225</v>
      </c>
      <c r="S78" s="59">
        <f ca="1">AVERAGE(OFFSET($R$3,0,0,'Données projet'!$E$9+1,1))-AVERAGE(OFFSET($H$3,0,0,'Données projet'!$E$9+1,1))</f>
        <v>536.21423347711345</v>
      </c>
      <c r="T78" s="59">
        <f t="shared" si="88"/>
        <v>312.14361830038712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35</v>
      </c>
      <c r="W78" s="16">
        <f>IF(ISNA(VLOOKUP(A78,'Données projet'!$A$35:$I$55,5,0)),0%,VLOOKUP(A78,'Données projet'!$A$35:$I$55,5,0)*VLOOKUP('Données projet'!$B$9,Paramètres!$A$1:$I$89,7,0))</f>
        <v>5.3000000000000005E-2</v>
      </c>
      <c r="X78" s="16">
        <f>IF(ISNA(VLOOKUP(A78,'Données projet'!$A$35:$I$55,6,0)),0%,VLOOKUP(A78,'Données projet'!$A$35:$I$55,6,0)*VLOOKUP('Données projet'!$B$9,Paramètres!$A$1:$I$89,7,0))</f>
        <v>0.26500000000000001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1.7594556013608484</v>
      </c>
      <c r="AA78" s="21">
        <f>EXP(-LN(2)/25)*AA77+(1-EXP(-LN(2)/25))/(LN(2)/25)*Calculateur!V78*Calculateur!X78*VLOOKUP('Données projet'!$B$9,Paramètres!$A$1:$I$89,3,0)*0.475*44/12</f>
        <v>38.227120973631635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39.986576574992483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8.1111111111111107</v>
      </c>
      <c r="AI78" s="13">
        <f>IF('Données projet'!$A$62&gt;35,AI77+AH78-AQ77,IF(A78&lt;'Données projet'!$A$62,$AF$205^A78,IF(A78='Données projet'!$A$62,'Données projet'!$B$62,AI77+AH78-AQ77)))</f>
        <v>271.66666666666663</v>
      </c>
      <c r="AJ78" s="13">
        <f>AI78*VLOOKUP('Données projet'!$B$10,Paramètres!$A$1:$I$89,3,0)*VLOOKUP('Données projet'!$B$10,Paramètres!$A$1:$I$89,5,0)</f>
        <v>245.80399999999995</v>
      </c>
      <c r="AK78" s="13">
        <f t="shared" si="89"/>
        <v>59.686547383038381</v>
      </c>
      <c r="AL78" s="20">
        <f t="shared" si="58"/>
        <v>532.06270335879174</v>
      </c>
      <c r="AM78" s="59">
        <f t="shared" si="59"/>
        <v>825.39603669212511</v>
      </c>
      <c r="AN78" s="59">
        <f ca="1">AVERAGE(OFFSET($AM$3,0,0,'Données projet'!$E$10+1,1))-AVERAGE(OFFSET($H$3,0,0,'Données projet'!$E$10+1,1))</f>
        <v>528.15559695545812</v>
      </c>
      <c r="AO78" s="59">
        <f t="shared" si="90"/>
        <v>276.26988364830532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28.18519687413524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28.18519687413524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407</v>
      </c>
      <c r="BB78" s="12">
        <f>VLOOKUP(A78,'Données projet'!$A$87:$I$107,9,0)</f>
        <v>11</v>
      </c>
      <c r="BC78" s="12">
        <f t="array" ref="BC78">INDEX(BB:BB,MIN(IF(ISNUMBER(BB78:BB274),ROW(BB78:BB274),"")))</f>
        <v>11</v>
      </c>
      <c r="BD78" s="12">
        <f>IF('Données projet'!$A$88&gt;35,BD77+BC78-BL77,IF(A78&lt;'Données projet'!$A$88,$BA$205^A78,IF(A78='Données projet'!$A$88,'Données projet'!$B$88,BD77+BC78-BL77)))</f>
        <v>407</v>
      </c>
      <c r="BE78" s="13">
        <f>BD78*VLOOKUP('Données projet'!$B$11,Paramètres!$A$1:$I$89,3,0)*VLOOKUP('Données projet'!$B$11,Paramètres!$A$1:$I$89,5,0)</f>
        <v>298.41239999999999</v>
      </c>
      <c r="BF78" s="13">
        <f t="shared" si="91"/>
        <v>70.843538825568004</v>
      </c>
      <c r="BG78" s="20">
        <f t="shared" si="61"/>
        <v>643.12076012119758</v>
      </c>
      <c r="BH78" s="59">
        <f t="shared" si="62"/>
        <v>936.45409345453095</v>
      </c>
      <c r="BI78" s="59">
        <f ca="1">AVERAGE(OFFSET($BH$3,0,0,'Données projet'!$E$11+1,1))-AVERAGE(OFFSET($H$3,0,0,'Données projet'!$E$11+1,1))</f>
        <v>464.3681853739115</v>
      </c>
      <c r="BJ78" s="59">
        <f t="shared" si="92"/>
        <v>272.97841038165217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35</v>
      </c>
      <c r="BM78" s="16">
        <f>IF(ISNA(VLOOKUP(A78,'Données projet'!$A$87:$I$107,5,0)),0%,VLOOKUP(A78,'Données projet'!$A$87:$I$107,5,0)*VLOOKUP('Données projet'!$B$11,Paramètres!$A$1:$I$89,7,0))</f>
        <v>4.3000000000000003E-2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1.2198489778217065</v>
      </c>
      <c r="BQ78" s="21">
        <f>EXP(-LN(2)/25)*BQ77+(1-EXP(-LN(2)/25))/(LN(2)/25)*Calculateur!BL78*Calculateur!BN78*VLOOKUP('Données projet'!$B$11,Paramètres!$A$1:$I$89,3,0)*0.475*44/12</f>
        <v>26.503262946041005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27.72311192386271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5.6843418860808015E-14</v>
      </c>
      <c r="BZ78" s="13">
        <f>BY78*VLOOKUP('Données projet'!$B$12,Paramètres!$A$1:$I$89,3,0)*VLOOKUP('Données projet'!$B$12,Paramètres!$A$1:$I$89,5,0)</f>
        <v>4.4337866711430253E-14</v>
      </c>
      <c r="CA78" s="13">
        <f t="shared" si="93"/>
        <v>7.3222115536967035E-13</v>
      </c>
      <c r="CB78" s="20">
        <f t="shared" si="64"/>
        <v>1.3525069634579169E-12</v>
      </c>
      <c r="CC78" s="59">
        <f t="shared" si="65"/>
        <v>293.33333333333468</v>
      </c>
      <c r="CD78" s="59">
        <f ca="1">AVERAGE(OFFSET($CC$3,0,0,'Données projet'!$E$12+1,1))-AVERAGE(OFFSET($H$3,0,0,'Données projet'!$E$12+1,1))</f>
        <v>288.82868507674738</v>
      </c>
      <c r="CE78" s="59">
        <f t="shared" si="94"/>
        <v>283.48738729114024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59.007330320535914</v>
      </c>
      <c r="CL78" s="21">
        <f>EXP(-LN(2)/25)*CL77+(1-EXP(-LN(2)/25))/(LN(2)/25)*Calculateur!CG78*Calculateur!CI78*VLOOKUP('Données projet'!$B$12,Paramètres!$A$1:$I$89,3,0)*0.475*44/12</f>
        <v>8.0549672509482182</v>
      </c>
      <c r="CM78" s="21">
        <f>EXP(-LN(2)/2)*CM77+(1-EXP(-LN(2)/2))/(LN(2)/2)*CG78*CJ78*VLOOKUP('Données projet'!$B$12,Paramètres!$A$1:$I$89,3,0)*0.475*44/12</f>
        <v>9.1134542747617306</v>
      </c>
      <c r="CN78" s="22">
        <f t="shared" si="66"/>
        <v>76.175751846245873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375</v>
      </c>
      <c r="CR78" s="12">
        <f>VLOOKUP(A78,'Données projet'!$A$139:$I$159,9,0)</f>
        <v>4.8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374.99999999999972</v>
      </c>
      <c r="CU78" s="17">
        <f>CT78*VLOOKUP('Données projet'!$B$13,Paramètres!$A$1:$I$89,3,0)*VLOOKUP('Données projet'!$B$13,Paramètres!$A$1:$I$89,5,0)</f>
        <v>245.69999999999982</v>
      </c>
      <c r="CV78" s="13">
        <f t="shared" si="95"/>
        <v>59.664232878217433</v>
      </c>
      <c r="CW78" s="20">
        <f t="shared" si="67"/>
        <v>531.84270559622837</v>
      </c>
      <c r="CX78" s="59">
        <f t="shared" si="68"/>
        <v>825.17603892956163</v>
      </c>
      <c r="CY78" s="59">
        <f ca="1">AVERAGE(OFFSET($CX$3,0,0,'Données projet'!$E$13+1,1))-AVERAGE(OFFSET($H$3,0,0,'Données projet'!$E$13+1,1))</f>
        <v>340.49092994349405</v>
      </c>
      <c r="CZ78" s="59">
        <f t="shared" si="96"/>
        <v>331.54434271908832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14</v>
      </c>
      <c r="DC78" s="16">
        <f>IF(ISNA(VLOOKUP(A78,'Données projet'!$A$139:$I$159,5,0)),0%,VLOOKUP(A78,'Données projet'!$A$139:$I$159,5,0)*VLOOKUP('Données projet'!$B$13,Paramètres!$A$1:$I$89,7,0))</f>
        <v>0.30099999999999999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0.2</v>
      </c>
      <c r="DF78" s="21">
        <f>EXP(-LN(2)/35)*DF77+(1-EXP(-LN(2)/35))/(LN(2)/35)*DB78*DC78*VLOOKUP('Données projet'!$B$13,Paramètres!$A$1:$I$89,3,0)*0.475*44/12</f>
        <v>18.227490826865939</v>
      </c>
      <c r="DG78" s="21">
        <f>EXP(-LN(2)/25)*DG77+(1-EXP(-LN(2)/25))/(LN(2)/25)*Calculateur!DB78*Calculateur!DD78*VLOOKUP('Données projet'!$B$13,Paramètres!$A$1:$I$89,3,0)*0.475*44/12</f>
        <v>3.8724541777311035</v>
      </c>
      <c r="DH78" s="21">
        <f>EXP(-LN(2)/2)*DH77+(1-EXP(-LN(2)/2))/(LN(2)/2)*DB78*DE78*VLOOKUP('Données projet'!$B$13,Paramètres!$A$1:$I$89,3,0)*0.475*44/12</f>
        <v>2.1352801775666403</v>
      </c>
      <c r="DI78" s="22">
        <f t="shared" si="69"/>
        <v>24.235225182163681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8.1111111111111107</v>
      </c>
      <c r="DO78" s="12">
        <f>IF('Données projet'!$A$166&gt;35,DO77+DN78-DW77,IF(A78&lt;'Données projet'!$A$166,$DL$205^A78,IF(A78='Données projet'!$A$166,'Données projet'!$B$166,DO77+DN78-DW77)))</f>
        <v>271.66666666666663</v>
      </c>
      <c r="DP78" s="17">
        <f>DO78*VLOOKUP('Données projet'!$B$14,Paramètres!$A$1:$I$89,3,0)*VLOOKUP('Données projet'!$B$14,Paramètres!$A$1:$I$89,5,0)</f>
        <v>275.46999999999997</v>
      </c>
      <c r="DQ78" s="13">
        <f t="shared" si="97"/>
        <v>66.008782780164168</v>
      </c>
      <c r="DR78" s="20">
        <f t="shared" si="70"/>
        <v>594.74221334211904</v>
      </c>
      <c r="DS78" s="59">
        <f t="shared" si="71"/>
        <v>888.07554667545242</v>
      </c>
      <c r="DT78" s="59">
        <f ca="1">AVERAGE(OFFSET($DS$3,0,0,'Données projet'!$E$14+1,1))-AVERAGE(OFFSET($H$3,0,0,'Données projet'!$E$14+1,1))</f>
        <v>586.50020405958992</v>
      </c>
      <c r="DU78" s="59">
        <f t="shared" si="98"/>
        <v>304.44184537595294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31.586858565841222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31.586858565841222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10.4</v>
      </c>
      <c r="N79" s="13">
        <f>IF('Données projet'!$A$36&gt;35,N78+M79-V78,IF(A79&lt;'Données projet'!$A$36,$K$205^A79,IF(A79='Données projet'!$A$36,'Données projet'!$B$36,N78+M79-V78)))</f>
        <v>382.4</v>
      </c>
      <c r="O79" s="13">
        <f>N79*VLOOKUP('Données projet'!$B$9,Paramètres!$A$1:$I$89,3,0)*VLOOKUP('Données projet'!$B$9,Paramètres!$A$1:$I$89,5,0)</f>
        <v>328.0992</v>
      </c>
      <c r="P79" s="13">
        <f t="shared" si="87"/>
        <v>77.036090442258086</v>
      </c>
      <c r="Q79" s="20">
        <f t="shared" si="54"/>
        <v>705.61063085359956</v>
      </c>
      <c r="R79" s="59">
        <f t="shared" si="55"/>
        <v>998.94396418693282</v>
      </c>
      <c r="S79" s="59">
        <f ca="1">AVERAGE(OFFSET($R$3,0,0,'Données projet'!$E$9+1,1))-AVERAGE(OFFSET($H$3,0,0,'Données projet'!$E$9+1,1))</f>
        <v>536.21423347711345</v>
      </c>
      <c r="T79" s="59">
        <f t="shared" si="88"/>
        <v>312.14361830038712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1.7249537501801131</v>
      </c>
      <c r="AA79" s="21">
        <f>EXP(-LN(2)/25)*AA78+(1-EXP(-LN(2)/25))/(LN(2)/25)*Calculateur!V79*Calculateur!X79*VLOOKUP('Données projet'!$B$9,Paramètres!$A$1:$I$89,3,0)*0.475*44/12</f>
        <v>37.181798340330758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38.906752090510871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8.1111111111111107</v>
      </c>
      <c r="AI79" s="13">
        <f>IF('Données projet'!$A$62&gt;35,AI78+AH79-AQ78,IF(A79&lt;'Données projet'!$A$62,$AF$205^A79,IF(A79='Données projet'!$A$62,'Données projet'!$B$62,AI78+AH79-AQ78)))</f>
        <v>279.77777777777771</v>
      </c>
      <c r="AJ79" s="13">
        <f>AI79*VLOOKUP('Données projet'!$B$10,Paramètres!$A$1:$I$89,3,0)*VLOOKUP('Données projet'!$B$10,Paramètres!$A$1:$I$89,5,0)</f>
        <v>253.14293333333325</v>
      </c>
      <c r="AK79" s="13">
        <f t="shared" si="89"/>
        <v>61.258462585145814</v>
      </c>
      <c r="AL79" s="20">
        <f t="shared" si="58"/>
        <v>547.58243122468434</v>
      </c>
      <c r="AM79" s="59">
        <f t="shared" si="59"/>
        <v>840.9157645580176</v>
      </c>
      <c r="AN79" s="59">
        <f ca="1">AVERAGE(OFFSET($AM$3,0,0,'Données projet'!$E$10+1,1))-AVERAGE(OFFSET($H$3,0,0,'Données projet'!$E$10+1,1))</f>
        <v>528.15559695545812</v>
      </c>
      <c r="AO79" s="59">
        <f t="shared" si="90"/>
        <v>276.26988364830532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27.414471183416925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27.414471183416925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10.4</v>
      </c>
      <c r="BD79" s="12">
        <f>IF('Données projet'!$A$88&gt;35,BD78+BC79-BL78,IF(A79&lt;'Données projet'!$A$88,$BA$205^A79,IF(A79='Données projet'!$A$88,'Données projet'!$B$88,BD78+BC79-BL78)))</f>
        <v>382.4</v>
      </c>
      <c r="BE79" s="13">
        <f>BD79*VLOOKUP('Données projet'!$B$11,Paramètres!$A$1:$I$89,3,0)*VLOOKUP('Données projet'!$B$11,Paramètres!$A$1:$I$89,5,0)</f>
        <v>280.37567999999999</v>
      </c>
      <c r="BF79" s="13">
        <f t="shared" si="91"/>
        <v>67.046394668179971</v>
      </c>
      <c r="BG79" s="20">
        <f t="shared" si="61"/>
        <v>605.09344671374674</v>
      </c>
      <c r="BH79" s="59">
        <f t="shared" si="62"/>
        <v>898.42678004708</v>
      </c>
      <c r="BI79" s="59">
        <f ca="1">AVERAGE(OFFSET($BH$3,0,0,'Données projet'!$E$11+1,1))-AVERAGE(OFFSET($H$3,0,0,'Données projet'!$E$11+1,1))</f>
        <v>464.3681853739115</v>
      </c>
      <c r="BJ79" s="59">
        <f t="shared" si="92"/>
        <v>272.97841038165217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1.195928483401032</v>
      </c>
      <c r="BQ79" s="21">
        <f>EXP(-LN(2)/25)*BQ78+(1-EXP(-LN(2)/25))/(LN(2)/25)*Calculateur!BL79*Calculateur!BN79*VLOOKUP('Données projet'!$B$11,Paramètres!$A$1:$I$89,3,0)*0.475*44/12</f>
        <v>25.778529827035488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26.974458310436521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5.6843418860808015E-14</v>
      </c>
      <c r="BZ79" s="13">
        <f>BY79*VLOOKUP('Données projet'!$B$12,Paramètres!$A$1:$I$89,3,0)*VLOOKUP('Données projet'!$B$12,Paramètres!$A$1:$I$89,5,0)</f>
        <v>4.4337866711430253E-14</v>
      </c>
      <c r="CA79" s="13">
        <f t="shared" si="93"/>
        <v>7.3222115536967035E-13</v>
      </c>
      <c r="CB79" s="20">
        <f t="shared" si="64"/>
        <v>1.3525069634579169E-12</v>
      </c>
      <c r="CC79" s="59">
        <f t="shared" si="65"/>
        <v>293.33333333333468</v>
      </c>
      <c r="CD79" s="59">
        <f ca="1">AVERAGE(OFFSET($CC$3,0,0,'Données projet'!$E$12+1,1))-AVERAGE(OFFSET($H$3,0,0,'Données projet'!$E$12+1,1))</f>
        <v>288.82868507674738</v>
      </c>
      <c r="CE79" s="59">
        <f t="shared" si="94"/>
        <v>283.48738729114024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57.850232563867891</v>
      </c>
      <c r="CL79" s="21">
        <f>EXP(-LN(2)/25)*CL78+(1-EXP(-LN(2)/25))/(LN(2)/25)*Calculateur!CG79*Calculateur!CI79*VLOOKUP('Données projet'!$B$12,Paramètres!$A$1:$I$89,3,0)*0.475*44/12</f>
        <v>7.8347037478787209</v>
      </c>
      <c r="CM79" s="21">
        <f>EXP(-LN(2)/2)*CM78+(1-EXP(-LN(2)/2))/(LN(2)/2)*CG79*CJ79*VLOOKUP('Données projet'!$B$12,Paramètres!$A$1:$I$89,3,0)*0.475*44/12</f>
        <v>6.4441853177175501</v>
      </c>
      <c r="CN79" s="22">
        <f t="shared" si="66"/>
        <v>72.129121629464166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</v>
      </c>
      <c r="CT79" s="12">
        <f>IF('Données projet'!$A$140&gt;35,CT78+CS79-DB78,IF(A79&lt;'Données projet'!$A$140,$CQ$205^A79,IF(A79='Données projet'!$A$140,'Données projet'!$B$140,CT78+CS79-DB78)))</f>
        <v>364.99999999999972</v>
      </c>
      <c r="CU79" s="17">
        <f>CT79*VLOOKUP('Données projet'!$B$13,Paramètres!$A$1:$I$89,3,0)*VLOOKUP('Données projet'!$B$13,Paramètres!$A$1:$I$89,5,0)</f>
        <v>239.1479999999998</v>
      </c>
      <c r="CV79" s="13">
        <f t="shared" si="95"/>
        <v>58.256180607577733</v>
      </c>
      <c r="CW79" s="20">
        <f t="shared" si="67"/>
        <v>517.97894789153088</v>
      </c>
      <c r="CX79" s="59">
        <f t="shared" si="68"/>
        <v>811.31228122486414</v>
      </c>
      <c r="CY79" s="59">
        <f ca="1">AVERAGE(OFFSET($CX$3,0,0,'Données projet'!$E$13+1,1))-AVERAGE(OFFSET($H$3,0,0,'Données projet'!$E$13+1,1))</f>
        <v>340.49092994349405</v>
      </c>
      <c r="CZ79" s="59">
        <f t="shared" si="96"/>
        <v>331.54434271908832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17.870060849422725</v>
      </c>
      <c r="DG79" s="21">
        <f>EXP(-LN(2)/25)*DG78+(1-EXP(-LN(2)/25))/(LN(2)/25)*Calculateur!DB79*Calculateur!DD79*VLOOKUP('Données projet'!$B$13,Paramètres!$A$1:$I$89,3,0)*0.475*44/12</f>
        <v>3.7665617145975316</v>
      </c>
      <c r="DH79" s="21">
        <f>EXP(-LN(2)/2)*DH78+(1-EXP(-LN(2)/2))/(LN(2)/2)*DB79*DE79*VLOOKUP('Données projet'!$B$13,Paramètres!$A$1:$I$89,3,0)*0.475*44/12</f>
        <v>1.5098710932905868</v>
      </c>
      <c r="DI79" s="22">
        <f t="shared" si="69"/>
        <v>23.146493657310845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8.1111111111111107</v>
      </c>
      <c r="DO79" s="12">
        <f>IF('Données projet'!$A$166&gt;35,DO78+DN79-DW78,IF(A79&lt;'Données projet'!$A$166,$DL$205^A79,IF(A79='Données projet'!$A$166,'Données projet'!$B$166,DO78+DN79-DW78)))</f>
        <v>279.77777777777771</v>
      </c>
      <c r="DP79" s="17">
        <f>DO79*VLOOKUP('Données projet'!$B$14,Paramètres!$A$1:$I$89,3,0)*VLOOKUP('Données projet'!$B$14,Paramètres!$A$1:$I$89,5,0)</f>
        <v>283.69466666666665</v>
      </c>
      <c r="DQ79" s="13">
        <f t="shared" si="97"/>
        <v>67.747201463671971</v>
      </c>
      <c r="DR79" s="20">
        <f t="shared" si="70"/>
        <v>612.09458699367303</v>
      </c>
      <c r="DS79" s="59">
        <f t="shared" si="71"/>
        <v>905.4279203270064</v>
      </c>
      <c r="DT79" s="59">
        <f ca="1">AVERAGE(OFFSET($DS$3,0,0,'Données projet'!$E$14+1,1))-AVERAGE(OFFSET($H$3,0,0,'Données projet'!$E$14+1,1))</f>
        <v>586.50020405958992</v>
      </c>
      <c r="DU79" s="59">
        <f t="shared" si="98"/>
        <v>304.44184537595294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30.723114257277594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30.723114257277594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10.4</v>
      </c>
      <c r="N80" s="13">
        <f>IF('Données projet'!$A$36&gt;35,N79+M80-V79,IF(A80&lt;'Données projet'!$A$36,$K$205^A80,IF(A80='Données projet'!$A$36,'Données projet'!$B$36,N79+M80-V79)))</f>
        <v>392.79999999999995</v>
      </c>
      <c r="O80" s="13">
        <f>N80*VLOOKUP('Données projet'!$B$9,Paramètres!$A$1:$I$89,3,0)*VLOOKUP('Données projet'!$B$9,Paramètres!$A$1:$I$89,5,0)</f>
        <v>337.0224</v>
      </c>
      <c r="P80" s="13">
        <f t="shared" si="87"/>
        <v>78.884440823098231</v>
      </c>
      <c r="Q80" s="20">
        <f t="shared" si="54"/>
        <v>724.37108110022939</v>
      </c>
      <c r="R80" s="59">
        <f t="shared" si="55"/>
        <v>1017.7044144335628</v>
      </c>
      <c r="S80" s="59">
        <f ca="1">AVERAGE(OFFSET($R$3,0,0,'Données projet'!$E$9+1,1))-AVERAGE(OFFSET($H$3,0,0,'Données projet'!$E$9+1,1))</f>
        <v>536.21423347711345</v>
      </c>
      <c r="T80" s="59">
        <f t="shared" si="88"/>
        <v>312.14361830038712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1.6911284592569806</v>
      </c>
      <c r="AA80" s="21">
        <f>EXP(-LN(2)/25)*AA79+(1-EXP(-LN(2)/25))/(LN(2)/25)*Calculateur!V80*Calculateur!X80*VLOOKUP('Données projet'!$B$9,Paramètres!$A$1:$I$89,3,0)*0.475*44/12</f>
        <v>36.165060109408621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37.856188568665601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8.1111111111111107</v>
      </c>
      <c r="AI80" s="13">
        <f>IF('Données projet'!$A$62&gt;35,AI79+AH80-AQ79,IF(A80&lt;'Données projet'!$A$62,$AF$205^A80,IF(A80='Données projet'!$A$62,'Données projet'!$B$62,AI79+AH80-AQ79)))</f>
        <v>287.8888888888888</v>
      </c>
      <c r="AJ80" s="13">
        <f>AI80*VLOOKUP('Données projet'!$B$10,Paramètres!$A$1:$I$89,3,0)*VLOOKUP('Données projet'!$B$10,Paramètres!$A$1:$I$89,5,0)</f>
        <v>260.48186666666658</v>
      </c>
      <c r="AK80" s="13">
        <f t="shared" si="89"/>
        <v>62.825081385259836</v>
      </c>
      <c r="AL80" s="20">
        <f t="shared" si="58"/>
        <v>563.09293452377176</v>
      </c>
      <c r="AM80" s="59">
        <f t="shared" si="59"/>
        <v>856.42626785710513</v>
      </c>
      <c r="AN80" s="59">
        <f ca="1">AVERAGE(OFFSET($AM$3,0,0,'Données projet'!$E$10+1,1))-AVERAGE(OFFSET($H$3,0,0,'Données projet'!$E$10+1,1))</f>
        <v>528.15559695545812</v>
      </c>
      <c r="AO80" s="59">
        <f t="shared" si="90"/>
        <v>276.26988364830532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26.664821027242006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26.664821027242006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10.4</v>
      </c>
      <c r="BD80" s="12">
        <f>IF('Données projet'!$A$88&gt;35,BD79+BC80-BL79,IF(A80&lt;'Données projet'!$A$88,$BA$205^A80,IF(A80='Données projet'!$A$88,'Données projet'!$B$88,BD79+BC80-BL79)))</f>
        <v>392.79999999999995</v>
      </c>
      <c r="BE80" s="13">
        <f>BD80*VLOOKUP('Données projet'!$B$11,Paramètres!$A$1:$I$89,3,0)*VLOOKUP('Données projet'!$B$11,Paramètres!$A$1:$I$89,5,0)</f>
        <v>288.00095999999996</v>
      </c>
      <c r="BF80" s="13">
        <f t="shared" si="91"/>
        <v>68.655059235753953</v>
      </c>
      <c r="BG80" s="20">
        <f t="shared" si="61"/>
        <v>621.17590016893803</v>
      </c>
      <c r="BH80" s="59">
        <f t="shared" si="62"/>
        <v>914.5092335022714</v>
      </c>
      <c r="BI80" s="59">
        <f ca="1">AVERAGE(OFFSET($BH$3,0,0,'Données projet'!$E$11+1,1))-AVERAGE(OFFSET($H$3,0,0,'Données projet'!$E$11+1,1))</f>
        <v>464.3681853739115</v>
      </c>
      <c r="BJ80" s="59">
        <f t="shared" si="92"/>
        <v>272.97841038165217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1.1724770552858859</v>
      </c>
      <c r="BQ80" s="21">
        <f>EXP(-LN(2)/25)*BQ79+(1-EXP(-LN(2)/25))/(LN(2)/25)*Calculateur!BL80*Calculateur!BN80*VLOOKUP('Données projet'!$B$11,Paramètres!$A$1:$I$89,3,0)*0.475*44/12</f>
        <v>25.073614573281237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26.246091628567122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5.6843418860808015E-14</v>
      </c>
      <c r="BZ80" s="13">
        <f>BY80*VLOOKUP('Données projet'!$B$12,Paramètres!$A$1:$I$89,3,0)*VLOOKUP('Données projet'!$B$12,Paramètres!$A$1:$I$89,5,0)</f>
        <v>4.4337866711430253E-14</v>
      </c>
      <c r="CA80" s="13">
        <f t="shared" si="93"/>
        <v>7.3222115536967035E-13</v>
      </c>
      <c r="CB80" s="20">
        <f t="shared" si="64"/>
        <v>1.3525069634579169E-12</v>
      </c>
      <c r="CC80" s="59">
        <f t="shared" si="65"/>
        <v>293.33333333333468</v>
      </c>
      <c r="CD80" s="59">
        <f ca="1">AVERAGE(OFFSET($CC$3,0,0,'Données projet'!$E$12+1,1))-AVERAGE(OFFSET($H$3,0,0,'Données projet'!$E$12+1,1))</f>
        <v>288.82868507674738</v>
      </c>
      <c r="CE80" s="59">
        <f t="shared" si="94"/>
        <v>283.48738729114024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56.715824788448188</v>
      </c>
      <c r="CL80" s="21">
        <f>EXP(-LN(2)/25)*CL79+(1-EXP(-LN(2)/25))/(LN(2)/25)*Calculateur!CG80*Calculateur!CI80*VLOOKUP('Données projet'!$B$12,Paramètres!$A$1:$I$89,3,0)*0.475*44/12</f>
        <v>7.6204633618838136</v>
      </c>
      <c r="CM80" s="21">
        <f>EXP(-LN(2)/2)*CM79+(1-EXP(-LN(2)/2))/(LN(2)/2)*CG80*CJ80*VLOOKUP('Données projet'!$B$12,Paramètres!$A$1:$I$89,3,0)*0.475*44/12</f>
        <v>4.5567271373808662</v>
      </c>
      <c r="CN80" s="22">
        <f t="shared" si="66"/>
        <v>68.893015287712856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</v>
      </c>
      <c r="CT80" s="12">
        <f>IF('Données projet'!$A$140&gt;35,CT79+CS80-DB79,IF(A80&lt;'Données projet'!$A$140,$CQ$205^A80,IF(A80='Données projet'!$A$140,'Données projet'!$B$140,CT79+CS80-DB79)))</f>
        <v>368.99999999999972</v>
      </c>
      <c r="CU80" s="17">
        <f>CT80*VLOOKUP('Données projet'!$B$13,Paramètres!$A$1:$I$89,3,0)*VLOOKUP('Données projet'!$B$13,Paramètres!$A$1:$I$89,5,0)</f>
        <v>241.76879999999983</v>
      </c>
      <c r="CV80" s="13">
        <f t="shared" si="95"/>
        <v>58.819933627024824</v>
      </c>
      <c r="CW80" s="20">
        <f t="shared" si="67"/>
        <v>523.52537773373467</v>
      </c>
      <c r="CX80" s="59">
        <f t="shared" si="68"/>
        <v>816.85871106706804</v>
      </c>
      <c r="CY80" s="59">
        <f ca="1">AVERAGE(OFFSET($CX$3,0,0,'Données projet'!$E$13+1,1))-AVERAGE(OFFSET($H$3,0,0,'Données projet'!$E$13+1,1))</f>
        <v>340.49092994349405</v>
      </c>
      <c r="CZ80" s="59">
        <f t="shared" si="96"/>
        <v>331.54434271908832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17.519639855826412</v>
      </c>
      <c r="DG80" s="21">
        <f>EXP(-LN(2)/25)*DG79+(1-EXP(-LN(2)/25))/(LN(2)/25)*Calculateur!DB80*Calculateur!DD80*VLOOKUP('Données projet'!$B$13,Paramètres!$A$1:$I$89,3,0)*0.475*44/12</f>
        <v>3.6635648864369901</v>
      </c>
      <c r="DH80" s="21">
        <f>EXP(-LN(2)/2)*DH79+(1-EXP(-LN(2)/2))/(LN(2)/2)*DB80*DE80*VLOOKUP('Données projet'!$B$13,Paramètres!$A$1:$I$89,3,0)*0.475*44/12</f>
        <v>1.0676400887833204</v>
      </c>
      <c r="DI80" s="22">
        <f t="shared" si="69"/>
        <v>22.250844831046724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8.1111111111111107</v>
      </c>
      <c r="DO80" s="12">
        <f>IF('Données projet'!$A$166&gt;35,DO79+DN80-DW79,IF(A80&lt;'Données projet'!$A$166,$DL$205^A80,IF(A80='Données projet'!$A$166,'Données projet'!$B$166,DO79+DN80-DW79)))</f>
        <v>287.8888888888888</v>
      </c>
      <c r="DP80" s="17">
        <f>DO80*VLOOKUP('Données projet'!$B$14,Paramètres!$A$1:$I$89,3,0)*VLOOKUP('Données projet'!$B$14,Paramètres!$A$1:$I$89,5,0)</f>
        <v>291.91933333333327</v>
      </c>
      <c r="DQ80" s="13">
        <f t="shared" si="97"/>
        <v>69.479762729318765</v>
      </c>
      <c r="DR80" s="20">
        <f t="shared" si="70"/>
        <v>629.43675897578566</v>
      </c>
      <c r="DS80" s="59">
        <f t="shared" si="71"/>
        <v>922.77009230911904</v>
      </c>
      <c r="DT80" s="59">
        <f ca="1">AVERAGE(OFFSET($DS$3,0,0,'Données projet'!$E$14+1,1))-AVERAGE(OFFSET($H$3,0,0,'Données projet'!$E$14+1,1))</f>
        <v>586.50020405958992</v>
      </c>
      <c r="DU80" s="59">
        <f t="shared" si="98"/>
        <v>304.44184537595294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29.882989082253978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29.882989082253978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10.4</v>
      </c>
      <c r="N81" s="13">
        <f>IF('Données projet'!$A$36&gt;35,N80+M81-V80,IF(A81&lt;'Données projet'!$A$36,$K$205^A81,IF(A81='Données projet'!$A$36,'Données projet'!$B$36,N80+M81-V80)))</f>
        <v>403.19999999999993</v>
      </c>
      <c r="O81" s="13">
        <f>N81*VLOOKUP('Données projet'!$B$9,Paramètres!$A$1:$I$89,3,0)*VLOOKUP('Données projet'!$B$9,Paramètres!$A$1:$I$89,5,0)</f>
        <v>345.94560000000001</v>
      </c>
      <c r="P81" s="13">
        <f t="shared" si="87"/>
        <v>80.727102887907222</v>
      </c>
      <c r="Q81" s="20">
        <f t="shared" si="54"/>
        <v>743.12162419643846</v>
      </c>
      <c r="R81" s="59">
        <f t="shared" si="55"/>
        <v>1036.4549575297717</v>
      </c>
      <c r="S81" s="59">
        <f ca="1">AVERAGE(OFFSET($R$3,0,0,'Données projet'!$E$9+1,1))-AVERAGE(OFFSET($H$3,0,0,'Données projet'!$E$9+1,1))</f>
        <v>536.21423347711345</v>
      </c>
      <c r="T81" s="59">
        <f t="shared" si="88"/>
        <v>312.14361830038712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1.6579664616574605</v>
      </c>
      <c r="AA81" s="21">
        <f>EXP(-LN(2)/25)*AA80+(1-EXP(-LN(2)/25))/(LN(2)/25)*Calculateur!V81*Calculateur!X81*VLOOKUP('Données projet'!$B$9,Paramètres!$A$1:$I$89,3,0)*0.475*44/12</f>
        <v>35.176124638878989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36.834091100536448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296</v>
      </c>
      <c r="AG81" s="12">
        <f>VLOOKUP(A81,'Données projet'!$A$61:$I$81,9,0)</f>
        <v>8.1111111111111107</v>
      </c>
      <c r="AH81" s="12">
        <f t="array" ref="AH81">INDEX(AG:AG,MIN(IF(ISNUMBER(AG81:AG277),ROW(AG81:AG277),"")))</f>
        <v>8.1111111111111107</v>
      </c>
      <c r="AI81" s="13">
        <f>IF('Données projet'!$A$62&gt;35,AI80+AH81-AQ80,IF(A81&lt;'Données projet'!$A$62,$AF$205^A81,IF(A81='Données projet'!$A$62,'Données projet'!$B$62,AI80+AH81-AQ80)))</f>
        <v>295.99999999999989</v>
      </c>
      <c r="AJ81" s="13">
        <f>AI81*VLOOKUP('Données projet'!$B$10,Paramètres!$A$1:$I$89,3,0)*VLOOKUP('Données projet'!$B$10,Paramètres!$A$1:$I$89,5,0)</f>
        <v>267.82079999999991</v>
      </c>
      <c r="AK81" s="13">
        <f t="shared" si="89"/>
        <v>64.386570147897302</v>
      </c>
      <c r="AL81" s="20">
        <f t="shared" si="58"/>
        <v>578.5945030075876</v>
      </c>
      <c r="AM81" s="59">
        <f t="shared" si="59"/>
        <v>871.92783634092098</v>
      </c>
      <c r="AN81" s="59">
        <f ca="1">AVERAGE(OFFSET($AM$3,0,0,'Données projet'!$E$10+1,1))-AVERAGE(OFFSET($H$3,0,0,'Données projet'!$E$10+1,1))</f>
        <v>528.15559695545812</v>
      </c>
      <c r="AO81" s="59">
        <f t="shared" si="90"/>
        <v>276.26988364830532</v>
      </c>
      <c r="AP81" s="15">
        <f>IF(ISNA(VLOOKUP(A81,'Données projet'!$A$61:$I$81,3,0)),0,VLOOKUP(A81,'Données projet'!$A$61:$I$81,3,0))</f>
        <v>6</v>
      </c>
      <c r="AQ81" s="15">
        <f>IF(ISNA(VLOOKUP(A81,'Données projet'!$A$61:$I$81,4,0)),0,VLOOKUP(A81,'Données projet'!$A$61:$I$81,4,0))</f>
        <v>49</v>
      </c>
      <c r="AR81" s="16">
        <f>IF(ISNA(VLOOKUP(A81,'Données projet'!$A$61:$I$81,5,0)),0%,VLOOKUP(A81,'Données projet'!$A$61:$I$81,5,0)*VLOOKUP('Données projet'!$B$10,Paramètres!$A$1:$I$89,7,0))</f>
        <v>4.3000000000000003E-2</v>
      </c>
      <c r="AS81" s="16">
        <f>IF(ISNA(VLOOKUP(A81,'Données projet'!$A$61:$I$81,6,0)),0%,VLOOKUP(A81,'Données projet'!$A$61:$I$81,6,0)*VLOOKUP('Données projet'!$B$10,Paramètres!$A$1:$I$89,7,0))</f>
        <v>0.215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2.107483765938778</v>
      </c>
      <c r="AV81" s="21">
        <f>EXP(-LN(2)/25)*AV80+(1-EXP(-LN(2)/25))/(LN(2)/25)*Calculateur!AQ81*Calculateur!AS81*VLOOKUP('Données projet'!$B$10,Paramètres!$A$1:$I$89,3,0)*0.475*44/12</f>
        <v>36.431599090700111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38.539082856638892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10.4</v>
      </c>
      <c r="BD81" s="12">
        <f>IF('Données projet'!$A$88&gt;35,BD80+BC81-BL80,IF(A81&lt;'Données projet'!$A$88,$BA$205^A81,IF(A81='Données projet'!$A$88,'Données projet'!$B$88,BD80+BC81-BL80)))</f>
        <v>403.19999999999993</v>
      </c>
      <c r="BE81" s="13">
        <f>BD81*VLOOKUP('Données projet'!$B$11,Paramètres!$A$1:$I$89,3,0)*VLOOKUP('Données projet'!$B$11,Paramètres!$A$1:$I$89,5,0)</f>
        <v>295.62623999999994</v>
      </c>
      <c r="BF81" s="13">
        <f t="shared" si="91"/>
        <v>70.25877312268689</v>
      </c>
      <c r="BG81" s="20">
        <f t="shared" si="61"/>
        <v>637.24973118867945</v>
      </c>
      <c r="BH81" s="59">
        <f t="shared" si="62"/>
        <v>930.58306452201282</v>
      </c>
      <c r="BI81" s="59">
        <f ca="1">AVERAGE(OFFSET($BH$3,0,0,'Données projet'!$E$11+1,1))-AVERAGE(OFFSET($H$3,0,0,'Données projet'!$E$11+1,1))</f>
        <v>464.3681853739115</v>
      </c>
      <c r="BJ81" s="59">
        <f t="shared" si="92"/>
        <v>272.97841038165217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1.1494854953721192</v>
      </c>
      <c r="BQ81" s="21">
        <f>EXP(-LN(2)/25)*BQ80+(1-EXP(-LN(2)/25))/(LN(2)/25)*Calculateur!BL81*Calculateur!BN81*VLOOKUP('Données projet'!$B$11,Paramètres!$A$1:$I$89,3,0)*0.475*44/12</f>
        <v>24.387975264210777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25.537460759582896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5.6843418860808015E-14</v>
      </c>
      <c r="BZ81" s="13">
        <f>BY81*VLOOKUP('Données projet'!$B$12,Paramètres!$A$1:$I$89,3,0)*VLOOKUP('Données projet'!$B$12,Paramètres!$A$1:$I$89,5,0)</f>
        <v>4.4337866711430253E-14</v>
      </c>
      <c r="CA81" s="13">
        <f t="shared" si="93"/>
        <v>7.3222115536967035E-13</v>
      </c>
      <c r="CB81" s="20">
        <f t="shared" si="64"/>
        <v>1.3525069634579169E-12</v>
      </c>
      <c r="CC81" s="59">
        <f t="shared" si="65"/>
        <v>293.33333333333468</v>
      </c>
      <c r="CD81" s="59">
        <f ca="1">AVERAGE(OFFSET($CC$3,0,0,'Données projet'!$E$12+1,1))-AVERAGE(OFFSET($H$3,0,0,'Données projet'!$E$12+1,1))</f>
        <v>288.82868507674738</v>
      </c>
      <c r="CE81" s="59">
        <f t="shared" si="94"/>
        <v>283.48738729114024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55.603662057584039</v>
      </c>
      <c r="CL81" s="21">
        <f>EXP(-LN(2)/25)*CL80+(1-EXP(-LN(2)/25))/(LN(2)/25)*Calculateur!CG81*Calculateur!CI81*VLOOKUP('Données projet'!$B$12,Paramètres!$A$1:$I$89,3,0)*0.475*44/12</f>
        <v>7.4120813905103491</v>
      </c>
      <c r="CM81" s="21">
        <f>EXP(-LN(2)/2)*CM80+(1-EXP(-LN(2)/2))/(LN(2)/2)*CG81*CJ81*VLOOKUP('Données projet'!$B$12,Paramètres!$A$1:$I$89,3,0)*0.475*44/12</f>
        <v>3.2220926588587755</v>
      </c>
      <c r="CN81" s="22">
        <f t="shared" si="66"/>
        <v>66.237836106953168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</v>
      </c>
      <c r="CT81" s="12">
        <f>IF('Données projet'!$A$140&gt;35,CT80+CS81-DB80,IF(A81&lt;'Données projet'!$A$140,$CQ$205^A81,IF(A81='Données projet'!$A$140,'Données projet'!$B$140,CT80+CS81-DB80)))</f>
        <v>372.99999999999972</v>
      </c>
      <c r="CU81" s="17">
        <f>CT81*VLOOKUP('Données projet'!$B$13,Paramètres!$A$1:$I$89,3,0)*VLOOKUP('Données projet'!$B$13,Paramètres!$A$1:$I$89,5,0)</f>
        <v>244.38959999999983</v>
      </c>
      <c r="CV81" s="13">
        <f t="shared" si="95"/>
        <v>59.382975743194187</v>
      </c>
      <c r="CW81" s="20">
        <f t="shared" si="67"/>
        <v>529.07056941939629</v>
      </c>
      <c r="CX81" s="59">
        <f t="shared" si="68"/>
        <v>822.40390275272966</v>
      </c>
      <c r="CY81" s="59">
        <f ca="1">AVERAGE(OFFSET($CX$3,0,0,'Données projet'!$E$13+1,1))-AVERAGE(OFFSET($H$3,0,0,'Données projet'!$E$13+1,1))</f>
        <v>340.49092994349405</v>
      </c>
      <c r="CZ81" s="59">
        <f t="shared" si="96"/>
        <v>331.54434271908832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17.176090404178822</v>
      </c>
      <c r="DG81" s="21">
        <f>EXP(-LN(2)/25)*DG80+(1-EXP(-LN(2)/25))/(LN(2)/25)*Calculateur!DB81*Calculateur!DD81*VLOOKUP('Données projet'!$B$13,Paramètres!$A$1:$I$89,3,0)*0.475*44/12</f>
        <v>3.5633845119588665</v>
      </c>
      <c r="DH81" s="21">
        <f>EXP(-LN(2)/2)*DH80+(1-EXP(-LN(2)/2))/(LN(2)/2)*DB81*DE81*VLOOKUP('Données projet'!$B$13,Paramètres!$A$1:$I$89,3,0)*0.475*44/12</f>
        <v>0.75493554664529361</v>
      </c>
      <c r="DI81" s="22">
        <f t="shared" si="69"/>
        <v>21.49441046278298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>
        <f>VLOOKUP(A81,'Données projet'!$A$165:$I$185,2,0)</f>
        <v>296</v>
      </c>
      <c r="DM81" s="12">
        <f>VLOOKUP(A81,'Données projet'!$A$165:$I$185,9,0)</f>
        <v>8.1111111111111107</v>
      </c>
      <c r="DN81" s="12">
        <f t="array" ref="DN81">INDEX(DM:DM,MIN(IF(ISNUMBER(DM81:DM277),ROW(DM81:DM277),"")))</f>
        <v>8.1111111111111107</v>
      </c>
      <c r="DO81" s="12">
        <f>IF('Données projet'!$A$166&gt;35,DO80+DN81-DW80,IF(A81&lt;'Données projet'!$A$166,$DL$205^A81,IF(A81='Données projet'!$A$166,'Données projet'!$B$166,DO80+DN81-DW80)))</f>
        <v>295.99999999999989</v>
      </c>
      <c r="DP81" s="17">
        <f>DO81*VLOOKUP('Données projet'!$B$14,Paramètres!$A$1:$I$89,3,0)*VLOOKUP('Données projet'!$B$14,Paramètres!$A$1:$I$89,5,0)</f>
        <v>300.14399999999989</v>
      </c>
      <c r="DQ81" s="13">
        <f t="shared" si="97"/>
        <v>71.206650563609855</v>
      </c>
      <c r="DR81" s="20">
        <f t="shared" si="70"/>
        <v>646.76904973162027</v>
      </c>
      <c r="DS81" s="59">
        <f t="shared" si="71"/>
        <v>940.10238306495353</v>
      </c>
      <c r="DT81" s="59">
        <f ca="1">AVERAGE(OFFSET($DS$3,0,0,'Données projet'!$E$14+1,1))-AVERAGE(OFFSET($H$3,0,0,'Données projet'!$E$14+1,1))</f>
        <v>586.50020405958992</v>
      </c>
      <c r="DU81" s="59">
        <f t="shared" si="98"/>
        <v>304.44184537595294</v>
      </c>
      <c r="DV81" s="15">
        <f>IF(ISNA(VLOOKUP(A81,'Données projet'!$A$165:$I$185,3,0)),0,VLOOKUP(A81,'Données projet'!$A$165:$I$185,3,0))</f>
        <v>6</v>
      </c>
      <c r="DW81" s="15">
        <f>IF(ISNA(VLOOKUP(A81,'Données projet'!$A$165:$I$185,4,0)),0,VLOOKUP(A81,'Données projet'!$A$165:$I$185,4,0))</f>
        <v>49</v>
      </c>
      <c r="DX81" s="16">
        <f>IF(ISNA(VLOOKUP(A81,'Données projet'!$A$165:$I$185,5,0)),0%,VLOOKUP(A81,'Données projet'!$A$165:$I$185,5,0)*VLOOKUP('Données projet'!$B$14,Paramètres!$A$1:$I$89,7,0))</f>
        <v>4.3000000000000003E-2</v>
      </c>
      <c r="DY81" s="16">
        <f>IF(ISNA(VLOOKUP(A81,'Données projet'!$A$165:$I$185,6,0)),0%,VLOOKUP(A81,'Données projet'!$A$165:$I$185,6,0)*VLOOKUP('Données projet'!$B$14,Paramètres!$A$1:$I$89,7,0))</f>
        <v>0.215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2.3618352549313895</v>
      </c>
      <c r="EB81" s="21">
        <f>EXP(-LN(2)/25)*EB80+(1-EXP(-LN(2)/25))/(LN(2)/25)*Calculateur!DW81*Calculateur!DY81*VLOOKUP('Données projet'!$B$14,Paramètres!$A$1:$I$89,3,0)*0.475*44/12</f>
        <v>40.82851622233634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43.190351477267733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10.4</v>
      </c>
      <c r="N82" s="13">
        <f>IF('Données projet'!$A$36&gt;35,N81+M82-V81,IF(A82&lt;'Données projet'!$A$36,$K$205^A82,IF(A82='Données projet'!$A$36,'Données projet'!$B$36,N81+M82-V81)))</f>
        <v>413.59999999999991</v>
      </c>
      <c r="O82" s="13">
        <f>N82*VLOOKUP('Données projet'!$B$9,Paramètres!$A$1:$I$89,3,0)*VLOOKUP('Données projet'!$B$9,Paramètres!$A$1:$I$89,5,0)</f>
        <v>354.86879999999996</v>
      </c>
      <c r="P82" s="13">
        <f t="shared" si="87"/>
        <v>82.564240228675203</v>
      </c>
      <c r="Q82" s="20">
        <f t="shared" si="54"/>
        <v>761.86254506494254</v>
      </c>
      <c r="R82" s="59">
        <f t="shared" si="55"/>
        <v>1055.1958783982759</v>
      </c>
      <c r="S82" s="59">
        <f ca="1">AVERAGE(OFFSET($R$3,0,0,'Données projet'!$E$9+1,1))-AVERAGE(OFFSET($H$3,0,0,'Données projet'!$E$9+1,1))</f>
        <v>536.21423347711345</v>
      </c>
      <c r="T82" s="59">
        <f t="shared" si="88"/>
        <v>312.14361830038712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1.6254547506040458</v>
      </c>
      <c r="AA82" s="21">
        <f>EXP(-LN(2)/25)*AA81+(1-EXP(-LN(2)/25))/(LN(2)/25)*Calculateur!V82*Calculateur!X82*VLOOKUP('Données projet'!$B$9,Paramètres!$A$1:$I$89,3,0)*0.475*44/12</f>
        <v>34.214231660796841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35.839686411400884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7.7777777777777777</v>
      </c>
      <c r="AI82" s="13">
        <f>IF('Données projet'!$A$62&gt;35,AI81+AH82-AQ81,IF(A82&lt;'Données projet'!$A$62,$AF$205^A82,IF(A82='Données projet'!$A$62,'Données projet'!$B$62,AI81+AH82-AQ81)))</f>
        <v>254.77777777777766</v>
      </c>
      <c r="AJ82" s="13">
        <f>AI82*VLOOKUP('Données projet'!$B$10,Paramètres!$A$1:$I$89,3,0)*VLOOKUP('Données projet'!$B$10,Paramètres!$A$1:$I$89,5,0)</f>
        <v>230.52293333333321</v>
      </c>
      <c r="AK82" s="13">
        <f t="shared" si="89"/>
        <v>56.395736994607496</v>
      </c>
      <c r="AL82" s="20">
        <f t="shared" si="58"/>
        <v>499.71668415449676</v>
      </c>
      <c r="AM82" s="59">
        <f t="shared" si="59"/>
        <v>793.05001748783002</v>
      </c>
      <c r="AN82" s="59">
        <f ca="1">AVERAGE(OFFSET($AM$3,0,0,'Données projet'!$E$10+1,1))-AVERAGE(OFFSET($H$3,0,0,'Données projet'!$E$10+1,1))</f>
        <v>528.15559695545812</v>
      </c>
      <c r="AO82" s="59">
        <f t="shared" si="90"/>
        <v>276.26988364830532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2.0661572947268891</v>
      </c>
      <c r="AV82" s="21">
        <f>EXP(-LN(2)/25)*AV81+(1-EXP(-LN(2)/25))/(LN(2)/25)*Calculateur!AQ82*Calculateur!AS82*VLOOKUP('Données projet'!$B$10,Paramètres!$A$1:$I$89,3,0)*0.475*44/12</f>
        <v>35.435375097710384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37.501532392437277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10.4</v>
      </c>
      <c r="BD82" s="12">
        <f>IF('Données projet'!$A$88&gt;35,BD81+BC82-BL81,IF(A82&lt;'Données projet'!$A$88,$BA$205^A82,IF(A82='Données projet'!$A$88,'Données projet'!$B$88,BD81+BC82-BL81)))</f>
        <v>413.59999999999991</v>
      </c>
      <c r="BE82" s="13">
        <f>BD82*VLOOKUP('Données projet'!$B$11,Paramètres!$A$1:$I$89,3,0)*VLOOKUP('Données projet'!$B$11,Paramètres!$A$1:$I$89,5,0)</f>
        <v>303.25151999999991</v>
      </c>
      <c r="BF82" s="13">
        <f t="shared" si="91"/>
        <v>71.857678707090869</v>
      </c>
      <c r="BG82" s="20">
        <f t="shared" si="61"/>
        <v>653.31518774818312</v>
      </c>
      <c r="BH82" s="59">
        <f t="shared" si="62"/>
        <v>946.64852108151649</v>
      </c>
      <c r="BI82" s="59">
        <f ca="1">AVERAGE(OFFSET($BH$3,0,0,'Données projet'!$E$11+1,1))-AVERAGE(OFFSET($H$3,0,0,'Données projet'!$E$11+1,1))</f>
        <v>464.3681853739115</v>
      </c>
      <c r="BJ82" s="59">
        <f t="shared" si="92"/>
        <v>272.97841038165217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1.1269447859247945</v>
      </c>
      <c r="BQ82" s="21">
        <f>EXP(-LN(2)/25)*BQ81+(1-EXP(-LN(2)/25))/(LN(2)/25)*Calculateur!BL82*Calculateur!BN82*VLOOKUP('Données projet'!$B$11,Paramètres!$A$1:$I$89,3,0)*0.475*44/12</f>
        <v>23.721084798103053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24.848029584027849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5.6843418860808015E-14</v>
      </c>
      <c r="BZ82" s="13">
        <f>BY82*VLOOKUP('Données projet'!$B$12,Paramètres!$A$1:$I$89,3,0)*VLOOKUP('Données projet'!$B$12,Paramètres!$A$1:$I$89,5,0)</f>
        <v>4.4337866711430253E-14</v>
      </c>
      <c r="CA82" s="13">
        <f t="shared" si="93"/>
        <v>7.3222115536967035E-13</v>
      </c>
      <c r="CB82" s="20">
        <f t="shared" si="64"/>
        <v>1.3525069634579169E-12</v>
      </c>
      <c r="CC82" s="59">
        <f t="shared" si="65"/>
        <v>293.33333333333468</v>
      </c>
      <c r="CD82" s="59">
        <f ca="1">AVERAGE(OFFSET($CC$3,0,0,'Données projet'!$E$12+1,1))-AVERAGE(OFFSET($H$3,0,0,'Données projet'!$E$12+1,1))</f>
        <v>288.82868507674738</v>
      </c>
      <c r="CE82" s="59">
        <f t="shared" si="94"/>
        <v>283.48738729114024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54.513308159519852</v>
      </c>
      <c r="CL82" s="21">
        <f>EXP(-LN(2)/25)*CL81+(1-EXP(-LN(2)/25))/(LN(2)/25)*Calculateur!CG82*Calculateur!CI82*VLOOKUP('Données projet'!$B$12,Paramètres!$A$1:$I$89,3,0)*0.475*44/12</f>
        <v>7.209397635102424</v>
      </c>
      <c r="CM82" s="21">
        <f>EXP(-LN(2)/2)*CM81+(1-EXP(-LN(2)/2))/(LN(2)/2)*CG82*CJ82*VLOOKUP('Données projet'!$B$12,Paramètres!$A$1:$I$89,3,0)*0.475*44/12</f>
        <v>2.2783635686904335</v>
      </c>
      <c r="CN82" s="22">
        <f t="shared" si="66"/>
        <v>64.001069363312709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</v>
      </c>
      <c r="CT82" s="12">
        <f>IF('Données projet'!$A$140&gt;35,CT81+CS82-DB81,IF(A82&lt;'Données projet'!$A$140,$CQ$205^A82,IF(A82='Données projet'!$A$140,'Données projet'!$B$140,CT81+CS82-DB81)))</f>
        <v>376.99999999999972</v>
      </c>
      <c r="CU82" s="17">
        <f>CT82*VLOOKUP('Données projet'!$B$13,Paramètres!$A$1:$I$89,3,0)*VLOOKUP('Données projet'!$B$13,Paramètres!$A$1:$I$89,5,0)</f>
        <v>247.01039999999981</v>
      </c>
      <c r="CV82" s="13">
        <f t="shared" si="95"/>
        <v>59.945315462121762</v>
      </c>
      <c r="CW82" s="20">
        <f t="shared" si="67"/>
        <v>534.61453776319513</v>
      </c>
      <c r="CX82" s="59">
        <f t="shared" si="68"/>
        <v>827.94787109652839</v>
      </c>
      <c r="CY82" s="59">
        <f ca="1">AVERAGE(OFFSET($CX$3,0,0,'Données projet'!$E$13+1,1))-AVERAGE(OFFSET($H$3,0,0,'Données projet'!$E$13+1,1))</f>
        <v>340.49092994349405</v>
      </c>
      <c r="CZ82" s="59">
        <f t="shared" si="96"/>
        <v>331.54434271908832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16.839277747733565</v>
      </c>
      <c r="DG82" s="21">
        <f>EXP(-LN(2)/25)*DG81+(1-EXP(-LN(2)/25))/(LN(2)/25)*Calculateur!DB82*Calculateur!DD82*VLOOKUP('Données projet'!$B$13,Paramètres!$A$1:$I$89,3,0)*0.475*44/12</f>
        <v>3.4659435750891041</v>
      </c>
      <c r="DH82" s="21">
        <f>EXP(-LN(2)/2)*DH81+(1-EXP(-LN(2)/2))/(LN(2)/2)*DB82*DE82*VLOOKUP('Données projet'!$B$13,Paramètres!$A$1:$I$89,3,0)*0.475*44/12</f>
        <v>0.53382004439166031</v>
      </c>
      <c r="DI82" s="22">
        <f t="shared" si="69"/>
        <v>20.839041367214328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7.7777777777777777</v>
      </c>
      <c r="DO82" s="12">
        <f>IF('Données projet'!$A$166&gt;35,DO81+DN82-DW81,IF(A82&lt;'Données projet'!$A$166,$DL$205^A82,IF(A82='Données projet'!$A$166,'Données projet'!$B$166,DO81+DN82-DW81)))</f>
        <v>254.77777777777766</v>
      </c>
      <c r="DP82" s="17">
        <f>DO82*VLOOKUP('Données projet'!$B$14,Paramètres!$A$1:$I$89,3,0)*VLOOKUP('Données projet'!$B$14,Paramètres!$A$1:$I$89,5,0)</f>
        <v>258.34466666666651</v>
      </c>
      <c r="DQ82" s="13">
        <f t="shared" si="97"/>
        <v>62.369396727112374</v>
      </c>
      <c r="DR82" s="20">
        <f t="shared" si="70"/>
        <v>558.57699374416472</v>
      </c>
      <c r="DS82" s="59">
        <f t="shared" si="71"/>
        <v>851.9103270774981</v>
      </c>
      <c r="DT82" s="59">
        <f ca="1">AVERAGE(OFFSET($DS$3,0,0,'Données projet'!$E$14+1,1))-AVERAGE(OFFSET($H$3,0,0,'Données projet'!$E$14+1,1))</f>
        <v>586.50020405958992</v>
      </c>
      <c r="DU82" s="59">
        <f t="shared" si="98"/>
        <v>304.44184537595294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2.3155211061594452</v>
      </c>
      <c r="EB82" s="21">
        <f>EXP(-LN(2)/25)*EB81+(1-EXP(-LN(2)/25))/(LN(2)/25)*Calculateur!DW82*Calculateur!DY82*VLOOKUP('Données projet'!$B$14,Paramètres!$A$1:$I$89,3,0)*0.475*44/12</f>
        <v>39.712058299158201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42.027579405317645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424</v>
      </c>
      <c r="L83" s="12">
        <f>VLOOKUP(A83,'Données projet'!$A$35:$I$55,9,0)</f>
        <v>10.4</v>
      </c>
      <c r="M83" s="12">
        <f t="array" ref="M83">INDEX(L:L,MIN(IF(ISNUMBER(L83:L279),ROW(L83:L279),"")))</f>
        <v>10.4</v>
      </c>
      <c r="N83" s="13">
        <f>IF('Données projet'!$A$36&gt;35,N82+M83-V82,IF(A83&lt;'Données projet'!$A$36,$K$205^A83,IF(A83='Données projet'!$A$36,'Données projet'!$B$36,N82+M83-V82)))</f>
        <v>423.99999999999989</v>
      </c>
      <c r="O83" s="13">
        <f>N83*VLOOKUP('Données projet'!$B$9,Paramètres!$A$1:$I$89,3,0)*VLOOKUP('Données projet'!$B$9,Paramètres!$A$1:$I$89,5,0)</f>
        <v>363.79199999999997</v>
      </c>
      <c r="P83" s="13">
        <f t="shared" si="87"/>
        <v>84.396007741478684</v>
      </c>
      <c r="Q83" s="20">
        <f t="shared" si="54"/>
        <v>780.59411348307538</v>
      </c>
      <c r="R83" s="59">
        <f t="shared" si="55"/>
        <v>1073.9274468164087</v>
      </c>
      <c r="S83" s="59">
        <f ca="1">AVERAGE(OFFSET($R$3,0,0,'Données projet'!$E$9+1,1))-AVERAGE(OFFSET($H$3,0,0,'Données projet'!$E$9+1,1))</f>
        <v>536.21423347711345</v>
      </c>
      <c r="T83" s="59">
        <f t="shared" si="88"/>
        <v>312.14361830038712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34</v>
      </c>
      <c r="W83" s="16">
        <f>IF(ISNA(VLOOKUP(A83,'Données projet'!$A$35:$I$55,5,0)),0%,VLOOKUP(A83,'Données projet'!$A$35:$I$55,5,0)*VLOOKUP('Données projet'!$B$9,Paramètres!$A$1:$I$89,7,0))</f>
        <v>5.3000000000000005E-2</v>
      </c>
      <c r="X83" s="16">
        <f>IF(ISNA(VLOOKUP(A83,'Données projet'!$A$35:$I$55,6,0)),0%,VLOOKUP(A83,'Données projet'!$A$35:$I$55,6,0)*VLOOKUP('Données projet'!$B$9,Paramètres!$A$1:$I$89,7,0))</f>
        <v>0.26500000000000001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3.3027660156961698</v>
      </c>
      <c r="AA83" s="21">
        <f>EXP(-LN(2)/25)*AA82+(1-EXP(-LN(2)/25))/(LN(2)/25)*Calculateur!V83*Calculateur!X83*VLOOKUP('Données projet'!$B$9,Paramètres!$A$1:$I$89,3,0)*0.475*44/12</f>
        <v>41.790920331727968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45.093686347424139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7.7777777777777777</v>
      </c>
      <c r="AI83" s="13">
        <f>IF('Données projet'!$A$62&gt;35,AI82+AH83-AQ82,IF(A83&lt;'Données projet'!$A$62,$AF$205^A83,IF(A83='Données projet'!$A$62,'Données projet'!$B$62,AI82+AH83-AQ82)))</f>
        <v>262.55555555555543</v>
      </c>
      <c r="AJ83" s="13">
        <f>AI83*VLOOKUP('Données projet'!$B$10,Paramètres!$A$1:$I$89,3,0)*VLOOKUP('Données projet'!$B$10,Paramètres!$A$1:$I$89,5,0)</f>
        <v>237.56026666666656</v>
      </c>
      <c r="AK83" s="13">
        <f t="shared" si="89"/>
        <v>57.914298227932981</v>
      </c>
      <c r="AL83" s="20">
        <f t="shared" si="58"/>
        <v>514.61820052476094</v>
      </c>
      <c r="AM83" s="59">
        <f t="shared" si="59"/>
        <v>807.95153385809431</v>
      </c>
      <c r="AN83" s="59">
        <f ca="1">AVERAGE(OFFSET($AM$3,0,0,'Données projet'!$E$10+1,1))-AVERAGE(OFFSET($H$3,0,0,'Données projet'!$E$10+1,1))</f>
        <v>528.15559695545812</v>
      </c>
      <c r="AO83" s="59">
        <f t="shared" si="90"/>
        <v>276.26988364830532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2.0256412104088071</v>
      </c>
      <c r="AV83" s="21">
        <f>EXP(-LN(2)/25)*AV82+(1-EXP(-LN(2)/25))/(LN(2)/25)*Calculateur!AQ83*Calculateur!AS83*VLOOKUP('Données projet'!$B$10,Paramètres!$A$1:$I$89,3,0)*0.475*44/12</f>
        <v>34.466392902198109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36.492034112606916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424</v>
      </c>
      <c r="BB83" s="12">
        <f>VLOOKUP(A83,'Données projet'!$A$87:$I$107,9,0)</f>
        <v>10.4</v>
      </c>
      <c r="BC83" s="12">
        <f t="array" ref="BC83">INDEX(BB:BB,MIN(IF(ISNUMBER(BB83:BB279),ROW(BB83:BB279),"")))</f>
        <v>10.4</v>
      </c>
      <c r="BD83" s="12">
        <f>IF('Données projet'!$A$88&gt;35,BD82+BC83-BL82,IF(A83&lt;'Données projet'!$A$88,$BA$205^A83,IF(A83='Données projet'!$A$88,'Données projet'!$B$88,BD82+BC83-BL82)))</f>
        <v>423.99999999999989</v>
      </c>
      <c r="BE83" s="13">
        <f>BD83*VLOOKUP('Données projet'!$B$11,Paramètres!$A$1:$I$89,3,0)*VLOOKUP('Données projet'!$B$11,Paramètres!$A$1:$I$89,5,0)</f>
        <v>310.87679999999995</v>
      </c>
      <c r="BF83" s="13">
        <f t="shared" si="91"/>
        <v>73.451910798811909</v>
      </c>
      <c r="BG83" s="20">
        <f t="shared" si="61"/>
        <v>669.37250464126396</v>
      </c>
      <c r="BH83" s="59">
        <f t="shared" si="62"/>
        <v>962.70583797459722</v>
      </c>
      <c r="BI83" s="59">
        <f ca="1">AVERAGE(OFFSET($BH$3,0,0,'Données projet'!$E$11+1,1))-AVERAGE(OFFSET($H$3,0,0,'Données projet'!$E$11+1,1))</f>
        <v>464.3681853739115</v>
      </c>
      <c r="BJ83" s="59">
        <f t="shared" si="92"/>
        <v>272.97841038165217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34</v>
      </c>
      <c r="BM83" s="16">
        <f>IF(ISNA(VLOOKUP(A83,'Données projet'!$A$87:$I$107,5,0)),0%,VLOOKUP(A83,'Données projet'!$A$87:$I$107,5,0)*VLOOKUP('Données projet'!$B$11,Paramètres!$A$1:$I$89,7,0))</f>
        <v>4.3000000000000003E-2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2.2898422359252004</v>
      </c>
      <c r="BQ83" s="21">
        <f>EXP(-LN(2)/25)*BQ82+(1-EXP(-LN(2)/25))/(LN(2)/25)*Calculateur!BL83*Calculateur!BN83*VLOOKUP('Données projet'!$B$11,Paramètres!$A$1:$I$89,3,0)*0.475*44/12</f>
        <v>28.97408232947588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31.26392456540108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5.6843418860808015E-14</v>
      </c>
      <c r="BZ83" s="13">
        <f>BY83*VLOOKUP('Données projet'!$B$12,Paramètres!$A$1:$I$89,3,0)*VLOOKUP('Données projet'!$B$12,Paramètres!$A$1:$I$89,5,0)</f>
        <v>4.4337866711430253E-14</v>
      </c>
      <c r="CA83" s="13">
        <f t="shared" si="93"/>
        <v>7.3222115536967035E-13</v>
      </c>
      <c r="CB83" s="20">
        <f t="shared" si="64"/>
        <v>1.3525069634579169E-12</v>
      </c>
      <c r="CC83" s="59">
        <f t="shared" si="65"/>
        <v>293.33333333333468</v>
      </c>
      <c r="CD83" s="59">
        <f ca="1">AVERAGE(OFFSET($CC$3,0,0,'Données projet'!$E$12+1,1))-AVERAGE(OFFSET($H$3,0,0,'Données projet'!$E$12+1,1))</f>
        <v>288.82868507674738</v>
      </c>
      <c r="CE83" s="59">
        <f t="shared" si="94"/>
        <v>283.48738729114024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53.444335436346499</v>
      </c>
      <c r="CL83" s="21">
        <f>EXP(-LN(2)/25)*CL82+(1-EXP(-LN(2)/25))/(LN(2)/25)*Calculateur!CG83*Calculateur!CI83*VLOOKUP('Données projet'!$B$12,Paramètres!$A$1:$I$89,3,0)*0.475*44/12</f>
        <v>7.0122562776448039</v>
      </c>
      <c r="CM83" s="21">
        <f>EXP(-LN(2)/2)*CM82+(1-EXP(-LN(2)/2))/(LN(2)/2)*CG83*CJ83*VLOOKUP('Données projet'!$B$12,Paramètres!$A$1:$I$89,3,0)*0.475*44/12</f>
        <v>1.611046329429388</v>
      </c>
      <c r="CN83" s="22">
        <f t="shared" si="66"/>
        <v>62.067638043420686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381</v>
      </c>
      <c r="CR83" s="12">
        <f>VLOOKUP(A83,'Données projet'!$A$139:$I$159,9,0)</f>
        <v>4</v>
      </c>
      <c r="CS83" s="12">
        <f t="array" ref="CS83">INDEX(CR:CR,MIN(IF(ISNUMBER(CR83:CR279),ROW(CR83:CR279),"")))</f>
        <v>4</v>
      </c>
      <c r="CT83" s="12">
        <f>IF('Données projet'!$A$140&gt;35,CT82+CS83-DB82,IF(A83&lt;'Données projet'!$A$140,$CQ$205^A83,IF(A83='Données projet'!$A$140,'Données projet'!$B$140,CT82+CS83-DB82)))</f>
        <v>380.99999999999972</v>
      </c>
      <c r="CU83" s="17">
        <f>CT83*VLOOKUP('Données projet'!$B$13,Paramètres!$A$1:$I$89,3,0)*VLOOKUP('Données projet'!$B$13,Paramètres!$A$1:$I$89,5,0)</f>
        <v>249.63119999999981</v>
      </c>
      <c r="CV83" s="13">
        <f t="shared" si="95"/>
        <v>60.50696109894605</v>
      </c>
      <c r="CW83" s="20">
        <f t="shared" si="67"/>
        <v>540.15729724733058</v>
      </c>
      <c r="CX83" s="59">
        <f t="shared" si="68"/>
        <v>833.49063058066395</v>
      </c>
      <c r="CY83" s="59">
        <f ca="1">AVERAGE(OFFSET($CX$3,0,0,'Données projet'!$E$13+1,1))-AVERAGE(OFFSET($H$3,0,0,'Données projet'!$E$13+1,1))</f>
        <v>340.49092994349405</v>
      </c>
      <c r="CZ83" s="59">
        <f t="shared" si="96"/>
        <v>331.54434271908832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381</v>
      </c>
      <c r="DC83" s="16">
        <f>IF(ISNA(VLOOKUP(A83,'Données projet'!$A$139:$I$159,5,0)),0%,VLOOKUP(A83,'Données projet'!$A$139:$I$159,5,0)*VLOOKUP('Données projet'!$B$13,Paramètres!$A$1:$I$89,7,0))</f>
        <v>0.30099999999999999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0.2</v>
      </c>
      <c r="DF83" s="21">
        <f>EXP(-LN(2)/35)*DF82+(1-EXP(-LN(2)/35))/(LN(2)/35)*DB83*DC83*VLOOKUP('Données projet'!$B$13,Paramètres!$A$1:$I$89,3,0)*0.475*44/12</f>
        <v>99.572998901632758</v>
      </c>
      <c r="DG83" s="21">
        <f>EXP(-LN(2)/25)*DG82+(1-EXP(-LN(2)/25))/(LN(2)/25)*Calculateur!DB83*Calculateur!DD83*VLOOKUP('Données projet'!$B$13,Paramètres!$A$1:$I$89,3,0)*0.475*44/12</f>
        <v>3.3711671657622415</v>
      </c>
      <c r="DH83" s="21">
        <f>EXP(-LN(2)/2)*DH82+(1-EXP(-LN(2)/2))/(LN(2)/2)*DB83*DE83*VLOOKUP('Données projet'!$B$13,Paramètres!$A$1:$I$89,3,0)*0.475*44/12</f>
        <v>47.484218958370768</v>
      </c>
      <c r="DI83" s="22">
        <f t="shared" si="69"/>
        <v>150.42838502576578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7.7777777777777777</v>
      </c>
      <c r="DO83" s="12">
        <f>IF('Données projet'!$A$166&gt;35,DO82+DN83-DW82,IF(A83&lt;'Données projet'!$A$166,$DL$205^A83,IF(A83='Données projet'!$A$166,'Données projet'!$B$166,DO82+DN83-DW82)))</f>
        <v>262.55555555555543</v>
      </c>
      <c r="DP83" s="17">
        <f>DO83*VLOOKUP('Données projet'!$B$14,Paramètres!$A$1:$I$89,3,0)*VLOOKUP('Données projet'!$B$14,Paramètres!$A$1:$I$89,5,0)</f>
        <v>266.23133333333323</v>
      </c>
      <c r="DQ83" s="13">
        <f t="shared" si="97"/>
        <v>64.048809978237188</v>
      </c>
      <c r="DR83" s="20">
        <f t="shared" si="70"/>
        <v>575.23791626765171</v>
      </c>
      <c r="DS83" s="59">
        <f t="shared" si="71"/>
        <v>868.57124960098508</v>
      </c>
      <c r="DT83" s="59">
        <f ca="1">AVERAGE(OFFSET($DS$3,0,0,'Données projet'!$E$14+1,1))-AVERAGE(OFFSET($H$3,0,0,'Données projet'!$E$14+1,1))</f>
        <v>586.50020405958992</v>
      </c>
      <c r="DU83" s="59">
        <f t="shared" si="98"/>
        <v>304.44184537595294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2.2701151495960774</v>
      </c>
      <c r="EB83" s="21">
        <f>EXP(-LN(2)/25)*EB82+(1-EXP(-LN(2)/25))/(LN(2)/25)*Calculateur!DW83*Calculateur!DY83*VLOOKUP('Données projet'!$B$14,Paramètres!$A$1:$I$89,3,0)*0.475*44/12</f>
        <v>38.626129976601341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40.896245126197421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9.6</v>
      </c>
      <c r="N84" s="13">
        <f>IF('Données projet'!$A$36&gt;35,N83+M84-V83,IF(A84&lt;'Données projet'!$A$36,$K$205^A84,IF(A84='Données projet'!$A$36,'Données projet'!$B$36,N83+M84-V83)))</f>
        <v>399.59999999999991</v>
      </c>
      <c r="O84" s="13">
        <f>N84*VLOOKUP('Données projet'!$B$9,Paramètres!$A$1:$I$89,3,0)*VLOOKUP('Données projet'!$B$9,Paramètres!$A$1:$I$89,5,0)</f>
        <v>342.85679999999996</v>
      </c>
      <c r="P84" s="13">
        <f t="shared" si="87"/>
        <v>80.089891653777826</v>
      </c>
      <c r="Q84" s="20">
        <f t="shared" si="54"/>
        <v>736.63215463032964</v>
      </c>
      <c r="R84" s="59">
        <f t="shared" si="55"/>
        <v>1029.965487963663</v>
      </c>
      <c r="S84" s="59">
        <f ca="1">AVERAGE(OFFSET($R$3,0,0,'Données projet'!$E$9+1,1))-AVERAGE(OFFSET($H$3,0,0,'Données projet'!$E$9+1,1))</f>
        <v>536.21423347711345</v>
      </c>
      <c r="T84" s="59">
        <f t="shared" si="88"/>
        <v>312.14361830038712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3.2380007886167235</v>
      </c>
      <c r="AA84" s="21">
        <f>EXP(-LN(2)/25)*AA83+(1-EXP(-LN(2)/25))/(LN(2)/25)*Calculateur!V84*Calculateur!X84*VLOOKUP('Données projet'!$B$9,Paramètres!$A$1:$I$89,3,0)*0.475*44/12</f>
        <v>40.648145417567882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43.886146206184605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7.7777777777777777</v>
      </c>
      <c r="AI84" s="13">
        <f>IF('Données projet'!$A$62&gt;35,AI83+AH84-AQ83,IF(A84&lt;'Données projet'!$A$62,$AF$205^A84,IF(A84='Données projet'!$A$62,'Données projet'!$B$62,AI83+AH84-AQ83)))</f>
        <v>270.3333333333332</v>
      </c>
      <c r="AJ84" s="13">
        <f>AI84*VLOOKUP('Données projet'!$B$10,Paramètres!$A$1:$I$89,3,0)*VLOOKUP('Données projet'!$B$10,Paramètres!$A$1:$I$89,5,0)</f>
        <v>244.59759999999986</v>
      </c>
      <c r="AK84" s="13">
        <f t="shared" si="89"/>
        <v>59.427631429904153</v>
      </c>
      <c r="AL84" s="20">
        <f t="shared" si="58"/>
        <v>529.51061140708282</v>
      </c>
      <c r="AM84" s="59">
        <f t="shared" si="59"/>
        <v>822.84394474041619</v>
      </c>
      <c r="AN84" s="59">
        <f ca="1">AVERAGE(OFFSET($AM$3,0,0,'Données projet'!$E$10+1,1))-AVERAGE(OFFSET($H$3,0,0,'Données projet'!$E$10+1,1))</f>
        <v>528.15559695545812</v>
      </c>
      <c r="AO84" s="59">
        <f t="shared" si="90"/>
        <v>276.26988364830532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1.9859196217918313</v>
      </c>
      <c r="AV84" s="21">
        <f>EXP(-LN(2)/25)*AV83+(1-EXP(-LN(2)/25))/(LN(2)/25)*Calculateur!AQ84*Calculateur!AS84*VLOOKUP('Données projet'!$B$10,Paramètres!$A$1:$I$89,3,0)*0.475*44/12</f>
        <v>33.523907575778672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35.509827197570502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9.6</v>
      </c>
      <c r="BD84" s="12">
        <f>IF('Données projet'!$A$88&gt;35,BD83+BC84-BL83,IF(A84&lt;'Données projet'!$A$88,$BA$205^A84,IF(A84='Données projet'!$A$88,'Données projet'!$B$88,BD83+BC84-BL83)))</f>
        <v>399.59999999999991</v>
      </c>
      <c r="BE84" s="13">
        <f>BD84*VLOOKUP('Données projet'!$B$11,Paramètres!$A$1:$I$89,3,0)*VLOOKUP('Données projet'!$B$11,Paramètres!$A$1:$I$89,5,0)</f>
        <v>292.98671999999993</v>
      </c>
      <c r="BF84" s="13">
        <f t="shared" si="91"/>
        <v>69.704192592377339</v>
      </c>
      <c r="BG84" s="20">
        <f t="shared" si="61"/>
        <v>631.6866727650571</v>
      </c>
      <c r="BH84" s="59">
        <f t="shared" si="62"/>
        <v>925.02000609839047</v>
      </c>
      <c r="BI84" s="59">
        <f ca="1">AVERAGE(OFFSET($BH$3,0,0,'Données projet'!$E$11+1,1))-AVERAGE(OFFSET($H$3,0,0,'Données projet'!$E$11+1,1))</f>
        <v>464.3681853739115</v>
      </c>
      <c r="BJ84" s="59">
        <f t="shared" si="92"/>
        <v>272.97841038165217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2.2449398263445617</v>
      </c>
      <c r="BQ84" s="21">
        <f>EXP(-LN(2)/25)*BQ83+(1-EXP(-LN(2)/25))/(LN(2)/25)*Calculateur!BL84*Calculateur!BN84*VLOOKUP('Données projet'!$B$11,Paramètres!$A$1:$I$89,3,0)*0.475*44/12</f>
        <v>28.181784524495594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30.426724350840157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4.4337866711430253E-14</v>
      </c>
      <c r="CA84" s="13">
        <f t="shared" si="93"/>
        <v>7.3222115536967035E-13</v>
      </c>
      <c r="CB84" s="20">
        <f t="shared" si="64"/>
        <v>1.3525069634579169E-12</v>
      </c>
      <c r="CC84" s="59">
        <f t="shared" si="65"/>
        <v>293.33333333333468</v>
      </c>
      <c r="CD84" s="59">
        <f ca="1">AVERAGE(OFFSET($CC$3,0,0,'Données projet'!$E$12+1,1))-AVERAGE(OFFSET($H$3,0,0,'Données projet'!$E$12+1,1))</f>
        <v>288.82868507674738</v>
      </c>
      <c r="CE84" s="59">
        <f t="shared" si="94"/>
        <v>283.48738729114024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52.396324616265595</v>
      </c>
      <c r="CL84" s="21">
        <f>EXP(-LN(2)/25)*CL83+(1-EXP(-LN(2)/25))/(LN(2)/25)*Calculateur!CG84*Calculateur!CI84*VLOOKUP('Données projet'!$B$12,Paramètres!$A$1:$I$89,3,0)*0.475*44/12</f>
        <v>6.8205057609740756</v>
      </c>
      <c r="CM84" s="21">
        <f>EXP(-LN(2)/2)*CM83+(1-EXP(-LN(2)/2))/(LN(2)/2)*CG84*CJ84*VLOOKUP('Données projet'!$B$12,Paramètres!$A$1:$I$89,3,0)*0.475*44/12</f>
        <v>1.1391817843452168</v>
      </c>
      <c r="CN84" s="22">
        <f t="shared" si="66"/>
        <v>60.356012161584893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-2.8421709430404007E-13</v>
      </c>
      <c r="CU84" s="17">
        <f>CT84*VLOOKUP('Données projet'!$B$13,Paramètres!$A$1:$I$89,3,0)*VLOOKUP('Données projet'!$B$13,Paramètres!$A$1:$I$89,5,0)</f>
        <v>-1.8621904018800707E-13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340.49092994349405</v>
      </c>
      <c r="CZ84" s="59">
        <f t="shared" si="96"/>
        <v>331.54434271908832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97.620433126704128</v>
      </c>
      <c r="DG84" s="21">
        <f>EXP(-LN(2)/25)*DG83+(1-EXP(-LN(2)/25))/(LN(2)/25)*Calculateur!DB84*Calculateur!DD84*VLOOKUP('Données projet'!$B$13,Paramètres!$A$1:$I$89,3,0)*0.475*44/12</f>
        <v>3.2789824223324966</v>
      </c>
      <c r="DH84" s="21">
        <f>EXP(-LN(2)/2)*DH83+(1-EXP(-LN(2)/2))/(LN(2)/2)*DB84*DE84*VLOOKUP('Données projet'!$B$13,Paramètres!$A$1:$I$89,3,0)*0.475*44/12</f>
        <v>33.576413224810793</v>
      </c>
      <c r="DI84" s="22">
        <f t="shared" si="69"/>
        <v>134.47582877384741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7.7777777777777777</v>
      </c>
      <c r="DO84" s="12">
        <f>IF('Données projet'!$A$166&gt;35,DO83+DN84-DW83,IF(A84&lt;'Données projet'!$A$166,$DL$205^A84,IF(A84='Données projet'!$A$166,'Données projet'!$B$166,DO83+DN84-DW83)))</f>
        <v>270.3333333333332</v>
      </c>
      <c r="DP84" s="17">
        <f>DO84*VLOOKUP('Données projet'!$B$14,Paramètres!$A$1:$I$89,3,0)*VLOOKUP('Données projet'!$B$14,Paramètres!$A$1:$I$89,5,0)</f>
        <v>274.11799999999988</v>
      </c>
      <c r="DQ84" s="13">
        <f t="shared" si="97"/>
        <v>65.722441424228805</v>
      </c>
      <c r="DR84" s="20">
        <f t="shared" si="70"/>
        <v>591.88876881386489</v>
      </c>
      <c r="DS84" s="59">
        <f t="shared" si="71"/>
        <v>885.22210214719826</v>
      </c>
      <c r="DT84" s="59">
        <f ca="1">AVERAGE(OFFSET($DS$3,0,0,'Données projet'!$E$14+1,1))-AVERAGE(OFFSET($H$3,0,0,'Données projet'!$E$14+1,1))</f>
        <v>586.50020405958992</v>
      </c>
      <c r="DU84" s="59">
        <f t="shared" si="98"/>
        <v>304.44184537595294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2.2255995761460183</v>
      </c>
      <c r="EB84" s="21">
        <f>EXP(-LN(2)/25)*EB83+(1-EXP(-LN(2)/25))/(LN(2)/25)*Calculateur!DW84*Calculateur!DY84*VLOOKUP('Données projet'!$B$14,Paramètres!$A$1:$I$89,3,0)*0.475*44/12</f>
        <v>37.569896421131283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39.7954959972773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9.6</v>
      </c>
      <c r="N85" s="13">
        <f>IF('Données projet'!$A$36&gt;35,N84+M85-V84,IF(A85&lt;'Données projet'!$A$36,$K$205^A85,IF(A85='Données projet'!$A$36,'Données projet'!$B$36,N84+M85-V84)))</f>
        <v>409.19999999999993</v>
      </c>
      <c r="O85" s="13">
        <f>N85*VLOOKUP('Données projet'!$B$9,Paramètres!$A$1:$I$89,3,0)*VLOOKUP('Données projet'!$B$9,Paramètres!$A$1:$I$89,5,0)</f>
        <v>351.09359999999998</v>
      </c>
      <c r="P85" s="13">
        <f t="shared" si="87"/>
        <v>81.787653933539033</v>
      </c>
      <c r="Q85" s="20">
        <f t="shared" si="54"/>
        <v>753.93485060091371</v>
      </c>
      <c r="R85" s="59">
        <f t="shared" si="55"/>
        <v>1047.268183934247</v>
      </c>
      <c r="S85" s="59">
        <f ca="1">AVERAGE(OFFSET($R$3,0,0,'Données projet'!$E$9+1,1))-AVERAGE(OFFSET($H$3,0,0,'Données projet'!$E$9+1,1))</f>
        <v>536.21423347711345</v>
      </c>
      <c r="T85" s="59">
        <f t="shared" si="88"/>
        <v>312.14361830038712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3.174505568137417</v>
      </c>
      <c r="AA85" s="21">
        <f>EXP(-LN(2)/25)*AA84+(1-EXP(-LN(2)/25))/(LN(2)/25)*Calculateur!V85*Calculateur!X85*VLOOKUP('Données projet'!$B$9,Paramètres!$A$1:$I$89,3,0)*0.475*44/12</f>
        <v>39.536619743531425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42.711125311668845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7.7777777777777777</v>
      </c>
      <c r="AI85" s="13">
        <f>IF('Données projet'!$A$62&gt;35,AI84+AH85-AQ84,IF(A85&lt;'Données projet'!$A$62,$AF$205^A85,IF(A85='Données projet'!$A$62,'Données projet'!$B$62,AI84+AH85-AQ84)))</f>
        <v>278.11111111111097</v>
      </c>
      <c r="AJ85" s="13">
        <f>AI85*VLOOKUP('Données projet'!$B$10,Paramètres!$A$1:$I$89,3,0)*VLOOKUP('Données projet'!$B$10,Paramètres!$A$1:$I$89,5,0)</f>
        <v>251.63493333333321</v>
      </c>
      <c r="AK85" s="13">
        <f t="shared" si="89"/>
        <v>60.935904290989214</v>
      </c>
      <c r="AL85" s="20">
        <f t="shared" si="58"/>
        <v>544.39420886236155</v>
      </c>
      <c r="AM85" s="59">
        <f t="shared" si="59"/>
        <v>837.72754219569492</v>
      </c>
      <c r="AN85" s="59">
        <f ca="1">AVERAGE(OFFSET($AM$3,0,0,'Données projet'!$E$10+1,1))-AVERAGE(OFFSET($H$3,0,0,'Données projet'!$E$10+1,1))</f>
        <v>528.15559695545812</v>
      </c>
      <c r="AO85" s="59">
        <f t="shared" si="90"/>
        <v>276.26988364830532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1.9469769492998577</v>
      </c>
      <c r="AV85" s="21">
        <f>EXP(-LN(2)/25)*AV84+(1-EXP(-LN(2)/25))/(LN(2)/25)*Calculateur!AQ85*Calculateur!AS85*VLOOKUP('Données projet'!$B$10,Paramètres!$A$1:$I$89,3,0)*0.475*44/12</f>
        <v>32.607194560173326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34.554171509473186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9.6</v>
      </c>
      <c r="BD85" s="12">
        <f>IF('Données projet'!$A$88&gt;35,BD84+BC85-BL84,IF(A85&lt;'Données projet'!$A$88,$BA$205^A85,IF(A85='Données projet'!$A$88,'Données projet'!$B$88,BD84+BC85-BL84)))</f>
        <v>409.19999999999993</v>
      </c>
      <c r="BE85" s="13">
        <f>BD85*VLOOKUP('Données projet'!$B$11,Paramètres!$A$1:$I$89,3,0)*VLOOKUP('Données projet'!$B$11,Paramètres!$A$1:$I$89,5,0)</f>
        <v>300.02543999999995</v>
      </c>
      <c r="BF85" s="13">
        <f t="shared" si="91"/>
        <v>71.181796650529009</v>
      </c>
      <c r="BG85" s="20">
        <f t="shared" si="61"/>
        <v>646.51927049967128</v>
      </c>
      <c r="BH85" s="59">
        <f t="shared" si="62"/>
        <v>939.85260383300465</v>
      </c>
      <c r="BI85" s="59">
        <f ca="1">AVERAGE(OFFSET($BH$3,0,0,'Données projet'!$E$11+1,1))-AVERAGE(OFFSET($H$3,0,0,'Données projet'!$E$11+1,1))</f>
        <v>464.3681853739115</v>
      </c>
      <c r="BJ85" s="59">
        <f t="shared" si="92"/>
        <v>272.97841038165217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2.2009179256280338</v>
      </c>
      <c r="BQ85" s="21">
        <f>EXP(-LN(2)/25)*BQ84+(1-EXP(-LN(2)/25))/(LN(2)/25)*Calculateur!BL85*Calculateur!BN85*VLOOKUP('Données projet'!$B$11,Paramètres!$A$1:$I$89,3,0)*0.475*44/12</f>
        <v>27.411152144657624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29.612070070285657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4.4337866711430253E-14</v>
      </c>
      <c r="CA85" s="13">
        <f t="shared" si="93"/>
        <v>7.3222115536967035E-13</v>
      </c>
      <c r="CB85" s="20">
        <f t="shared" si="64"/>
        <v>1.3525069634579169E-12</v>
      </c>
      <c r="CC85" s="59">
        <f t="shared" si="65"/>
        <v>293.33333333333468</v>
      </c>
      <c r="CD85" s="59">
        <f ca="1">AVERAGE(OFFSET($CC$3,0,0,'Données projet'!$E$12+1,1))-AVERAGE(OFFSET($H$3,0,0,'Données projet'!$E$12+1,1))</f>
        <v>288.82868507674738</v>
      </c>
      <c r="CE85" s="59">
        <f t="shared" si="94"/>
        <v>283.48738729114024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51.368864649142992</v>
      </c>
      <c r="CL85" s="21">
        <f>EXP(-LN(2)/25)*CL84+(1-EXP(-LN(2)/25))/(LN(2)/25)*Calculateur!CG85*Calculateur!CI85*VLOOKUP('Données projet'!$B$12,Paramètres!$A$1:$I$89,3,0)*0.475*44/12</f>
        <v>6.6339986722654301</v>
      </c>
      <c r="CM85" s="21">
        <f>EXP(-LN(2)/2)*CM84+(1-EXP(-LN(2)/2))/(LN(2)/2)*CG85*CJ85*VLOOKUP('Données projet'!$B$12,Paramètres!$A$1:$I$89,3,0)*0.475*44/12</f>
        <v>0.80552316471469398</v>
      </c>
      <c r="CN85" s="22">
        <f t="shared" si="66"/>
        <v>58.808386486123112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-2.8421709430404007E-13</v>
      </c>
      <c r="CU85" s="17">
        <f>CT85*VLOOKUP('Données projet'!$B$13,Paramètres!$A$1:$I$89,3,0)*VLOOKUP('Données projet'!$B$13,Paramètres!$A$1:$I$89,5,0)</f>
        <v>-1.8621904018800707E-13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340.49092994349405</v>
      </c>
      <c r="CZ85" s="59">
        <f t="shared" si="96"/>
        <v>331.54434271908832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95.706155975674321</v>
      </c>
      <c r="DG85" s="21">
        <f>EXP(-LN(2)/25)*DG84+(1-EXP(-LN(2)/25))/(LN(2)/25)*Calculateur!DB85*Calculateur!DD85*VLOOKUP('Données projet'!$B$13,Paramètres!$A$1:$I$89,3,0)*0.475*44/12</f>
        <v>3.1893184755596229</v>
      </c>
      <c r="DH85" s="21">
        <f>EXP(-LN(2)/2)*DH84+(1-EXP(-LN(2)/2))/(LN(2)/2)*DB85*DE85*VLOOKUP('Données projet'!$B$13,Paramètres!$A$1:$I$89,3,0)*0.475*44/12</f>
        <v>23.742109479185387</v>
      </c>
      <c r="DI85" s="22">
        <f t="shared" si="69"/>
        <v>122.63758393041932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7.7777777777777777</v>
      </c>
      <c r="DO85" s="12">
        <f>IF('Données projet'!$A$166&gt;35,DO84+DN85-DW84,IF(A85&lt;'Données projet'!$A$166,$DL$205^A85,IF(A85='Données projet'!$A$166,'Données projet'!$B$166,DO84+DN85-DW84)))</f>
        <v>278.11111111111097</v>
      </c>
      <c r="DP85" s="17">
        <f>DO85*VLOOKUP('Données projet'!$B$14,Paramètres!$A$1:$I$89,3,0)*VLOOKUP('Données projet'!$B$14,Paramètres!$A$1:$I$89,5,0)</f>
        <v>282.00466666666654</v>
      </c>
      <c r="DQ85" s="13">
        <f t="shared" si="97"/>
        <v>67.390476517993889</v>
      </c>
      <c r="DR85" s="20">
        <f t="shared" si="70"/>
        <v>608.52987437995023</v>
      </c>
      <c r="DS85" s="59">
        <f t="shared" si="71"/>
        <v>901.8632077132836</v>
      </c>
      <c r="DT85" s="59">
        <f ca="1">AVERAGE(OFFSET($DS$3,0,0,'Données projet'!$E$14+1,1))-AVERAGE(OFFSET($H$3,0,0,'Données projet'!$E$14+1,1))</f>
        <v>586.50020405958992</v>
      </c>
      <c r="DU85" s="59">
        <f t="shared" si="98"/>
        <v>304.44184537595294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2.1819569259394962</v>
      </c>
      <c r="EB85" s="21">
        <f>EXP(-LN(2)/25)*EB84+(1-EXP(-LN(2)/25))/(LN(2)/25)*Calculateur!DW85*Calculateur!DY85*VLOOKUP('Données projet'!$B$14,Paramètres!$A$1:$I$89,3,0)*0.475*44/12</f>
        <v>36.542545627780463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38.724502553719958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9.6</v>
      </c>
      <c r="N86" s="13">
        <f>IF('Données projet'!$A$36&gt;35,N85+M86-V85,IF(A86&lt;'Données projet'!$A$36,$K$205^A86,IF(A86='Données projet'!$A$36,'Données projet'!$B$36,N85+M86-V85)))</f>
        <v>418.79999999999995</v>
      </c>
      <c r="O86" s="13">
        <f>N86*VLOOKUP('Données projet'!$B$9,Paramètres!$A$1:$I$89,3,0)*VLOOKUP('Données projet'!$B$9,Paramètres!$A$1:$I$89,5,0)</f>
        <v>359.3304</v>
      </c>
      <c r="P86" s="13">
        <f t="shared" si="87"/>
        <v>83.48078585362731</v>
      </c>
      <c r="Q86" s="20">
        <f t="shared" si="54"/>
        <v>771.22948202840087</v>
      </c>
      <c r="R86" s="59">
        <f t="shared" si="55"/>
        <v>1064.5628153617342</v>
      </c>
      <c r="S86" s="59">
        <f ca="1">AVERAGE(OFFSET($R$3,0,0,'Données projet'!$E$9+1,1))-AVERAGE(OFFSET($H$3,0,0,'Données projet'!$E$9+1,1))</f>
        <v>536.21423347711345</v>
      </c>
      <c r="T86" s="59">
        <f t="shared" si="88"/>
        <v>312.14361830038712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3.1122554502034494</v>
      </c>
      <c r="AA86" s="21">
        <f>EXP(-LN(2)/25)*AA85+(1-EXP(-LN(2)/25))/(LN(2)/25)*Calculateur!V86*Calculateur!X86*VLOOKUP('Données projet'!$B$9,Paramètres!$A$1:$I$89,3,0)*0.475*44/12</f>
        <v>38.455488797504088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41.567744247707537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7.7777777777777777</v>
      </c>
      <c r="AI86" s="13">
        <f>IF('Données projet'!$A$62&gt;35,AI85+AH86-AQ85,IF(A86&lt;'Données projet'!$A$62,$AF$205^A86,IF(A86='Données projet'!$A$62,'Données projet'!$B$62,AI85+AH86-AQ85)))</f>
        <v>285.88888888888874</v>
      </c>
      <c r="AJ86" s="13">
        <f>AI86*VLOOKUP('Données projet'!$B$10,Paramètres!$A$1:$I$89,3,0)*VLOOKUP('Données projet'!$B$10,Paramètres!$A$1:$I$89,5,0)</f>
        <v>258.67226666666653</v>
      </c>
      <c r="AK86" s="13">
        <f t="shared" si="89"/>
        <v>62.439274588593669</v>
      </c>
      <c r="AL86" s="20">
        <f t="shared" si="58"/>
        <v>559.2692676862448</v>
      </c>
      <c r="AM86" s="59">
        <f t="shared" si="59"/>
        <v>852.60260101957806</v>
      </c>
      <c r="AN86" s="59">
        <f ca="1">AVERAGE(OFFSET($AM$3,0,0,'Données projet'!$E$10+1,1))-AVERAGE(OFFSET($H$3,0,0,'Données projet'!$E$10+1,1))</f>
        <v>528.15559695545812</v>
      </c>
      <c r="AO86" s="59">
        <f t="shared" si="90"/>
        <v>276.26988364830532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1.9087979188627668</v>
      </c>
      <c r="AV86" s="21">
        <f>EXP(-LN(2)/25)*AV85+(1-EXP(-LN(2)/25))/(LN(2)/25)*Calculateur!AQ86*Calculateur!AS86*VLOOKUP('Données projet'!$B$10,Paramètres!$A$1:$I$89,3,0)*0.475*44/12</f>
        <v>31.715549110187549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33.624347029050313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9.6</v>
      </c>
      <c r="BD86" s="12">
        <f>IF('Données projet'!$A$88&gt;35,BD85+BC86-BL85,IF(A86&lt;'Données projet'!$A$88,$BA$205^A86,IF(A86='Données projet'!$A$88,'Données projet'!$B$88,BD85+BC86-BL85)))</f>
        <v>418.79999999999995</v>
      </c>
      <c r="BE86" s="13">
        <f>BD86*VLOOKUP('Données projet'!$B$11,Paramètres!$A$1:$I$89,3,0)*VLOOKUP('Données projet'!$B$11,Paramètres!$A$1:$I$89,5,0)</f>
        <v>307.06415999999996</v>
      </c>
      <c r="BF86" s="13">
        <f t="shared" si="91"/>
        <v>72.655370793347416</v>
      </c>
      <c r="BG86" s="20">
        <f t="shared" si="61"/>
        <v>661.34484946507996</v>
      </c>
      <c r="BH86" s="59">
        <f t="shared" si="62"/>
        <v>954.67818279841322</v>
      </c>
      <c r="BI86" s="59">
        <f ca="1">AVERAGE(OFFSET($BH$3,0,0,'Données projet'!$E$11+1,1))-AVERAGE(OFFSET($H$3,0,0,'Données projet'!$E$11+1,1))</f>
        <v>464.3681853739115</v>
      </c>
      <c r="BJ86" s="59">
        <f t="shared" si="92"/>
        <v>272.97841038165217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2.1577592675338488</v>
      </c>
      <c r="BQ86" s="21">
        <f>EXP(-LN(2)/25)*BQ85+(1-EXP(-LN(2)/25))/(LN(2)/25)*Calculateur!BL86*Calculateur!BN86*VLOOKUP('Données projet'!$B$11,Paramètres!$A$1:$I$89,3,0)*0.475*44/12</f>
        <v>26.661592747772119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28.819352015305967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4.4337866711430253E-14</v>
      </c>
      <c r="CA86" s="13">
        <f t="shared" si="93"/>
        <v>7.3222115536967035E-13</v>
      </c>
      <c r="CB86" s="20">
        <f t="shared" si="64"/>
        <v>1.3525069634579169E-12</v>
      </c>
      <c r="CC86" s="59">
        <f t="shared" si="65"/>
        <v>293.33333333333468</v>
      </c>
      <c r="CD86" s="59">
        <f ca="1">AVERAGE(OFFSET($CC$3,0,0,'Données projet'!$E$12+1,1))-AVERAGE(OFFSET($H$3,0,0,'Données projet'!$E$12+1,1))</f>
        <v>288.82868507674738</v>
      </c>
      <c r="CE86" s="59">
        <f t="shared" si="94"/>
        <v>283.48738729114024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50.361552545286962</v>
      </c>
      <c r="CL86" s="21">
        <f>EXP(-LN(2)/25)*CL85+(1-EXP(-LN(2)/25))/(LN(2)/25)*Calculateur!CG86*Calculateur!CI86*VLOOKUP('Données projet'!$B$12,Paramètres!$A$1:$I$89,3,0)*0.475*44/12</f>
        <v>6.4525916297055037</v>
      </c>
      <c r="CM86" s="21">
        <f>EXP(-LN(2)/2)*CM85+(1-EXP(-LN(2)/2))/(LN(2)/2)*CG86*CJ86*VLOOKUP('Données projet'!$B$12,Paramètres!$A$1:$I$89,3,0)*0.475*44/12</f>
        <v>0.56959089217260839</v>
      </c>
      <c r="CN86" s="22">
        <f t="shared" si="66"/>
        <v>57.38373506716507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-2.8421709430404007E-13</v>
      </c>
      <c r="CU86" s="17">
        <f>CT86*VLOOKUP('Données projet'!$B$13,Paramètres!$A$1:$I$89,3,0)*VLOOKUP('Données projet'!$B$13,Paramètres!$A$1:$I$89,5,0)</f>
        <v>-1.8621904018800707E-13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340.49092994349405</v>
      </c>
      <c r="CZ86" s="59">
        <f t="shared" si="96"/>
        <v>331.54434271908832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93.82941663198244</v>
      </c>
      <c r="DG86" s="21">
        <f>EXP(-LN(2)/25)*DG85+(1-EXP(-LN(2)/25))/(LN(2)/25)*Calculateur!DB86*Calculateur!DD86*VLOOKUP('Données projet'!$B$13,Paramètres!$A$1:$I$89,3,0)*0.475*44/12</f>
        <v>3.1021063941264755</v>
      </c>
      <c r="DH86" s="21">
        <f>EXP(-LN(2)/2)*DH85+(1-EXP(-LN(2)/2))/(LN(2)/2)*DB86*DE86*VLOOKUP('Données projet'!$B$13,Paramètres!$A$1:$I$89,3,0)*0.475*44/12</f>
        <v>16.7882066124054</v>
      </c>
      <c r="DI86" s="22">
        <f t="shared" si="69"/>
        <v>113.71972963851432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7.7777777777777777</v>
      </c>
      <c r="DO86" s="12">
        <f>IF('Données projet'!$A$166&gt;35,DO85+DN86-DW85,IF(A86&lt;'Données projet'!$A$166,$DL$205^A86,IF(A86='Données projet'!$A$166,'Données projet'!$B$166,DO85+DN86-DW85)))</f>
        <v>285.88888888888874</v>
      </c>
      <c r="DP86" s="17">
        <f>DO86*VLOOKUP('Données projet'!$B$14,Paramètres!$A$1:$I$89,3,0)*VLOOKUP('Données projet'!$B$14,Paramètres!$A$1:$I$89,5,0)</f>
        <v>289.89133333333319</v>
      </c>
      <c r="DQ86" s="13">
        <f t="shared" si="97"/>
        <v>69.053089749345304</v>
      </c>
      <c r="DR86" s="20">
        <f t="shared" si="70"/>
        <v>625.16153686899827</v>
      </c>
      <c r="DS86" s="59">
        <f t="shared" si="71"/>
        <v>918.49487020233164</v>
      </c>
      <c r="DT86" s="59">
        <f ca="1">AVERAGE(OFFSET($DS$3,0,0,'Données projet'!$E$14+1,1))-AVERAGE(OFFSET($H$3,0,0,'Données projet'!$E$14+1,1))</f>
        <v>586.50020405958992</v>
      </c>
      <c r="DU86" s="59">
        <f t="shared" si="98"/>
        <v>304.44184537595294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2.1391700814841359</v>
      </c>
      <c r="EB86" s="21">
        <f>EXP(-LN(2)/25)*EB85+(1-EXP(-LN(2)/25))/(LN(2)/25)*Calculateur!DW86*Calculateur!DY86*VLOOKUP('Données projet'!$B$14,Paramètres!$A$1:$I$89,3,0)*0.475*44/12</f>
        <v>35.54328779589985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37.682457877383989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9.6</v>
      </c>
      <c r="N87" s="13">
        <f>IF('Données projet'!$A$36&gt;35,N86+M87-V86,IF(A87&lt;'Données projet'!$A$36,$K$205^A87,IF(A87='Données projet'!$A$36,'Données projet'!$B$36,N86+M87-V86)))</f>
        <v>428.4</v>
      </c>
      <c r="O87" s="13">
        <f>N87*VLOOKUP('Données projet'!$B$9,Paramètres!$A$1:$I$89,3,0)*VLOOKUP('Données projet'!$B$9,Paramètres!$A$1:$I$89,5,0)</f>
        <v>367.56720000000001</v>
      </c>
      <c r="P87" s="13">
        <f t="shared" si="87"/>
        <v>85.169405771799362</v>
      </c>
      <c r="Q87" s="20">
        <f t="shared" si="54"/>
        <v>788.5162550525506</v>
      </c>
      <c r="R87" s="59">
        <f t="shared" si="55"/>
        <v>1081.8495883858839</v>
      </c>
      <c r="S87" s="59">
        <f ca="1">AVERAGE(OFFSET($R$3,0,0,'Données projet'!$E$9+1,1))-AVERAGE(OFFSET($H$3,0,0,'Données projet'!$E$9+1,1))</f>
        <v>536.21423347711345</v>
      </c>
      <c r="T87" s="59">
        <f t="shared" si="88"/>
        <v>312.14361830038712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3.051226019113344</v>
      </c>
      <c r="AA87" s="21">
        <f>EXP(-LN(2)/25)*AA86+(1-EXP(-LN(2)/25))/(LN(2)/25)*Calculateur!V87*Calculateur!X87*VLOOKUP('Données projet'!$B$9,Paramètres!$A$1:$I$89,3,0)*0.475*44/12</f>
        <v>37.403921434050076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40.45514745316342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7.7777777777777777</v>
      </c>
      <c r="AI87" s="13">
        <f>IF('Données projet'!$A$62&gt;35,AI86+AH87-AQ86,IF(A87&lt;'Données projet'!$A$62,$AF$205^A87,IF(A87='Données projet'!$A$62,'Données projet'!$B$62,AI86+AH87-AQ86)))</f>
        <v>293.66666666666652</v>
      </c>
      <c r="AJ87" s="13">
        <f>AI87*VLOOKUP('Données projet'!$B$10,Paramètres!$A$1:$I$89,3,0)*VLOOKUP('Données projet'!$B$10,Paramètres!$A$1:$I$89,5,0)</f>
        <v>265.70959999999985</v>
      </c>
      <c r="AK87" s="13">
        <f t="shared" si="89"/>
        <v>63.937891026614295</v>
      </c>
      <c r="AL87" s="20">
        <f t="shared" si="58"/>
        <v>574.13604687135296</v>
      </c>
      <c r="AM87" s="59">
        <f t="shared" si="59"/>
        <v>867.46938020468633</v>
      </c>
      <c r="AN87" s="59">
        <f ca="1">AVERAGE(OFFSET($AM$3,0,0,'Données projet'!$E$10+1,1))-AVERAGE(OFFSET($H$3,0,0,'Données projet'!$E$10+1,1))</f>
        <v>528.15559695545812</v>
      </c>
      <c r="AO87" s="59">
        <f t="shared" si="90"/>
        <v>276.26988364830532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1.8713675559256382</v>
      </c>
      <c r="AV87" s="21">
        <f>EXP(-LN(2)/25)*AV86+(1-EXP(-LN(2)/25))/(LN(2)/25)*Calculateur!AQ87*Calculateur!AS87*VLOOKUP('Données projet'!$B$10,Paramètres!$A$1:$I$89,3,0)*0.475*44/12</f>
        <v>30.848285751921228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32.719653307846869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9.6</v>
      </c>
      <c r="BD87" s="12">
        <f>IF('Données projet'!$A$88&gt;35,BD86+BC87-BL86,IF(A87&lt;'Données projet'!$A$88,$BA$205^A87,IF(A87='Données projet'!$A$88,'Données projet'!$B$88,BD86+BC87-BL86)))</f>
        <v>428.4</v>
      </c>
      <c r="BE87" s="13">
        <f>BD87*VLOOKUP('Données projet'!$B$11,Paramètres!$A$1:$I$89,3,0)*VLOOKUP('Données projet'!$B$11,Paramètres!$A$1:$I$89,5,0)</f>
        <v>314.10287999999997</v>
      </c>
      <c r="BF87" s="13">
        <f t="shared" si="91"/>
        <v>74.125018030484568</v>
      </c>
      <c r="BG87" s="20">
        <f t="shared" si="61"/>
        <v>676.16358906976052</v>
      </c>
      <c r="BH87" s="59">
        <f t="shared" si="62"/>
        <v>969.49692240309378</v>
      </c>
      <c r="BI87" s="59">
        <f ca="1">AVERAGE(OFFSET($BH$3,0,0,'Données projet'!$E$11+1,1))-AVERAGE(OFFSET($H$3,0,0,'Données projet'!$E$11+1,1))</f>
        <v>464.3681853739115</v>
      </c>
      <c r="BJ87" s="59">
        <f t="shared" si="92"/>
        <v>272.97841038165217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2.1154469244007088</v>
      </c>
      <c r="BQ87" s="21">
        <f>EXP(-LN(2)/25)*BQ86+(1-EXP(-LN(2)/25))/(LN(2)/25)*Calculateur!BL87*Calculateur!BN87*VLOOKUP('Données projet'!$B$11,Paramètres!$A$1:$I$89,3,0)*0.475*44/12</f>
        <v>25.932530092012062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28.047977016412769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4.4337866711430253E-14</v>
      </c>
      <c r="CA87" s="13">
        <f t="shared" si="93"/>
        <v>7.3222115536967035E-13</v>
      </c>
      <c r="CB87" s="20">
        <f t="shared" si="64"/>
        <v>1.3525069634579169E-12</v>
      </c>
      <c r="CC87" s="59">
        <f t="shared" si="65"/>
        <v>293.33333333333468</v>
      </c>
      <c r="CD87" s="59">
        <f ca="1">AVERAGE(OFFSET($CC$3,0,0,'Données projet'!$E$12+1,1))-AVERAGE(OFFSET($H$3,0,0,'Données projet'!$E$12+1,1))</f>
        <v>288.82868507674738</v>
      </c>
      <c r="CE87" s="59">
        <f t="shared" si="94"/>
        <v>283.48738729114024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49.373993217387834</v>
      </c>
      <c r="CL87" s="21">
        <f>EXP(-LN(2)/25)*CL86+(1-EXP(-LN(2)/25))/(LN(2)/25)*Calculateur!CG87*Calculateur!CI87*VLOOKUP('Données projet'!$B$12,Paramètres!$A$1:$I$89,3,0)*0.475*44/12</f>
        <v>6.2761451722641608</v>
      </c>
      <c r="CM87" s="21">
        <f>EXP(-LN(2)/2)*CM86+(1-EXP(-LN(2)/2))/(LN(2)/2)*CG87*CJ87*VLOOKUP('Données projet'!$B$12,Paramètres!$A$1:$I$89,3,0)*0.475*44/12</f>
        <v>0.40276158235734699</v>
      </c>
      <c r="CN87" s="22">
        <f t="shared" si="66"/>
        <v>56.052899972009342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-2.8421709430404007E-13</v>
      </c>
      <c r="CU87" s="17">
        <f>CT87*VLOOKUP('Données projet'!$B$13,Paramètres!$A$1:$I$89,3,0)*VLOOKUP('Données projet'!$B$13,Paramètres!$A$1:$I$89,5,0)</f>
        <v>-1.8621904018800707E-13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340.49092994349405</v>
      </c>
      <c r="CZ87" s="59">
        <f t="shared" si="96"/>
        <v>331.54434271908832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91.989479002122394</v>
      </c>
      <c r="DG87" s="21">
        <f>EXP(-LN(2)/25)*DG86+(1-EXP(-LN(2)/25))/(LN(2)/25)*Calculateur!DB87*Calculateur!DD87*VLOOKUP('Données projet'!$B$13,Paramètres!$A$1:$I$89,3,0)*0.475*44/12</f>
        <v>3.0172791316464016</v>
      </c>
      <c r="DH87" s="21">
        <f>EXP(-LN(2)/2)*DH86+(1-EXP(-LN(2)/2))/(LN(2)/2)*DB87*DE87*VLOOKUP('Données projet'!$B$13,Paramètres!$A$1:$I$89,3,0)*0.475*44/12</f>
        <v>11.871054739592696</v>
      </c>
      <c r="DI87" s="22">
        <f t="shared" si="69"/>
        <v>106.87781287336149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7.7777777777777777</v>
      </c>
      <c r="DO87" s="12">
        <f>IF('Données projet'!$A$166&gt;35,DO86+DN87-DW86,IF(A87&lt;'Données projet'!$A$166,$DL$205^A87,IF(A87='Données projet'!$A$166,'Données projet'!$B$166,DO86+DN87-DW86)))</f>
        <v>293.66666666666652</v>
      </c>
      <c r="DP87" s="17">
        <f>DO87*VLOOKUP('Données projet'!$B$14,Paramètres!$A$1:$I$89,3,0)*VLOOKUP('Données projet'!$B$14,Paramètres!$A$1:$I$89,5,0)</f>
        <v>297.77799999999985</v>
      </c>
      <c r="DQ87" s="13">
        <f t="shared" si="97"/>
        <v>70.710445573485373</v>
      </c>
      <c r="DR87" s="20">
        <f t="shared" si="70"/>
        <v>641.78404270715339</v>
      </c>
      <c r="DS87" s="59">
        <f t="shared" si="71"/>
        <v>935.11737604048676</v>
      </c>
      <c r="DT87" s="59">
        <f ca="1">AVERAGE(OFFSET($DS$3,0,0,'Données projet'!$E$14+1,1))-AVERAGE(OFFSET($H$3,0,0,'Données projet'!$E$14+1,1))</f>
        <v>586.50020405958992</v>
      </c>
      <c r="DU87" s="59">
        <f t="shared" si="98"/>
        <v>304.44184537595294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2.0972222609511468</v>
      </c>
      <c r="EB87" s="21">
        <f>EXP(-LN(2)/25)*EB86+(1-EXP(-LN(2)/25))/(LN(2)/25)*Calculateur!DW87*Calculateur!DY87*VLOOKUP('Données projet'!$B$14,Paramètres!$A$1:$I$89,3,0)*0.475*44/12</f>
        <v>34.571354721980697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36.668576982931846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438</v>
      </c>
      <c r="L88" s="12">
        <f>VLOOKUP(A88,'Données projet'!$A$35:$I$55,9,0)</f>
        <v>9.6</v>
      </c>
      <c r="M88" s="12">
        <f t="array" ref="M88">INDEX(L:L,MIN(IF(ISNUMBER(L88:L284),ROW(L88:L284),"")))</f>
        <v>9.6</v>
      </c>
      <c r="N88" s="13">
        <f>IF('Données projet'!$A$36&gt;35,N87+M88-V87,IF(A88&lt;'Données projet'!$A$36,$K$205^A88,IF(A88='Données projet'!$A$36,'Données projet'!$B$36,N87+M88-V87)))</f>
        <v>438</v>
      </c>
      <c r="O88" s="13">
        <f>N88*VLOOKUP('Données projet'!$B$9,Paramètres!$A$1:$I$89,3,0)*VLOOKUP('Données projet'!$B$9,Paramètres!$A$1:$I$89,5,0)</f>
        <v>375.80400000000003</v>
      </c>
      <c r="P88" s="13">
        <f t="shared" si="87"/>
        <v>86.853626438441253</v>
      </c>
      <c r="Q88" s="20">
        <f t="shared" si="54"/>
        <v>805.79536604695193</v>
      </c>
      <c r="R88" s="59">
        <f t="shared" si="55"/>
        <v>1099.1286993802853</v>
      </c>
      <c r="S88" s="59">
        <f ca="1">AVERAGE(OFFSET($R$3,0,0,'Données projet'!$E$9+1,1))-AVERAGE(OFFSET($H$3,0,0,'Données projet'!$E$9+1,1))</f>
        <v>536.21423347711345</v>
      </c>
      <c r="T88" s="59">
        <f t="shared" si="88"/>
        <v>312.14361830038712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33</v>
      </c>
      <c r="W88" s="16">
        <f>IF(ISNA(VLOOKUP(A88,'Données projet'!$A$35:$I$55,5,0)),0%,VLOOKUP(A88,'Données projet'!$A$35:$I$55,5,0)*VLOOKUP('Données projet'!$B$9,Paramètres!$A$1:$I$89,7,0))</f>
        <v>5.3000000000000005E-2</v>
      </c>
      <c r="X88" s="16">
        <f>IF(ISNA(VLOOKUP(A88,'Données projet'!$A$35:$I$55,6,0)),0%,VLOOKUP(A88,'Données projet'!$A$35:$I$55,6,0)*VLOOKUP('Données projet'!$B$9,Paramètres!$A$1:$I$89,7,0))</f>
        <v>0.26500000000000001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4.6503086192257239</v>
      </c>
      <c r="AA88" s="21">
        <f>EXP(-LN(2)/25)*AA87+(1-EXP(-LN(2)/25))/(LN(2)/25)*Calculateur!V88*Calculateur!X88*VLOOKUP('Données projet'!$B$9,Paramètres!$A$1:$I$89,3,0)*0.475*44/12</f>
        <v>44.643026734071221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49.293335353296946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7.7777777777777777</v>
      </c>
      <c r="AI88" s="13">
        <f>IF('Données projet'!$A$62&gt;35,AI87+AH88-AQ87,IF(A88&lt;'Données projet'!$A$62,$AF$205^A88,IF(A88='Données projet'!$A$62,'Données projet'!$B$62,AI87+AH88-AQ87)))</f>
        <v>301.44444444444429</v>
      </c>
      <c r="AJ88" s="13">
        <f>AI88*VLOOKUP('Données projet'!$B$10,Paramètres!$A$1:$I$89,3,0)*VLOOKUP('Données projet'!$B$10,Paramètres!$A$1:$I$89,5,0)</f>
        <v>272.74693333333317</v>
      </c>
      <c r="AK88" s="13">
        <f t="shared" si="89"/>
        <v>65.431893983549415</v>
      </c>
      <c r="AL88" s="20">
        <f t="shared" si="58"/>
        <v>588.99479091023716</v>
      </c>
      <c r="AM88" s="59">
        <f t="shared" si="59"/>
        <v>882.32812424357053</v>
      </c>
      <c r="AN88" s="59">
        <f ca="1">AVERAGE(OFFSET($AM$3,0,0,'Données projet'!$E$10+1,1))-AVERAGE(OFFSET($H$3,0,0,'Données projet'!$E$10+1,1))</f>
        <v>528.15559695545812</v>
      </c>
      <c r="AO88" s="59">
        <f t="shared" si="90"/>
        <v>276.26988364830532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1.8346711795754396</v>
      </c>
      <c r="AV88" s="21">
        <f>EXP(-LN(2)/25)*AV87+(1-EXP(-LN(2)/25))/(LN(2)/25)*Calculateur!AQ88*Calculateur!AS88*VLOOKUP('Données projet'!$B$10,Paramètres!$A$1:$I$89,3,0)*0.475*44/12</f>
        <v>30.0047377557941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31.839408935369541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438</v>
      </c>
      <c r="BB88" s="12">
        <f>VLOOKUP(A88,'Données projet'!$A$87:$I$107,9,0)</f>
        <v>9.6</v>
      </c>
      <c r="BC88" s="12">
        <f t="array" ref="BC88">INDEX(BB:BB,MIN(IF(ISNUMBER(BB88:BB284),ROW(BB88:BB284),"")))</f>
        <v>9.6</v>
      </c>
      <c r="BD88" s="12">
        <f>IF('Données projet'!$A$88&gt;35,BD87+BC88-BL87,IF(A88&lt;'Données projet'!$A$88,$BA$205^A88,IF(A88='Données projet'!$A$88,'Données projet'!$B$88,BD87+BC88-BL87)))</f>
        <v>438</v>
      </c>
      <c r="BE88" s="13">
        <f>BD88*VLOOKUP('Données projet'!$B$11,Paramètres!$A$1:$I$89,3,0)*VLOOKUP('Données projet'!$B$11,Paramètres!$A$1:$I$89,5,0)</f>
        <v>321.14159999999998</v>
      </c>
      <c r="BF88" s="13">
        <f t="shared" si="91"/>
        <v>75.590836491360662</v>
      </c>
      <c r="BG88" s="20">
        <f t="shared" si="61"/>
        <v>690.97566022245303</v>
      </c>
      <c r="BH88" s="59">
        <f t="shared" si="62"/>
        <v>984.3089935557864</v>
      </c>
      <c r="BI88" s="59">
        <f ca="1">AVERAGE(OFFSET($BH$3,0,0,'Données projet'!$E$11+1,1))-AVERAGE(OFFSET($H$3,0,0,'Données projet'!$E$11+1,1))</f>
        <v>464.3681853739115</v>
      </c>
      <c r="BJ88" s="59">
        <f t="shared" si="92"/>
        <v>272.97841038165217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33</v>
      </c>
      <c r="BM88" s="16">
        <f>IF(ISNA(VLOOKUP(A88,'Données projet'!$A$87:$I$107,5,0)),0%,VLOOKUP(A88,'Données projet'!$A$87:$I$107,5,0)*VLOOKUP('Données projet'!$B$11,Paramètres!$A$1:$I$89,7,0))</f>
        <v>4.3000000000000003E-2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3.2241076224546088</v>
      </c>
      <c r="BQ88" s="21">
        <f>EXP(-LN(2)/25)*BQ87+(1-EXP(-LN(2)/25))/(LN(2)/25)*Calculateur!BL88*Calculateur!BN88*VLOOKUP('Données projet'!$B$11,Paramètres!$A$1:$I$89,3,0)*0.475*44/12</f>
        <v>30.951477540157079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34.175585162611689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4.4337866711430253E-14</v>
      </c>
      <c r="CA88" s="13">
        <f t="shared" si="93"/>
        <v>7.3222115536967035E-13</v>
      </c>
      <c r="CB88" s="20">
        <f t="shared" si="64"/>
        <v>1.3525069634579169E-12</v>
      </c>
      <c r="CC88" s="59">
        <f t="shared" si="65"/>
        <v>293.33333333333468</v>
      </c>
      <c r="CD88" s="59">
        <f ca="1">AVERAGE(OFFSET($CC$3,0,0,'Données projet'!$E$12+1,1))-AVERAGE(OFFSET($H$3,0,0,'Données projet'!$E$12+1,1))</f>
        <v>288.82868507674738</v>
      </c>
      <c r="CE88" s="59">
        <f t="shared" si="94"/>
        <v>283.48738729114024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48.405799325557098</v>
      </c>
      <c r="CL88" s="21">
        <f>EXP(-LN(2)/25)*CL87+(1-EXP(-LN(2)/25))/(LN(2)/25)*Calculateur!CG88*Calculateur!CI88*VLOOKUP('Données projet'!$B$12,Paramètres!$A$1:$I$89,3,0)*0.475*44/12</f>
        <v>6.1045236524804674</v>
      </c>
      <c r="CM88" s="21">
        <f>EXP(-LN(2)/2)*CM87+(1-EXP(-LN(2)/2))/(LN(2)/2)*CG88*CJ88*VLOOKUP('Données projet'!$B$12,Paramètres!$A$1:$I$89,3,0)*0.475*44/12</f>
        <v>0.28479544608630419</v>
      </c>
      <c r="CN88" s="22">
        <f t="shared" si="66"/>
        <v>54.795118424123871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-2.8421709430404007E-13</v>
      </c>
      <c r="CU88" s="17">
        <f>CT88*VLOOKUP('Données projet'!$B$13,Paramètres!$A$1:$I$89,3,0)*VLOOKUP('Données projet'!$B$13,Paramètres!$A$1:$I$89,5,0)</f>
        <v>-1.8621904018800707E-13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340.49092994349405</v>
      </c>
      <c r="CZ88" s="59">
        <f t="shared" si="96"/>
        <v>331.54434271908832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90.185621426932755</v>
      </c>
      <c r="DG88" s="21">
        <f>EXP(-LN(2)/25)*DG87+(1-EXP(-LN(2)/25))/(LN(2)/25)*Calculateur!DB88*Calculateur!DD88*VLOOKUP('Données projet'!$B$13,Paramètres!$A$1:$I$89,3,0)*0.475*44/12</f>
        <v>2.9347714751197174</v>
      </c>
      <c r="DH88" s="21">
        <f>EXP(-LN(2)/2)*DH87+(1-EXP(-LN(2)/2))/(LN(2)/2)*DB88*DE88*VLOOKUP('Données projet'!$B$13,Paramètres!$A$1:$I$89,3,0)*0.475*44/12</f>
        <v>8.3941033062027</v>
      </c>
      <c r="DI88" s="22">
        <f t="shared" si="69"/>
        <v>101.51449620825517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7.7777777777777777</v>
      </c>
      <c r="DO88" s="12">
        <f>IF('Données projet'!$A$166&gt;35,DO87+DN88-DW87,IF(A88&lt;'Données projet'!$A$166,$DL$205^A88,IF(A88='Données projet'!$A$166,'Données projet'!$B$166,DO87+DN88-DW87)))</f>
        <v>301.44444444444429</v>
      </c>
      <c r="DP88" s="17">
        <f>DO88*VLOOKUP('Données projet'!$B$14,Paramètres!$A$1:$I$89,3,0)*VLOOKUP('Données projet'!$B$14,Paramètres!$A$1:$I$89,5,0)</f>
        <v>305.66466666666651</v>
      </c>
      <c r="DQ88" s="13">
        <f t="shared" si="97"/>
        <v>72.362699238358573</v>
      </c>
      <c r="DR88" s="20">
        <f t="shared" si="70"/>
        <v>658.39766228458541</v>
      </c>
      <c r="DS88" s="59">
        <f t="shared" si="71"/>
        <v>951.73099561791878</v>
      </c>
      <c r="DT88" s="59">
        <f ca="1">AVERAGE(OFFSET($DS$3,0,0,'Données projet'!$E$14+1,1))-AVERAGE(OFFSET($H$3,0,0,'Données projet'!$E$14+1,1))</f>
        <v>586.50020405958992</v>
      </c>
      <c r="DU88" s="59">
        <f t="shared" si="98"/>
        <v>304.44184537595294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2.0560970115931654</v>
      </c>
      <c r="EB88" s="21">
        <f>EXP(-LN(2)/25)*EB87+(1-EXP(-LN(2)/25))/(LN(2)/25)*Calculateur!DW88*Calculateur!DY88*VLOOKUP('Données projet'!$B$14,Paramètres!$A$1:$I$89,3,0)*0.475*44/12</f>
        <v>33.625999209079602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35.682096220672769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9.1999999999999993</v>
      </c>
      <c r="N89" s="13">
        <f>IF('Données projet'!$A$36&gt;35,N88+M89-V88,IF(A89&lt;'Données projet'!$A$36,$K$205^A89,IF(A89='Données projet'!$A$36,'Données projet'!$B$36,N88+M89-V88)))</f>
        <v>414.2</v>
      </c>
      <c r="O89" s="13">
        <f>N89*VLOOKUP('Données projet'!$B$9,Paramètres!$A$1:$I$89,3,0)*VLOOKUP('Données projet'!$B$9,Paramètres!$A$1:$I$89,5,0)</f>
        <v>355.3836</v>
      </c>
      <c r="P89" s="13">
        <f t="shared" si="87"/>
        <v>82.670063642426967</v>
      </c>
      <c r="Q89" s="20">
        <f t="shared" si="54"/>
        <v>762.94346417722682</v>
      </c>
      <c r="R89" s="59">
        <f t="shared" si="55"/>
        <v>1056.2767975105601</v>
      </c>
      <c r="S89" s="59">
        <f ca="1">AVERAGE(OFFSET($R$3,0,0,'Données projet'!$E$9+1,1))-AVERAGE(OFFSET($H$3,0,0,'Données projet'!$E$9+1,1))</f>
        <v>536.21423347711345</v>
      </c>
      <c r="T89" s="59">
        <f t="shared" si="88"/>
        <v>312.14361830038712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4.5591189036108934</v>
      </c>
      <c r="AA89" s="21">
        <f>EXP(-LN(2)/25)*AA88+(1-EXP(-LN(2)/25))/(LN(2)/25)*Calculateur!V89*Calculateur!X89*VLOOKUP('Données projet'!$B$9,Paramètres!$A$1:$I$89,3,0)*0.475*44/12</f>
        <v>43.422260820353301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47.981379723964196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7.7777777777777777</v>
      </c>
      <c r="AI89" s="13">
        <f>IF('Données projet'!$A$62&gt;35,AI88+AH89-AQ88,IF(A89&lt;'Données projet'!$A$62,$AF$205^A89,IF(A89='Données projet'!$A$62,'Données projet'!$B$62,AI88+AH89-AQ88)))</f>
        <v>309.22222222222206</v>
      </c>
      <c r="AJ89" s="13">
        <f>AI89*VLOOKUP('Données projet'!$B$10,Paramètres!$A$1:$I$89,3,0)*VLOOKUP('Données projet'!$B$10,Paramètres!$A$1:$I$89,5,0)</f>
        <v>279.7842666666665</v>
      </c>
      <c r="AK89" s="13">
        <f t="shared" si="89"/>
        <v>66.921416181225794</v>
      </c>
      <c r="AL89" s="20">
        <f t="shared" si="58"/>
        <v>603.84573096007898</v>
      </c>
      <c r="AM89" s="59">
        <f t="shared" si="59"/>
        <v>897.17906429341224</v>
      </c>
      <c r="AN89" s="59">
        <f ca="1">AVERAGE(OFFSET($AM$3,0,0,'Données projet'!$E$10+1,1))-AVERAGE(OFFSET($H$3,0,0,'Données projet'!$E$10+1,1))</f>
        <v>528.15559695545812</v>
      </c>
      <c r="AO89" s="59">
        <f t="shared" si="90"/>
        <v>276.26988364830532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1.7986943967828888</v>
      </c>
      <c r="AV89" s="21">
        <f>EXP(-LN(2)/25)*AV88+(1-EXP(-LN(2)/25))/(LN(2)/25)*Calculateur!AQ89*Calculateur!AS89*VLOOKUP('Données projet'!$B$10,Paramètres!$A$1:$I$89,3,0)*0.475*44/12</f>
        <v>29.184256623981327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30.982951020764215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9.1999999999999993</v>
      </c>
      <c r="BD89" s="12">
        <f>IF('Données projet'!$A$88&gt;35,BD88+BC89-BL88,IF(A89&lt;'Données projet'!$A$88,$BA$205^A89,IF(A89='Données projet'!$A$88,'Données projet'!$B$88,BD88+BC89-BL88)))</f>
        <v>414.2</v>
      </c>
      <c r="BE89" s="13">
        <f>BD89*VLOOKUP('Données projet'!$B$11,Paramètres!$A$1:$I$89,3,0)*VLOOKUP('Données projet'!$B$11,Paramètres!$A$1:$I$89,5,0)</f>
        <v>303.69144</v>
      </c>
      <c r="BF89" s="13">
        <f t="shared" si="91"/>
        <v>71.949779413692241</v>
      </c>
      <c r="BG89" s="20">
        <f t="shared" si="61"/>
        <v>654.24179047884718</v>
      </c>
      <c r="BH89" s="59">
        <f t="shared" si="62"/>
        <v>947.57512381218044</v>
      </c>
      <c r="BI89" s="59">
        <f ca="1">AVERAGE(OFFSET($BH$3,0,0,'Données projet'!$E$11+1,1))-AVERAGE(OFFSET($H$3,0,0,'Données projet'!$E$11+1,1))</f>
        <v>464.3681853739115</v>
      </c>
      <c r="BJ89" s="59">
        <f t="shared" si="92"/>
        <v>272.97841038165217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3.1608848384897468</v>
      </c>
      <c r="BQ89" s="21">
        <f>EXP(-LN(2)/25)*BQ88+(1-EXP(-LN(2)/25))/(LN(2)/25)*Calculateur!BL89*Calculateur!BN89*VLOOKUP('Données projet'!$B$11,Paramètres!$A$1:$I$89,3,0)*0.475*44/12</f>
        <v>30.10510775915402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33.265992597643766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4.4337866711430253E-14</v>
      </c>
      <c r="CA89" s="13">
        <f t="shared" si="93"/>
        <v>7.3222115536967035E-13</v>
      </c>
      <c r="CB89" s="20">
        <f t="shared" si="64"/>
        <v>1.3525069634579169E-12</v>
      </c>
      <c r="CC89" s="59">
        <f t="shared" si="65"/>
        <v>293.33333333333468</v>
      </c>
      <c r="CD89" s="59">
        <f ca="1">AVERAGE(OFFSET($CC$3,0,0,'Données projet'!$E$12+1,1))-AVERAGE(OFFSET($H$3,0,0,'Données projet'!$E$12+1,1))</f>
        <v>288.82868507674738</v>
      </c>
      <c r="CE89" s="59">
        <f t="shared" si="94"/>
        <v>283.48738729114024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47.456591125405197</v>
      </c>
      <c r="CL89" s="21">
        <f>EXP(-LN(2)/25)*CL88+(1-EXP(-LN(2)/25))/(LN(2)/25)*Calculateur!CG89*Calculateur!CI89*VLOOKUP('Données projet'!$B$12,Paramètres!$A$1:$I$89,3,0)*0.475*44/12</f>
        <v>5.9375951321804425</v>
      </c>
      <c r="CM89" s="21">
        <f>EXP(-LN(2)/2)*CM88+(1-EXP(-LN(2)/2))/(LN(2)/2)*CG89*CJ89*VLOOKUP('Données projet'!$B$12,Paramètres!$A$1:$I$89,3,0)*0.475*44/12</f>
        <v>0.2013807911786735</v>
      </c>
      <c r="CN89" s="22">
        <f t="shared" si="66"/>
        <v>53.595567048764309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-2.8421709430404007E-13</v>
      </c>
      <c r="CU89" s="17">
        <f>CT89*VLOOKUP('Données projet'!$B$13,Paramètres!$A$1:$I$89,3,0)*VLOOKUP('Données projet'!$B$13,Paramètres!$A$1:$I$89,5,0)</f>
        <v>-1.8621904018800707E-13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340.49092994349405</v>
      </c>
      <c r="CZ89" s="59">
        <f t="shared" si="96"/>
        <v>331.54434271908832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88.417136398548109</v>
      </c>
      <c r="DG89" s="21">
        <f>EXP(-LN(2)/25)*DG88+(1-EXP(-LN(2)/25))/(LN(2)/25)*Calculateur!DB89*Calculateur!DD89*VLOOKUP('Données projet'!$B$13,Paramètres!$A$1:$I$89,3,0)*0.475*44/12</f>
        <v>2.8545199947996442</v>
      </c>
      <c r="DH89" s="21">
        <f>EXP(-LN(2)/2)*DH88+(1-EXP(-LN(2)/2))/(LN(2)/2)*DB89*DE89*VLOOKUP('Données projet'!$B$13,Paramètres!$A$1:$I$89,3,0)*0.475*44/12</f>
        <v>5.9355273697963478</v>
      </c>
      <c r="DI89" s="22">
        <f t="shared" si="69"/>
        <v>97.207183763144101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7.7777777777777777</v>
      </c>
      <c r="DO89" s="12">
        <f>IF('Données projet'!$A$166&gt;35,DO88+DN89-DW88,IF(A89&lt;'Données projet'!$A$166,$DL$205^A89,IF(A89='Données projet'!$A$166,'Données projet'!$B$166,DO88+DN89-DW88)))</f>
        <v>309.22222222222206</v>
      </c>
      <c r="DP89" s="17">
        <f>DO89*VLOOKUP('Données projet'!$B$14,Paramètres!$A$1:$I$89,3,0)*VLOOKUP('Données projet'!$B$14,Paramètres!$A$1:$I$89,5,0)</f>
        <v>313.55133333333322</v>
      </c>
      <c r="DQ89" s="13">
        <f t="shared" si="97"/>
        <v>74.00999752421302</v>
      </c>
      <c r="DR89" s="20">
        <f t="shared" si="70"/>
        <v>675.00265124355963</v>
      </c>
      <c r="DS89" s="59">
        <f t="shared" si="71"/>
        <v>968.335984576893</v>
      </c>
      <c r="DT89" s="59">
        <f ca="1">AVERAGE(OFFSET($DS$3,0,0,'Données projet'!$E$14+1,1))-AVERAGE(OFFSET($H$3,0,0,'Données projet'!$E$14+1,1))</f>
        <v>586.50020405958992</v>
      </c>
      <c r="DU89" s="59">
        <f t="shared" si="98"/>
        <v>304.44184537595294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2.0157782032911689</v>
      </c>
      <c r="EB89" s="21">
        <f>EXP(-LN(2)/25)*EB88+(1-EXP(-LN(2)/25))/(LN(2)/25)*Calculateur!DW89*Calculateur!DY89*VLOOKUP('Données projet'!$B$14,Paramètres!$A$1:$I$89,3,0)*0.475*44/12</f>
        <v>32.706494492392878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34.722272695684048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9.1999999999999993</v>
      </c>
      <c r="N90" s="13">
        <f>IF('Données projet'!$A$36&gt;35,N89+M90-V89,IF(A90&lt;'Données projet'!$A$36,$K$205^A90,IF(A90='Données projet'!$A$36,'Données projet'!$B$36,N89+M90-V89)))</f>
        <v>423.4</v>
      </c>
      <c r="O90" s="13">
        <f>N90*VLOOKUP('Données projet'!$B$9,Paramètres!$A$1:$I$89,3,0)*VLOOKUP('Données projet'!$B$9,Paramètres!$A$1:$I$89,5,0)</f>
        <v>363.27719999999999</v>
      </c>
      <c r="P90" s="13">
        <f t="shared" si="87"/>
        <v>84.290472188638873</v>
      </c>
      <c r="Q90" s="20">
        <f t="shared" si="54"/>
        <v>779.51369572854594</v>
      </c>
      <c r="R90" s="59">
        <f t="shared" si="55"/>
        <v>1072.8470290618793</v>
      </c>
      <c r="S90" s="59">
        <f ca="1">AVERAGE(OFFSET($R$3,0,0,'Données projet'!$E$9+1,1))-AVERAGE(OFFSET($H$3,0,0,'Données projet'!$E$9+1,1))</f>
        <v>536.21423347711345</v>
      </c>
      <c r="T90" s="59">
        <f t="shared" si="88"/>
        <v>312.14361830038712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4.4697173626990354</v>
      </c>
      <c r="AA90" s="21">
        <f>EXP(-LN(2)/25)*AA89+(1-EXP(-LN(2)/25))/(LN(2)/25)*Calculateur!V90*Calculateur!X90*VLOOKUP('Données projet'!$B$9,Paramètres!$A$1:$I$89,3,0)*0.475*44/12</f>
        <v>42.234876814743288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46.704594177442324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317</v>
      </c>
      <c r="AG90" s="12">
        <f>VLOOKUP(A90,'Données projet'!$A$61:$I$81,9,0)</f>
        <v>7.7777777777777777</v>
      </c>
      <c r="AH90" s="12">
        <f t="array" ref="AH90">INDEX(AG:AG,MIN(IF(ISNUMBER(AG90:AG286),ROW(AG90:AG286),"")))</f>
        <v>7.7777777777777777</v>
      </c>
      <c r="AI90" s="13">
        <f>IF('Données projet'!$A$62&gt;35,AI89+AH90-AQ89,IF(A90&lt;'Données projet'!$A$62,$AF$205^A90,IF(A90='Données projet'!$A$62,'Données projet'!$B$62,AI89+AH90-AQ89)))</f>
        <v>316.99999999999983</v>
      </c>
      <c r="AJ90" s="13">
        <f>AI90*VLOOKUP('Données projet'!$B$10,Paramètres!$A$1:$I$89,3,0)*VLOOKUP('Données projet'!$B$10,Paramètres!$A$1:$I$89,5,0)</f>
        <v>286.82159999999988</v>
      </c>
      <c r="AK90" s="13">
        <f t="shared" si="89"/>
        <v>68.406583284351413</v>
      </c>
      <c r="AL90" s="20">
        <f t="shared" si="58"/>
        <v>618.68908588691181</v>
      </c>
      <c r="AM90" s="59">
        <f t="shared" si="59"/>
        <v>912.02241922024518</v>
      </c>
      <c r="AN90" s="59">
        <f ca="1">AVERAGE(OFFSET($AM$3,0,0,'Données projet'!$E$10+1,1))-AVERAGE(OFFSET($H$3,0,0,'Données projet'!$E$10+1,1))</f>
        <v>528.15559695545812</v>
      </c>
      <c r="AO90" s="59">
        <f t="shared" si="90"/>
        <v>276.26988364830532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45</v>
      </c>
      <c r="AR90" s="16">
        <f>IF(ISNA(VLOOKUP(A90,'Données projet'!$A$61:$I$81,5,0)),0%,VLOOKUP(A90,'Données projet'!$A$61:$I$81,5,0)*VLOOKUP('Données projet'!$B$10,Paramètres!$A$1:$I$89,7,0))</f>
        <v>0.129</v>
      </c>
      <c r="AS90" s="16">
        <f>IF(ISNA(VLOOKUP(A90,'Données projet'!$A$61:$I$81,6,0)),0%,VLOOKUP(A90,'Données projet'!$A$61:$I$81,6,0)*VLOOKUP('Données projet'!$B$10,Paramètres!$A$1:$I$89,7,0))</f>
        <v>0.15049999999999999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7.5697559212824324</v>
      </c>
      <c r="AV90" s="21">
        <f>EXP(-LN(2)/25)*AV89+(1-EXP(-LN(2)/25))/(LN(2)/25)*Calculateur!AQ90*Calculateur!AS90*VLOOKUP('Données projet'!$B$10,Paramètres!$A$1:$I$89,3,0)*0.475*44/12</f>
        <v>35.133594518308797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42.703350439591233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9.1999999999999993</v>
      </c>
      <c r="BD90" s="12">
        <f>IF('Données projet'!$A$88&gt;35,BD89+BC90-BL89,IF(A90&lt;'Données projet'!$A$88,$BA$205^A90,IF(A90='Données projet'!$A$88,'Données projet'!$B$88,BD89+BC90-BL89)))</f>
        <v>423.4</v>
      </c>
      <c r="BE90" s="13">
        <f>BD90*VLOOKUP('Données projet'!$B$11,Paramètres!$A$1:$I$89,3,0)*VLOOKUP('Données projet'!$B$11,Paramètres!$A$1:$I$89,5,0)</f>
        <v>310.43687999999997</v>
      </c>
      <c r="BF90" s="13">
        <f t="shared" si="91"/>
        <v>73.360060624606533</v>
      </c>
      <c r="BG90" s="20">
        <f t="shared" si="61"/>
        <v>668.44633825452308</v>
      </c>
      <c r="BH90" s="59">
        <f t="shared" si="62"/>
        <v>961.77967158785646</v>
      </c>
      <c r="BI90" s="59">
        <f ca="1">AVERAGE(OFFSET($BH$3,0,0,'Données projet'!$E$11+1,1))-AVERAGE(OFFSET($H$3,0,0,'Données projet'!$E$11+1,1))</f>
        <v>464.3681853739115</v>
      </c>
      <c r="BJ90" s="59">
        <f t="shared" si="92"/>
        <v>272.97841038165217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3.0989018147563452</v>
      </c>
      <c r="BQ90" s="21">
        <f>EXP(-LN(2)/25)*BQ89+(1-EXP(-LN(2)/25))/(LN(2)/25)*Calculateur!BL90*Calculateur!BN90*VLOOKUP('Données projet'!$B$11,Paramètres!$A$1:$I$89,3,0)*0.475*44/12</f>
        <v>29.281882004321144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32.380783819077486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4.4337866711430253E-14</v>
      </c>
      <c r="CA90" s="13">
        <f t="shared" si="93"/>
        <v>7.3222115536967035E-13</v>
      </c>
      <c r="CB90" s="20">
        <f t="shared" si="64"/>
        <v>1.3525069634579169E-12</v>
      </c>
      <c r="CC90" s="59">
        <f t="shared" si="65"/>
        <v>293.33333333333468</v>
      </c>
      <c r="CD90" s="59">
        <f ca="1">AVERAGE(OFFSET($CC$3,0,0,'Données projet'!$E$12+1,1))-AVERAGE(OFFSET($H$3,0,0,'Données projet'!$E$12+1,1))</f>
        <v>288.82868507674738</v>
      </c>
      <c r="CE90" s="59">
        <f t="shared" si="94"/>
        <v>283.48738729114024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46.525996319098439</v>
      </c>
      <c r="CL90" s="21">
        <f>EXP(-LN(2)/25)*CL89+(1-EXP(-LN(2)/25))/(LN(2)/25)*Calculateur!CG90*Calculateur!CI90*VLOOKUP('Données projet'!$B$12,Paramètres!$A$1:$I$89,3,0)*0.475*44/12</f>
        <v>5.7752312810464108</v>
      </c>
      <c r="CM90" s="21">
        <f>EXP(-LN(2)/2)*CM89+(1-EXP(-LN(2)/2))/(LN(2)/2)*CG90*CJ90*VLOOKUP('Données projet'!$B$12,Paramètres!$A$1:$I$89,3,0)*0.475*44/12</f>
        <v>0.1423977230431521</v>
      </c>
      <c r="CN90" s="22">
        <f t="shared" si="66"/>
        <v>52.443625323188002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-2.8421709430404007E-13</v>
      </c>
      <c r="CU90" s="17">
        <f>CT90*VLOOKUP('Données projet'!$B$13,Paramètres!$A$1:$I$89,3,0)*VLOOKUP('Données projet'!$B$13,Paramètres!$A$1:$I$89,5,0)</f>
        <v>-1.8621904018800707E-13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340.49092994349405</v>
      </c>
      <c r="CZ90" s="59">
        <f t="shared" si="96"/>
        <v>331.54434271908832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86.683330282900727</v>
      </c>
      <c r="DG90" s="21">
        <f>EXP(-LN(2)/25)*DG89+(1-EXP(-LN(2)/25))/(LN(2)/25)*Calculateur!DB90*Calculateur!DD90*VLOOKUP('Données projet'!$B$13,Paramètres!$A$1:$I$89,3,0)*0.475*44/12</f>
        <v>2.7764629954291657</v>
      </c>
      <c r="DH90" s="21">
        <f>EXP(-LN(2)/2)*DH89+(1-EXP(-LN(2)/2))/(LN(2)/2)*DB90*DE90*VLOOKUP('Données projet'!$B$13,Paramètres!$A$1:$I$89,3,0)*0.475*44/12</f>
        <v>4.19705165310135</v>
      </c>
      <c r="DI90" s="22">
        <f t="shared" si="69"/>
        <v>93.656844931431252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317</v>
      </c>
      <c r="DM90" s="12">
        <f>VLOOKUP(A90,'Données projet'!$A$165:$I$185,9,0)</f>
        <v>7.7777777777777777</v>
      </c>
      <c r="DN90" s="12">
        <f t="array" ref="DN90">INDEX(DM:DM,MIN(IF(ISNUMBER(DM90:DM286),ROW(DM90:DM286),"")))</f>
        <v>7.7777777777777777</v>
      </c>
      <c r="DO90" s="12">
        <f>IF('Données projet'!$A$166&gt;35,DO89+DN90-DW89,IF(A90&lt;'Données projet'!$A$166,$DL$205^A90,IF(A90='Données projet'!$A$166,'Données projet'!$B$166,DO89+DN90-DW89)))</f>
        <v>316.99999999999983</v>
      </c>
      <c r="DP90" s="17">
        <f>DO90*VLOOKUP('Données projet'!$B$14,Paramètres!$A$1:$I$89,3,0)*VLOOKUP('Données projet'!$B$14,Paramètres!$A$1:$I$89,5,0)</f>
        <v>321.43799999999987</v>
      </c>
      <c r="DQ90" s="13">
        <f t="shared" si="97"/>
        <v>75.652479406660177</v>
      </c>
      <c r="DR90" s="20">
        <f t="shared" si="70"/>
        <v>691.59925163326625</v>
      </c>
      <c r="DS90" s="59">
        <f t="shared" si="71"/>
        <v>984.93258496659951</v>
      </c>
      <c r="DT90" s="59">
        <f ca="1">AVERAGE(OFFSET($DS$3,0,0,'Données projet'!$E$14+1,1))-AVERAGE(OFFSET($H$3,0,0,'Données projet'!$E$14+1,1))</f>
        <v>586.50020405958992</v>
      </c>
      <c r="DU90" s="59">
        <f t="shared" si="98"/>
        <v>304.44184537595294</v>
      </c>
      <c r="DV90" s="15">
        <f>IF(ISNA(VLOOKUP(A90,'Données projet'!$A$165:$I$185,3,0)),0,VLOOKUP(A90,'Données projet'!$A$165:$I$185,3,0))</f>
        <v>7</v>
      </c>
      <c r="DW90" s="15">
        <f>IF(ISNA(VLOOKUP(A90,'Données projet'!$A$165:$I$185,4,0)),0,VLOOKUP(A90,'Données projet'!$A$165:$I$185,4,0))</f>
        <v>45</v>
      </c>
      <c r="DX90" s="16">
        <f>IF(ISNA(VLOOKUP(A90,'Données projet'!$A$165:$I$185,5,0)),0%,VLOOKUP(A90,'Données projet'!$A$165:$I$185,5,0)*VLOOKUP('Données projet'!$B$14,Paramètres!$A$1:$I$89,7,0))</f>
        <v>0.129</v>
      </c>
      <c r="DY90" s="16">
        <f>IF(ISNA(VLOOKUP(A90,'Données projet'!$A$165:$I$185,6,0)),0%,VLOOKUP(A90,'Données projet'!$A$165:$I$185,6,0)*VLOOKUP('Données projet'!$B$14,Paramètres!$A$1:$I$89,7,0))</f>
        <v>0.15049999999999999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8.4833471531613469</v>
      </c>
      <c r="EB90" s="21">
        <f>EXP(-LN(2)/25)*EB89+(1-EXP(-LN(2)/25))/(LN(2)/25)*Calculateur!DW90*Calculateur!DY90*VLOOKUP('Données projet'!$B$14,Paramètres!$A$1:$I$89,3,0)*0.475*44/12</f>
        <v>39.373855925690904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47.857203078852251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9.1999999999999993</v>
      </c>
      <c r="N91" s="13">
        <f>IF('Données projet'!$A$36&gt;35,N90+M91-V90,IF(A91&lt;'Données projet'!$A$36,$K$205^A91,IF(A91='Données projet'!$A$36,'Données projet'!$B$36,N90+M91-V90)))</f>
        <v>432.59999999999997</v>
      </c>
      <c r="O91" s="13">
        <f>N91*VLOOKUP('Données projet'!$B$9,Paramètres!$A$1:$I$89,3,0)*VLOOKUP('Données projet'!$B$9,Paramètres!$A$1:$I$89,5,0)</f>
        <v>371.17080000000004</v>
      </c>
      <c r="P91" s="13">
        <f t="shared" si="87"/>
        <v>85.906787171637717</v>
      </c>
      <c r="Q91" s="20">
        <f t="shared" si="54"/>
        <v>796.07679765726914</v>
      </c>
      <c r="R91" s="59">
        <f t="shared" si="55"/>
        <v>1089.4101309906025</v>
      </c>
      <c r="S91" s="59">
        <f ca="1">AVERAGE(OFFSET($R$3,0,0,'Données projet'!$E$9+1,1))-AVERAGE(OFFSET($H$3,0,0,'Données projet'!$E$9+1,1))</f>
        <v>536.21423347711345</v>
      </c>
      <c r="T91" s="59">
        <f t="shared" si="88"/>
        <v>312.14361830038712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4.3820689314749028</v>
      </c>
      <c r="AA91" s="21">
        <f>EXP(-LN(2)/25)*AA90+(1-EXP(-LN(2)/25))/(LN(2)/25)*Calculateur!V91*Calculateur!X91*VLOOKUP('Données projet'!$B$9,Paramètres!$A$1:$I$89,3,0)*0.475*44/12</f>
        <v>41.079961887208491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45.462030818683395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7.333333333333333</v>
      </c>
      <c r="AI91" s="13">
        <f>IF('Données projet'!$A$62&gt;35,AI90+AH91-AQ90,IF(A91&lt;'Données projet'!$A$62,$AF$205^A91,IF(A91='Données projet'!$A$62,'Données projet'!$B$62,AI90+AH91-AQ90)))</f>
        <v>279.33333333333314</v>
      </c>
      <c r="AJ91" s="13">
        <f>AI91*VLOOKUP('Données projet'!$B$10,Paramètres!$A$1:$I$89,3,0)*VLOOKUP('Données projet'!$B$10,Paramètres!$A$1:$I$89,5,0)</f>
        <v>252.74079999999981</v>
      </c>
      <c r="AK91" s="13">
        <f t="shared" si="89"/>
        <v>61.172468963435016</v>
      </c>
      <c r="AL91" s="20">
        <f t="shared" si="58"/>
        <v>546.73227677798229</v>
      </c>
      <c r="AM91" s="59">
        <f t="shared" si="59"/>
        <v>840.06561011131566</v>
      </c>
      <c r="AN91" s="59">
        <f ca="1">AVERAGE(OFFSET($AM$3,0,0,'Données projet'!$E$10+1,1))-AVERAGE(OFFSET($H$3,0,0,'Données projet'!$E$10+1,1))</f>
        <v>528.15559695545812</v>
      </c>
      <c r="AO91" s="59">
        <f t="shared" si="90"/>
        <v>276.26988364830532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7.4213176247612953</v>
      </c>
      <c r="AV91" s="21">
        <f>EXP(-LN(2)/25)*AV90+(1-EXP(-LN(2)/25))/(LN(2)/25)*Calculateur!AQ91*Calculateur!AS91*VLOOKUP('Données projet'!$B$10,Paramètres!$A$1:$I$89,3,0)*0.475*44/12</f>
        <v>34.172864528610205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41.594182153371499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9.1999999999999993</v>
      </c>
      <c r="BD91" s="12">
        <f>IF('Données projet'!$A$88&gt;35,BD90+BC91-BL90,IF(A91&lt;'Données projet'!$A$88,$BA$205^A91,IF(A91='Données projet'!$A$88,'Données projet'!$B$88,BD90+BC91-BL90)))</f>
        <v>432.59999999999997</v>
      </c>
      <c r="BE91" s="13">
        <f>BD91*VLOOKUP('Données projet'!$B$11,Paramètres!$A$1:$I$89,3,0)*VLOOKUP('Données projet'!$B$11,Paramètres!$A$1:$I$89,5,0)</f>
        <v>317.18231999999995</v>
      </c>
      <c r="BF91" s="13">
        <f t="shared" si="91"/>
        <v>74.766779107282645</v>
      </c>
      <c r="BG91" s="20">
        <f t="shared" si="61"/>
        <v>682.64468094518372</v>
      </c>
      <c r="BH91" s="59">
        <f t="shared" si="62"/>
        <v>975.97801427851709</v>
      </c>
      <c r="BI91" s="59">
        <f ca="1">AVERAGE(OFFSET($BH$3,0,0,'Données projet'!$E$11+1,1))-AVERAGE(OFFSET($H$3,0,0,'Données projet'!$E$11+1,1))</f>
        <v>464.3681853739115</v>
      </c>
      <c r="BJ91" s="59">
        <f t="shared" si="92"/>
        <v>272.97841038165217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3.0381342403124441</v>
      </c>
      <c r="BQ91" s="21">
        <f>EXP(-LN(2)/25)*BQ90+(1-EXP(-LN(2)/25))/(LN(2)/25)*Calculateur!BL91*Calculateur!BN91*VLOOKUP('Données projet'!$B$11,Paramètres!$A$1:$I$89,3,0)*0.475*44/12</f>
        <v>28.481167401045731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31.519301641358176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4.4337866711430253E-14</v>
      </c>
      <c r="CA91" s="13">
        <f t="shared" si="93"/>
        <v>7.3222115536967035E-13</v>
      </c>
      <c r="CB91" s="20">
        <f t="shared" si="64"/>
        <v>1.3525069634579169E-12</v>
      </c>
      <c r="CC91" s="59">
        <f t="shared" si="65"/>
        <v>293.33333333333468</v>
      </c>
      <c r="CD91" s="59">
        <f ca="1">AVERAGE(OFFSET($CC$3,0,0,'Données projet'!$E$12+1,1))-AVERAGE(OFFSET($H$3,0,0,'Données projet'!$E$12+1,1))</f>
        <v>288.82868507674738</v>
      </c>
      <c r="CE91" s="59">
        <f t="shared" si="94"/>
        <v>283.48738729114024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45.613649909336573</v>
      </c>
      <c r="CL91" s="21">
        <f>EXP(-LN(2)/25)*CL90+(1-EXP(-LN(2)/25))/(LN(2)/25)*Calculateur!CG91*Calculateur!CI91*VLOOKUP('Données projet'!$B$12,Paramètres!$A$1:$I$89,3,0)*0.475*44/12</f>
        <v>5.6173072779599833</v>
      </c>
      <c r="CM91" s="21">
        <f>EXP(-LN(2)/2)*CM90+(1-EXP(-LN(2)/2))/(LN(2)/2)*CG91*CJ91*VLOOKUP('Données projet'!$B$12,Paramètres!$A$1:$I$89,3,0)*0.475*44/12</f>
        <v>0.10069039558933675</v>
      </c>
      <c r="CN91" s="22">
        <f t="shared" si="66"/>
        <v>51.331647582885893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-2.8421709430404007E-13</v>
      </c>
      <c r="CU91" s="17">
        <f>CT91*VLOOKUP('Données projet'!$B$13,Paramètres!$A$1:$I$89,3,0)*VLOOKUP('Données projet'!$B$13,Paramètres!$A$1:$I$89,5,0)</f>
        <v>-1.8621904018800707E-13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340.49092994349405</v>
      </c>
      <c r="CZ91" s="59">
        <f t="shared" si="96"/>
        <v>331.54434271908832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84.98352304766388</v>
      </c>
      <c r="DG91" s="21">
        <f>EXP(-LN(2)/25)*DG90+(1-EXP(-LN(2)/25))/(LN(2)/25)*Calculateur!DB91*Calculateur!DD91*VLOOKUP('Données projet'!$B$13,Paramètres!$A$1:$I$89,3,0)*0.475*44/12</f>
        <v>2.7005404688113122</v>
      </c>
      <c r="DH91" s="21">
        <f>EXP(-LN(2)/2)*DH90+(1-EXP(-LN(2)/2))/(LN(2)/2)*DB91*DE91*VLOOKUP('Données projet'!$B$13,Paramètres!$A$1:$I$89,3,0)*0.475*44/12</f>
        <v>2.9677636848981739</v>
      </c>
      <c r="DI91" s="22">
        <f t="shared" si="69"/>
        <v>90.651827201373365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7.333333333333333</v>
      </c>
      <c r="DO91" s="12">
        <f>IF('Données projet'!$A$166&gt;35,DO90+DN91-DW90,IF(A91&lt;'Données projet'!$A$166,$DL$205^A91,IF(A91='Données projet'!$A$166,'Données projet'!$B$166,DO90+DN91-DW90)))</f>
        <v>279.33333333333314</v>
      </c>
      <c r="DP91" s="17">
        <f>DO91*VLOOKUP('Données projet'!$B$14,Paramètres!$A$1:$I$89,3,0)*VLOOKUP('Données projet'!$B$14,Paramètres!$A$1:$I$89,5,0)</f>
        <v>283.2439999999998</v>
      </c>
      <c r="DQ91" s="13">
        <f t="shared" si="97"/>
        <v>67.652099057101807</v>
      </c>
      <c r="DR91" s="20">
        <f t="shared" si="70"/>
        <v>611.14403919111862</v>
      </c>
      <c r="DS91" s="59">
        <f t="shared" si="71"/>
        <v>904.47737252445199</v>
      </c>
      <c r="DT91" s="59">
        <f ca="1">AVERAGE(OFFSET($DS$3,0,0,'Données projet'!$E$14+1,1))-AVERAGE(OFFSET($H$3,0,0,'Données projet'!$E$14+1,1))</f>
        <v>586.50020405958992</v>
      </c>
      <c r="DU91" s="59">
        <f t="shared" si="98"/>
        <v>304.44184537595294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8.3169938898186935</v>
      </c>
      <c r="EB91" s="21">
        <f>EXP(-LN(2)/25)*EB90+(1-EXP(-LN(2)/25))/(LN(2)/25)*Calculateur!DW91*Calculateur!DY91*VLOOKUP('Données projet'!$B$14,Paramètres!$A$1:$I$89,3,0)*0.475*44/12</f>
        <v>38.297175764821795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46.614169654640492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9.1999999999999993</v>
      </c>
      <c r="N92" s="13">
        <f>IF('Données projet'!$A$36&gt;35,N91+M92-V91,IF(A92&lt;'Données projet'!$A$36,$K$205^A92,IF(A92='Données projet'!$A$36,'Données projet'!$B$36,N91+M92-V91)))</f>
        <v>441.79999999999995</v>
      </c>
      <c r="O92" s="13">
        <f>N92*VLOOKUP('Données projet'!$B$9,Paramètres!$A$1:$I$89,3,0)*VLOOKUP('Données projet'!$B$9,Paramètres!$A$1:$I$89,5,0)</f>
        <v>379.06439999999998</v>
      </c>
      <c r="P92" s="13">
        <f t="shared" si="87"/>
        <v>87.519105676243697</v>
      </c>
      <c r="Q92" s="20">
        <f t="shared" si="54"/>
        <v>812.63293905279113</v>
      </c>
      <c r="R92" s="59">
        <f t="shared" si="55"/>
        <v>1105.9662723861245</v>
      </c>
      <c r="S92" s="59">
        <f ca="1">AVERAGE(OFFSET($R$3,0,0,'Données projet'!$E$9+1,1))-AVERAGE(OFFSET($H$3,0,0,'Données projet'!$E$9+1,1))</f>
        <v>536.21423347711345</v>
      </c>
      <c r="T92" s="59">
        <f t="shared" si="88"/>
        <v>312.14361830038712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4.2961392325268113</v>
      </c>
      <c r="AA92" s="21">
        <f>EXP(-LN(2)/25)*AA91+(1-EXP(-LN(2)/25))/(LN(2)/25)*Calculateur!V92*Calculateur!X92*VLOOKUP('Données projet'!$B$9,Paramètres!$A$1:$I$89,3,0)*0.475*44/12</f>
        <v>39.956628169101471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44.252767401628283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7.333333333333333</v>
      </c>
      <c r="AI92" s="13">
        <f>IF('Données projet'!$A$62&gt;35,AI91+AH92-AQ91,IF(A92&lt;'Données projet'!$A$62,$AF$205^A92,IF(A92='Données projet'!$A$62,'Données projet'!$B$62,AI91+AH92-AQ91)))</f>
        <v>286.66666666666646</v>
      </c>
      <c r="AJ92" s="13">
        <f>AI92*VLOOKUP('Données projet'!$B$10,Paramètres!$A$1:$I$89,3,0)*VLOOKUP('Données projet'!$B$10,Paramètres!$A$1:$I$89,5,0)</f>
        <v>259.37599999999981</v>
      </c>
      <c r="AK92" s="13">
        <f t="shared" si="89"/>
        <v>62.58934777690127</v>
      </c>
      <c r="AL92" s="20">
        <f t="shared" si="58"/>
        <v>560.7563140447694</v>
      </c>
      <c r="AM92" s="59">
        <f t="shared" si="59"/>
        <v>854.08964737810265</v>
      </c>
      <c r="AN92" s="59">
        <f ca="1">AVERAGE(OFFSET($AM$3,0,0,'Données projet'!$E$10+1,1))-AVERAGE(OFFSET($H$3,0,0,'Données projet'!$E$10+1,1))</f>
        <v>528.15559695545812</v>
      </c>
      <c r="AO92" s="59">
        <f t="shared" si="90"/>
        <v>276.26988364830532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7.2757901126965168</v>
      </c>
      <c r="AV92" s="21">
        <f>EXP(-LN(2)/25)*AV91+(1-EXP(-LN(2)/25))/(LN(2)/25)*Calculateur!AQ92*Calculateur!AS92*VLOOKUP('Données projet'!$B$10,Paramètres!$A$1:$I$89,3,0)*0.475*44/12</f>
        <v>33.238405751002517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40.514195863699037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9.1999999999999993</v>
      </c>
      <c r="BD92" s="12">
        <f>IF('Données projet'!$A$88&gt;35,BD91+BC92-BL91,IF(A92&lt;'Données projet'!$A$88,$BA$205^A92,IF(A92='Données projet'!$A$88,'Données projet'!$B$88,BD91+BC92-BL91)))</f>
        <v>441.79999999999995</v>
      </c>
      <c r="BE92" s="13">
        <f>BD92*VLOOKUP('Données projet'!$B$11,Paramètres!$A$1:$I$89,3,0)*VLOOKUP('Données projet'!$B$11,Paramètres!$A$1:$I$89,5,0)</f>
        <v>323.92775999999992</v>
      </c>
      <c r="BF92" s="13">
        <f t="shared" si="91"/>
        <v>76.170019357015306</v>
      </c>
      <c r="BG92" s="20">
        <f t="shared" si="61"/>
        <v>696.83696571346809</v>
      </c>
      <c r="BH92" s="59">
        <f t="shared" si="62"/>
        <v>990.17029904680135</v>
      </c>
      <c r="BI92" s="59">
        <f ca="1">AVERAGE(OFFSET($BH$3,0,0,'Données projet'!$E$11+1,1))-AVERAGE(OFFSET($H$3,0,0,'Données projet'!$E$11+1,1))</f>
        <v>464.3681853739115</v>
      </c>
      <c r="BJ92" s="59">
        <f t="shared" si="92"/>
        <v>272.97841038165217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2.9785582809388274</v>
      </c>
      <c r="BQ92" s="21">
        <f>EXP(-LN(2)/25)*BQ91+(1-EXP(-LN(2)/25))/(LN(2)/25)*Calculateur!BL92*Calculateur!BN92*VLOOKUP('Données projet'!$B$11,Paramètres!$A$1:$I$89,3,0)*0.475*44/12</f>
        <v>27.702348380704635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30.680906661643462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4.4337866711430253E-14</v>
      </c>
      <c r="CA92" s="13">
        <f t="shared" si="93"/>
        <v>7.3222115536967035E-13</v>
      </c>
      <c r="CB92" s="20">
        <f t="shared" si="64"/>
        <v>1.3525069634579169E-12</v>
      </c>
      <c r="CC92" s="59">
        <f t="shared" si="65"/>
        <v>293.33333333333468</v>
      </c>
      <c r="CD92" s="59">
        <f ca="1">AVERAGE(OFFSET($CC$3,0,0,'Données projet'!$E$12+1,1))-AVERAGE(OFFSET($H$3,0,0,'Données projet'!$E$12+1,1))</f>
        <v>288.82868507674738</v>
      </c>
      <c r="CE92" s="59">
        <f t="shared" si="94"/>
        <v>283.48738729114024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44.719194056193771</v>
      </c>
      <c r="CL92" s="21">
        <f>EXP(-LN(2)/25)*CL91+(1-EXP(-LN(2)/25))/(LN(2)/25)*Calculateur!CG92*Calculateur!CI92*VLOOKUP('Données projet'!$B$12,Paramètres!$A$1:$I$89,3,0)*0.475*44/12</f>
        <v>5.4637017150428164</v>
      </c>
      <c r="CM92" s="21">
        <f>EXP(-LN(2)/2)*CM91+(1-EXP(-LN(2)/2))/(LN(2)/2)*CG92*CJ92*VLOOKUP('Données projet'!$B$12,Paramètres!$A$1:$I$89,3,0)*0.475*44/12</f>
        <v>7.1198861521576048E-2</v>
      </c>
      <c r="CN92" s="22">
        <f t="shared" si="66"/>
        <v>50.254094632758161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-2.8421709430404007E-13</v>
      </c>
      <c r="CU92" s="17">
        <f>CT92*VLOOKUP('Données projet'!$B$13,Paramètres!$A$1:$I$89,3,0)*VLOOKUP('Données projet'!$B$13,Paramètres!$A$1:$I$89,5,0)</f>
        <v>-1.8621904018800707E-13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340.49092994349405</v>
      </c>
      <c r="CZ92" s="59">
        <f t="shared" si="96"/>
        <v>331.54434271908832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83.31704799552999</v>
      </c>
      <c r="DG92" s="21">
        <f>EXP(-LN(2)/25)*DG91+(1-EXP(-LN(2)/25))/(LN(2)/25)*Calculateur!DB92*Calculateur!DD92*VLOOKUP('Données projet'!$B$13,Paramètres!$A$1:$I$89,3,0)*0.475*44/12</f>
        <v>2.6266940476764158</v>
      </c>
      <c r="DH92" s="21">
        <f>EXP(-LN(2)/2)*DH91+(1-EXP(-LN(2)/2))/(LN(2)/2)*DB92*DE92*VLOOKUP('Données projet'!$B$13,Paramètres!$A$1:$I$89,3,0)*0.475*44/12</f>
        <v>2.098525826550675</v>
      </c>
      <c r="DI92" s="22">
        <f t="shared" si="69"/>
        <v>88.042267869757069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7.333333333333333</v>
      </c>
      <c r="DO92" s="12">
        <f>IF('Données projet'!$A$166&gt;35,DO91+DN92-DW91,IF(A92&lt;'Données projet'!$A$166,$DL$205^A92,IF(A92='Données projet'!$A$166,'Données projet'!$B$166,DO91+DN92-DW91)))</f>
        <v>286.66666666666646</v>
      </c>
      <c r="DP92" s="17">
        <f>DO92*VLOOKUP('Données projet'!$B$14,Paramètres!$A$1:$I$89,3,0)*VLOOKUP('Données projet'!$B$14,Paramètres!$A$1:$I$89,5,0)</f>
        <v>290.67999999999978</v>
      </c>
      <c r="DQ92" s="13">
        <f t="shared" si="97"/>
        <v>69.219059283896371</v>
      </c>
      <c r="DR92" s="20">
        <f t="shared" si="70"/>
        <v>626.82419491945245</v>
      </c>
      <c r="DS92" s="59">
        <f t="shared" si="71"/>
        <v>920.15752825278582</v>
      </c>
      <c r="DT92" s="59">
        <f ca="1">AVERAGE(OFFSET($DS$3,0,0,'Données projet'!$E$14+1,1))-AVERAGE(OFFSET($H$3,0,0,'Données projet'!$E$14+1,1))</f>
        <v>586.50020405958992</v>
      </c>
      <c r="DU92" s="59">
        <f t="shared" si="98"/>
        <v>304.44184537595294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8.153902712504717</v>
      </c>
      <c r="EB92" s="21">
        <f>EXP(-LN(2)/25)*EB91+(1-EXP(-LN(2)/25))/(LN(2)/25)*Calculateur!DW92*Calculateur!DY92*VLOOKUP('Données projet'!$B$14,Paramètres!$A$1:$I$89,3,0)*0.475*44/12</f>
        <v>37.249937479571798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45.403840192076515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451</v>
      </c>
      <c r="L93" s="12">
        <f>VLOOKUP(A93,'Données projet'!$A$35:$I$55,9,0)</f>
        <v>9.1999999999999993</v>
      </c>
      <c r="M93" s="12">
        <f t="array" ref="M93">INDEX(L:L,MIN(IF(ISNUMBER(L93:L289),ROW(L93:L289),"")))</f>
        <v>9.1999999999999993</v>
      </c>
      <c r="N93" s="13">
        <f>IF('Données projet'!$A$36&gt;35,N92+M93-V92,IF(A93&lt;'Données projet'!$A$36,$K$205^A93,IF(A93='Données projet'!$A$36,'Données projet'!$B$36,N92+M93-V92)))</f>
        <v>450.99999999999994</v>
      </c>
      <c r="O93" s="13">
        <f>N93*VLOOKUP('Données projet'!$B$9,Paramètres!$A$1:$I$89,3,0)*VLOOKUP('Données projet'!$B$9,Paramètres!$A$1:$I$89,5,0)</f>
        <v>386.95799999999997</v>
      </c>
      <c r="P93" s="13">
        <f t="shared" si="87"/>
        <v>89.12752051283708</v>
      </c>
      <c r="Q93" s="20">
        <f t="shared" si="54"/>
        <v>829.18228155985787</v>
      </c>
      <c r="R93" s="59">
        <f t="shared" si="55"/>
        <v>1122.5156148931912</v>
      </c>
      <c r="S93" s="59">
        <f ca="1">AVERAGE(OFFSET($R$3,0,0,'Données projet'!$E$9+1,1))-AVERAGE(OFFSET($H$3,0,0,'Données projet'!$E$9+1,1))</f>
        <v>536.21423347711345</v>
      </c>
      <c r="T93" s="59">
        <f t="shared" si="88"/>
        <v>312.14361830038712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31</v>
      </c>
      <c r="W93" s="16">
        <f>IF(ISNA(VLOOKUP(A93,'Données projet'!$A$35:$I$55,5,0)),0%,VLOOKUP(A93,'Données projet'!$A$35:$I$55,5,0)*VLOOKUP('Données projet'!$B$9,Paramètres!$A$1:$I$89,7,0))</f>
        <v>0.159</v>
      </c>
      <c r="X93" s="16">
        <f>IF(ISNA(VLOOKUP(A93,'Données projet'!$A$35:$I$55,6,0)),0%,VLOOKUP(A93,'Données projet'!$A$35:$I$55,6,0)*VLOOKUP('Données projet'!$B$9,Paramètres!$A$1:$I$89,7,0))</f>
        <v>0.1855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8.887019446179119</v>
      </c>
      <c r="AA93" s="21">
        <f>EXP(-LN(2)/25)*AA92+(1-EXP(-LN(2)/25))/(LN(2)/25)*Calculateur!V93*Calculateur!X93*VLOOKUP('Données projet'!$B$9,Paramètres!$A$1:$I$89,3,0)*0.475*44/12</f>
        <v>44.296848728774393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53.18386817495351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7.333333333333333</v>
      </c>
      <c r="AI93" s="13">
        <f>IF('Données projet'!$A$62&gt;35,AI92+AH93-AQ92,IF(A93&lt;'Données projet'!$A$62,$AF$205^A93,IF(A93='Données projet'!$A$62,'Données projet'!$B$62,AI92+AH93-AQ92)))</f>
        <v>293.99999999999977</v>
      </c>
      <c r="AJ93" s="13">
        <f>AI93*VLOOKUP('Données projet'!$B$10,Paramètres!$A$1:$I$89,3,0)*VLOOKUP('Données projet'!$B$10,Paramètres!$A$1:$I$89,5,0)</f>
        <v>266.0111999999998</v>
      </c>
      <c r="AK93" s="13">
        <f t="shared" si="89"/>
        <v>64.00201337612566</v>
      </c>
      <c r="AL93" s="20">
        <f t="shared" si="58"/>
        <v>574.77301329675186</v>
      </c>
      <c r="AM93" s="59">
        <f t="shared" si="59"/>
        <v>868.10634663008523</v>
      </c>
      <c r="AN93" s="59">
        <f ca="1">AVERAGE(OFFSET($AM$3,0,0,'Données projet'!$E$10+1,1))-AVERAGE(OFFSET($H$3,0,0,'Données projet'!$E$10+1,1))</f>
        <v>528.15559695545812</v>
      </c>
      <c r="AO93" s="59">
        <f t="shared" si="90"/>
        <v>276.26988364830532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7.1331163063803107</v>
      </c>
      <c r="AV93" s="21">
        <f>EXP(-LN(2)/25)*AV92+(1-EXP(-LN(2)/25))/(LN(2)/25)*Calculateur!AQ93*Calculateur!AS93*VLOOKUP('Données projet'!$B$10,Paramètres!$A$1:$I$89,3,0)*0.475*44/12</f>
        <v>32.329499797809561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39.46261610418987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451</v>
      </c>
      <c r="BB93" s="12">
        <f>VLOOKUP(A93,'Données projet'!$A$87:$I$107,9,0)</f>
        <v>9.1999999999999993</v>
      </c>
      <c r="BC93" s="12">
        <f t="array" ref="BC93">INDEX(BB:BB,MIN(IF(ISNUMBER(BB93:BB289),ROW(BB93:BB289),"")))</f>
        <v>9.1999999999999993</v>
      </c>
      <c r="BD93" s="12">
        <f>IF('Données projet'!$A$88&gt;35,BD92+BC93-BL92,IF(A93&lt;'Données projet'!$A$88,$BA$205^A93,IF(A93='Données projet'!$A$88,'Données projet'!$B$88,BD92+BC93-BL92)))</f>
        <v>450.99999999999994</v>
      </c>
      <c r="BE93" s="13">
        <f>BD93*VLOOKUP('Données projet'!$B$11,Paramètres!$A$1:$I$89,3,0)*VLOOKUP('Données projet'!$B$11,Paramètres!$A$1:$I$89,5,0)</f>
        <v>330.67319999999995</v>
      </c>
      <c r="BF93" s="13">
        <f t="shared" si="91"/>
        <v>77.56986214894971</v>
      </c>
      <c r="BG93" s="20">
        <f t="shared" si="61"/>
        <v>711.02333324275389</v>
      </c>
      <c r="BH93" s="59">
        <f t="shared" si="62"/>
        <v>1004.3566665760873</v>
      </c>
      <c r="BI93" s="59">
        <f ca="1">AVERAGE(OFFSET($BH$3,0,0,'Données projet'!$E$11+1,1))-AVERAGE(OFFSET($H$3,0,0,'Données projet'!$E$11+1,1))</f>
        <v>464.3681853739115</v>
      </c>
      <c r="BJ93" s="59">
        <f t="shared" si="92"/>
        <v>272.97841038165217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31</v>
      </c>
      <c r="BM93" s="16">
        <f>IF(ISNA(VLOOKUP(A93,'Données projet'!$A$87:$I$107,5,0)),0%,VLOOKUP(A93,'Données projet'!$A$87:$I$107,5,0)*VLOOKUP('Données projet'!$B$11,Paramètres!$A$1:$I$89,7,0))</f>
        <v>0.129</v>
      </c>
      <c r="BN93" s="16">
        <f>IF(ISNA(VLOOKUP(A93,'Données projet'!$A$87:$I$107,6,0)),0%,VLOOKUP(A93,'Données projet'!$A$87:$I$107,6,0)*VLOOKUP('Données projet'!$B$11,Paramètres!$A$1:$I$89,7,0))</f>
        <v>0.15049999999999999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6.1614635680027421</v>
      </c>
      <c r="BQ93" s="21">
        <f>EXP(-LN(2)/25)*BQ92+(1-EXP(-LN(2)/25))/(LN(2)/25)*Calculateur!BL93*Calculateur!BN93*VLOOKUP('Données projet'!$B$11,Paramètres!$A$1:$I$89,3,0)*0.475*44/12</f>
        <v>30.71146870698216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36.872932274984905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4.4337866711430253E-14</v>
      </c>
      <c r="CA93" s="13">
        <f t="shared" si="93"/>
        <v>7.3222115536967035E-13</v>
      </c>
      <c r="CB93" s="20">
        <f t="shared" si="64"/>
        <v>1.3525069634579169E-12</v>
      </c>
      <c r="CC93" s="59">
        <f t="shared" si="65"/>
        <v>293.33333333333468</v>
      </c>
      <c r="CD93" s="59">
        <f ca="1">AVERAGE(OFFSET($CC$3,0,0,'Données projet'!$E$12+1,1))-AVERAGE(OFFSET($H$3,0,0,'Données projet'!$E$12+1,1))</f>
        <v>288.82868507674738</v>
      </c>
      <c r="CE93" s="59">
        <f t="shared" si="94"/>
        <v>283.48738729114024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43.842277936766905</v>
      </c>
      <c r="CL93" s="21">
        <f>EXP(-LN(2)/25)*CL92+(1-EXP(-LN(2)/25))/(LN(2)/25)*Calculateur!CG93*Calculateur!CI93*VLOOKUP('Données projet'!$B$12,Paramètres!$A$1:$I$89,3,0)*0.475*44/12</f>
        <v>5.3142965043213852</v>
      </c>
      <c r="CM93" s="21">
        <f>EXP(-LN(2)/2)*CM92+(1-EXP(-LN(2)/2))/(LN(2)/2)*CG93*CJ93*VLOOKUP('Données projet'!$B$12,Paramètres!$A$1:$I$89,3,0)*0.475*44/12</f>
        <v>5.0345197794668374E-2</v>
      </c>
      <c r="CN93" s="22">
        <f t="shared" si="66"/>
        <v>49.206919638882958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-2.8421709430404007E-13</v>
      </c>
      <c r="CU93" s="17">
        <f>CT93*VLOOKUP('Données projet'!$B$13,Paramètres!$A$1:$I$89,3,0)*VLOOKUP('Données projet'!$B$13,Paramètres!$A$1:$I$89,5,0)</f>
        <v>-1.8621904018800707E-13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340.49092994349405</v>
      </c>
      <c r="CZ93" s="59">
        <f t="shared" si="96"/>
        <v>331.54434271908832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81.683251502719031</v>
      </c>
      <c r="DG93" s="21">
        <f>EXP(-LN(2)/25)*DG92+(1-EXP(-LN(2)/25))/(LN(2)/25)*Calculateur!DB93*Calculateur!DD93*VLOOKUP('Données projet'!$B$13,Paramètres!$A$1:$I$89,3,0)*0.475*44/12</f>
        <v>2.5548669608108678</v>
      </c>
      <c r="DH93" s="21">
        <f>EXP(-LN(2)/2)*DH92+(1-EXP(-LN(2)/2))/(LN(2)/2)*DB93*DE93*VLOOKUP('Données projet'!$B$13,Paramètres!$A$1:$I$89,3,0)*0.475*44/12</f>
        <v>1.4838818424490869</v>
      </c>
      <c r="DI93" s="22">
        <f t="shared" si="69"/>
        <v>85.722000305978995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7.333333333333333</v>
      </c>
      <c r="DO93" s="12">
        <f>IF('Données projet'!$A$166&gt;35,DO92+DN93-DW92,IF(A93&lt;'Données projet'!$A$166,$DL$205^A93,IF(A93='Données projet'!$A$166,'Données projet'!$B$166,DO92+DN93-DW92)))</f>
        <v>293.99999999999977</v>
      </c>
      <c r="DP93" s="17">
        <f>DO93*VLOOKUP('Données projet'!$B$14,Paramètres!$A$1:$I$89,3,0)*VLOOKUP('Données projet'!$B$14,Paramètres!$A$1:$I$89,5,0)</f>
        <v>298.11599999999976</v>
      </c>
      <c r="DQ93" s="13">
        <f t="shared" si="97"/>
        <v>70.781360016116508</v>
      </c>
      <c r="DR93" s="20">
        <f t="shared" si="70"/>
        <v>642.49623536140246</v>
      </c>
      <c r="DS93" s="59">
        <f t="shared" si="71"/>
        <v>935.82956869473583</v>
      </c>
      <c r="DT93" s="59">
        <f ca="1">AVERAGE(OFFSET($DS$3,0,0,'Données projet'!$E$14+1,1))-AVERAGE(OFFSET($H$3,0,0,'Données projet'!$E$14+1,1))</f>
        <v>586.50020405958992</v>
      </c>
      <c r="DU93" s="59">
        <f t="shared" si="98"/>
        <v>304.44184537595294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7.9940096537020731</v>
      </c>
      <c r="EB93" s="21">
        <f>EXP(-LN(2)/25)*EB92+(1-EXP(-LN(2)/25))/(LN(2)/25)*Calculateur!DW93*Calculateur!DY93*VLOOKUP('Données projet'!$B$14,Paramètres!$A$1:$I$89,3,0)*0.475*44/12</f>
        <v>36.231335980303832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44.225345634005905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8.6</v>
      </c>
      <c r="N94" s="13">
        <f>IF('Données projet'!$A$36&gt;35,N93+M94-V93,IF(A94&lt;'Données projet'!$A$36,$K$205^A94,IF(A94='Données projet'!$A$36,'Données projet'!$B$36,N93+M94-V93)))</f>
        <v>428.59999999999997</v>
      </c>
      <c r="O94" s="13">
        <f>N94*VLOOKUP('Données projet'!$B$9,Paramètres!$A$1:$I$89,3,0)*VLOOKUP('Données projet'!$B$9,Paramètres!$A$1:$I$89,5,0)</f>
        <v>367.73879999999997</v>
      </c>
      <c r="P94" s="13">
        <f t="shared" si="87"/>
        <v>85.20453819128241</v>
      </c>
      <c r="Q94" s="20">
        <f t="shared" si="54"/>
        <v>788.87631401648343</v>
      </c>
      <c r="R94" s="59">
        <f t="shared" si="55"/>
        <v>1082.2096473498168</v>
      </c>
      <c r="S94" s="59">
        <f ca="1">AVERAGE(OFFSET($R$3,0,0,'Données projet'!$E$9+1,1))-AVERAGE(OFFSET($H$3,0,0,'Données projet'!$E$9+1,1))</f>
        <v>536.21423347711345</v>
      </c>
      <c r="T94" s="59">
        <f t="shared" si="88"/>
        <v>312.14361830038712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8.7127504153861732</v>
      </c>
      <c r="AA94" s="21">
        <f>EXP(-LN(2)/25)*AA93+(1-EXP(-LN(2)/25))/(LN(2)/25)*Calculateur!V94*Calculateur!X94*VLOOKUP('Données projet'!$B$9,Paramètres!$A$1:$I$89,3,0)*0.475*44/12</f>
        <v>43.085549070816022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51.798299486202197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7.333333333333333</v>
      </c>
      <c r="AI94" s="13">
        <f>IF('Données projet'!$A$62&gt;35,AI93+AH94-AQ93,IF(A94&lt;'Données projet'!$A$62,$AF$205^A94,IF(A94='Données projet'!$A$62,'Données projet'!$B$62,AI93+AH94-AQ93)))</f>
        <v>301.33333333333309</v>
      </c>
      <c r="AJ94" s="13">
        <f>AI94*VLOOKUP('Données projet'!$B$10,Paramètres!$A$1:$I$89,3,0)*VLOOKUP('Données projet'!$B$10,Paramètres!$A$1:$I$89,5,0)</f>
        <v>272.64639999999974</v>
      </c>
      <c r="AK94" s="13">
        <f t="shared" si="89"/>
        <v>65.41058293969752</v>
      </c>
      <c r="AL94" s="20">
        <f t="shared" si="58"/>
        <v>588.7825786199727</v>
      </c>
      <c r="AM94" s="59">
        <f t="shared" si="59"/>
        <v>882.11591195330607</v>
      </c>
      <c r="AN94" s="59">
        <f ca="1">AVERAGE(OFFSET($AM$3,0,0,'Données projet'!$E$10+1,1))-AVERAGE(OFFSET($H$3,0,0,'Données projet'!$E$10+1,1))</f>
        <v>528.15559695545812</v>
      </c>
      <c r="AO94" s="59">
        <f t="shared" si="90"/>
        <v>276.26988364830532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6.9932402463835368</v>
      </c>
      <c r="AV94" s="21">
        <f>EXP(-LN(2)/25)*AV93+(1-EXP(-LN(2)/25))/(LN(2)/25)*Calculateur!AQ94*Calculateur!AS94*VLOOKUP('Données projet'!$B$10,Paramètres!$A$1:$I$89,3,0)*0.475*44/12</f>
        <v>31.445447925703956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38.438688172087495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8.6</v>
      </c>
      <c r="BD94" s="12">
        <f>IF('Données projet'!$A$88&gt;35,BD93+BC94-BL93,IF(A94&lt;'Données projet'!$A$88,$BA$205^A94,IF(A94='Données projet'!$A$88,'Données projet'!$B$88,BD93+BC94-BL93)))</f>
        <v>428.59999999999997</v>
      </c>
      <c r="BE94" s="13">
        <f>BD94*VLOOKUP('Données projet'!$B$11,Paramètres!$A$1:$I$89,3,0)*VLOOKUP('Données projet'!$B$11,Paramètres!$A$1:$I$89,5,0)</f>
        <v>314.24951999999996</v>
      </c>
      <c r="BF94" s="13">
        <f t="shared" si="91"/>
        <v>74.155594634888885</v>
      </c>
      <c r="BG94" s="20">
        <f t="shared" si="61"/>
        <v>676.47224132243139</v>
      </c>
      <c r="BH94" s="59">
        <f t="shared" si="62"/>
        <v>969.80557465576476</v>
      </c>
      <c r="BI94" s="59">
        <f ca="1">AVERAGE(OFFSET($BH$3,0,0,'Données projet'!$E$11+1,1))-AVERAGE(OFFSET($H$3,0,0,'Données projet'!$E$11+1,1))</f>
        <v>464.3681853739115</v>
      </c>
      <c r="BJ94" s="59">
        <f t="shared" si="92"/>
        <v>272.97841038165217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6.0406410255559013</v>
      </c>
      <c r="BQ94" s="21">
        <f>EXP(-LN(2)/25)*BQ93+(1-EXP(-LN(2)/25))/(LN(2)/25)*Calculateur!BL94*Calculateur!BN94*VLOOKUP('Données projet'!$B$11,Paramètres!$A$1:$I$89,3,0)*0.475*44/12</f>
        <v>29.871661980143784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35.912303005699684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4.4337866711430253E-14</v>
      </c>
      <c r="CA94" s="13">
        <f t="shared" si="93"/>
        <v>7.3222115536967035E-13</v>
      </c>
      <c r="CB94" s="20">
        <f t="shared" si="64"/>
        <v>1.3525069634579169E-12</v>
      </c>
      <c r="CC94" s="59">
        <f t="shared" si="65"/>
        <v>293.33333333333468</v>
      </c>
      <c r="CD94" s="59">
        <f ca="1">AVERAGE(OFFSET($CC$3,0,0,'Données projet'!$E$12+1,1))-AVERAGE(OFFSET($H$3,0,0,'Données projet'!$E$12+1,1))</f>
        <v>288.82868507674738</v>
      </c>
      <c r="CE94" s="59">
        <f t="shared" si="94"/>
        <v>283.48738729114024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42.982557607575977</v>
      </c>
      <c r="CL94" s="21">
        <f>EXP(-LN(2)/25)*CL93+(1-EXP(-LN(2)/25))/(LN(2)/25)*Calculateur!CG94*Calculateur!CI94*VLOOKUP('Données projet'!$B$12,Paramètres!$A$1:$I$89,3,0)*0.475*44/12</f>
        <v>5.1689767869440102</v>
      </c>
      <c r="CM94" s="21">
        <f>EXP(-LN(2)/2)*CM93+(1-EXP(-LN(2)/2))/(LN(2)/2)*CG94*CJ94*VLOOKUP('Données projet'!$B$12,Paramètres!$A$1:$I$89,3,0)*0.475*44/12</f>
        <v>3.5599430760788024E-2</v>
      </c>
      <c r="CN94" s="22">
        <f t="shared" si="66"/>
        <v>48.187133825280775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-2.8421709430404007E-13</v>
      </c>
      <c r="CU94" s="17">
        <f>CT94*VLOOKUP('Données projet'!$B$13,Paramètres!$A$1:$I$89,3,0)*VLOOKUP('Données projet'!$B$13,Paramètres!$A$1:$I$89,5,0)</f>
        <v>-1.8621904018800707E-13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340.49092994349405</v>
      </c>
      <c r="CZ94" s="59">
        <f t="shared" si="96"/>
        <v>331.54434271908832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80.08149276261463</v>
      </c>
      <c r="DG94" s="21">
        <f>EXP(-LN(2)/25)*DG93+(1-EXP(-LN(2)/25))/(LN(2)/25)*Calculateur!DB94*Calculateur!DD94*VLOOKUP('Données projet'!$B$13,Paramètres!$A$1:$I$89,3,0)*0.475*44/12</f>
        <v>2.4850039894128804</v>
      </c>
      <c r="DH94" s="21">
        <f>EXP(-LN(2)/2)*DH93+(1-EXP(-LN(2)/2))/(LN(2)/2)*DB94*DE94*VLOOKUP('Données projet'!$B$13,Paramètres!$A$1:$I$89,3,0)*0.475*44/12</f>
        <v>1.0492629132753375</v>
      </c>
      <c r="DI94" s="22">
        <f t="shared" si="69"/>
        <v>83.615759665302846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7.333333333333333</v>
      </c>
      <c r="DO94" s="12">
        <f>IF('Données projet'!$A$166&gt;35,DO93+DN94-DW93,IF(A94&lt;'Données projet'!$A$166,$DL$205^A94,IF(A94='Données projet'!$A$166,'Données projet'!$B$166,DO93+DN94-DW93)))</f>
        <v>301.33333333333309</v>
      </c>
      <c r="DP94" s="17">
        <f>DO94*VLOOKUP('Données projet'!$B$14,Paramètres!$A$1:$I$89,3,0)*VLOOKUP('Données projet'!$B$14,Paramètres!$A$1:$I$89,5,0)</f>
        <v>305.55199999999974</v>
      </c>
      <c r="DQ94" s="13">
        <f t="shared" si="97"/>
        <v>72.339130844371653</v>
      </c>
      <c r="DR94" s="20">
        <f t="shared" si="70"/>
        <v>658.16038622061342</v>
      </c>
      <c r="DS94" s="59">
        <f t="shared" si="71"/>
        <v>951.49371955394668</v>
      </c>
      <c r="DT94" s="59">
        <f ca="1">AVERAGE(OFFSET($DS$3,0,0,'Données projet'!$E$14+1,1))-AVERAGE(OFFSET($H$3,0,0,'Données projet'!$E$14+1,1))</f>
        <v>586.50020405958992</v>
      </c>
      <c r="DU94" s="59">
        <f t="shared" si="98"/>
        <v>304.44184537595294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7.8372520002574122</v>
      </c>
      <c r="EB94" s="21">
        <f>EXP(-LN(2)/25)*EB93+(1-EXP(-LN(2)/25))/(LN(2)/25)*Calculateur!DW94*Calculateur!DY94*VLOOKUP('Données projet'!$B$14,Paramètres!$A$1:$I$89,3,0)*0.475*44/12</f>
        <v>35.240588192599276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43.077840192856691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8.6</v>
      </c>
      <c r="N95" s="13">
        <f>IF('Données projet'!$A$36&gt;35,N94+M95-V94,IF(A95&lt;'Données projet'!$A$36,$K$205^A95,IF(A95='Données projet'!$A$36,'Données projet'!$B$36,N94+M95-V94)))</f>
        <v>437.2</v>
      </c>
      <c r="O95" s="13">
        <f>N95*VLOOKUP('Données projet'!$B$9,Paramètres!$A$1:$I$89,3,0)*VLOOKUP('Données projet'!$B$9,Paramètres!$A$1:$I$89,5,0)</f>
        <v>375.11760000000004</v>
      </c>
      <c r="P95" s="13">
        <f t="shared" si="87"/>
        <v>86.713440086205196</v>
      </c>
      <c r="Q95" s="20">
        <f t="shared" si="54"/>
        <v>804.35572815014075</v>
      </c>
      <c r="R95" s="59">
        <f t="shared" si="55"/>
        <v>1097.689061483474</v>
      </c>
      <c r="S95" s="59">
        <f ca="1">AVERAGE(OFFSET($R$3,0,0,'Données projet'!$E$9+1,1))-AVERAGE(OFFSET($H$3,0,0,'Données projet'!$E$9+1,1))</f>
        <v>536.21423347711345</v>
      </c>
      <c r="T95" s="59">
        <f t="shared" si="88"/>
        <v>312.14361830038712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8.5418986939934651</v>
      </c>
      <c r="AA95" s="21">
        <f>EXP(-LN(2)/25)*AA94+(1-EXP(-LN(2)/25))/(LN(2)/25)*Calculateur!V95*Calculateur!X95*VLOOKUP('Données projet'!$B$9,Paramètres!$A$1:$I$89,3,0)*0.475*44/12</f>
        <v>41.907372465704007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50.449271159697474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7.333333333333333</v>
      </c>
      <c r="AI95" s="13">
        <f>IF('Données projet'!$A$62&gt;35,AI94+AH95-AQ94,IF(A95&lt;'Données projet'!$A$62,$AF$205^A95,IF(A95='Données projet'!$A$62,'Données projet'!$B$62,AI94+AH95-AQ94)))</f>
        <v>308.6666666666664</v>
      </c>
      <c r="AJ95" s="13">
        <f>AI95*VLOOKUP('Données projet'!$B$10,Paramètres!$A$1:$I$89,3,0)*VLOOKUP('Données projet'!$B$10,Paramètres!$A$1:$I$89,5,0)</f>
        <v>279.28159999999974</v>
      </c>
      <c r="AK95" s="13">
        <f t="shared" si="89"/>
        <v>66.815167617634344</v>
      </c>
      <c r="AL95" s="20">
        <f t="shared" si="58"/>
        <v>602.78520360071263</v>
      </c>
      <c r="AM95" s="59">
        <f t="shared" si="59"/>
        <v>896.11853693404601</v>
      </c>
      <c r="AN95" s="59">
        <f ca="1">AVERAGE(OFFSET($AM$3,0,0,'Données projet'!$E$10+1,1))-AVERAGE(OFFSET($H$3,0,0,'Données projet'!$E$10+1,1))</f>
        <v>528.15559695545812</v>
      </c>
      <c r="AO95" s="59">
        <f t="shared" si="90"/>
        <v>276.26988364830532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6.8561070706073268</v>
      </c>
      <c r="AV95" s="21">
        <f>EXP(-LN(2)/25)*AV94+(1-EXP(-LN(2)/25))/(LN(2)/25)*Calculateur!AQ95*Calculateur!AS95*VLOOKUP('Données projet'!$B$10,Paramètres!$A$1:$I$89,3,0)*0.475*44/12</f>
        <v>30.585570498531343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37.441677569138669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8.6</v>
      </c>
      <c r="BD95" s="12">
        <f>IF('Données projet'!$A$88&gt;35,BD94+BC95-BL94,IF(A95&lt;'Données projet'!$A$88,$BA$205^A95,IF(A95='Données projet'!$A$88,'Données projet'!$B$88,BD94+BC95-BL94)))</f>
        <v>437.2</v>
      </c>
      <c r="BE95" s="13">
        <f>BD95*VLOOKUP('Données projet'!$B$11,Paramètres!$A$1:$I$89,3,0)*VLOOKUP('Données projet'!$B$11,Paramètres!$A$1:$I$89,5,0)</f>
        <v>320.55503999999996</v>
      </c>
      <c r="BF95" s="13">
        <f t="shared" si="91"/>
        <v>75.468828878498272</v>
      </c>
      <c r="BG95" s="20">
        <f t="shared" si="61"/>
        <v>689.741571630051</v>
      </c>
      <c r="BH95" s="59">
        <f t="shared" si="62"/>
        <v>983.07490496338437</v>
      </c>
      <c r="BI95" s="59">
        <f ca="1">AVERAGE(OFFSET($BH$3,0,0,'Données projet'!$E$11+1,1))-AVERAGE(OFFSET($H$3,0,0,'Données projet'!$E$11+1,1))</f>
        <v>464.3681853739115</v>
      </c>
      <c r="BJ95" s="59">
        <f t="shared" si="92"/>
        <v>272.97841038165217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5.9221877394719691</v>
      </c>
      <c r="BQ95" s="21">
        <f>EXP(-LN(2)/25)*BQ94+(1-EXP(-LN(2)/25))/(LN(2)/25)*Calculateur!BL95*Calculateur!BN95*VLOOKUP('Données projet'!$B$11,Paramètres!$A$1:$I$89,3,0)*0.475*44/12</f>
        <v>29.054819812414323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34.977007551886288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4.4337866711430253E-14</v>
      </c>
      <c r="CA95" s="13">
        <f t="shared" si="93"/>
        <v>7.3222115536967035E-13</v>
      </c>
      <c r="CB95" s="20">
        <f t="shared" si="64"/>
        <v>1.3525069634579169E-12</v>
      </c>
      <c r="CC95" s="59">
        <f t="shared" si="65"/>
        <v>293.33333333333468</v>
      </c>
      <c r="CD95" s="59">
        <f ca="1">AVERAGE(OFFSET($CC$3,0,0,'Données projet'!$E$12+1,1))-AVERAGE(OFFSET($H$3,0,0,'Données projet'!$E$12+1,1))</f>
        <v>288.82868507674738</v>
      </c>
      <c r="CE95" s="59">
        <f t="shared" si="94"/>
        <v>283.48738729114024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42.139695869662859</v>
      </c>
      <c r="CL95" s="21">
        <f>EXP(-LN(2)/25)*CL94+(1-EXP(-LN(2)/25))/(LN(2)/25)*Calculateur!CG95*Calculateur!CI95*VLOOKUP('Données projet'!$B$12,Paramètres!$A$1:$I$89,3,0)*0.475*44/12</f>
        <v>5.0276308448803508</v>
      </c>
      <c r="CM95" s="21">
        <f>EXP(-LN(2)/2)*CM94+(1-EXP(-LN(2)/2))/(LN(2)/2)*CG95*CJ95*VLOOKUP('Données projet'!$B$12,Paramètres!$A$1:$I$89,3,0)*0.475*44/12</f>
        <v>2.5172598897334187E-2</v>
      </c>
      <c r="CN95" s="22">
        <f t="shared" si="66"/>
        <v>47.192499313440543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-2.8421709430404007E-13</v>
      </c>
      <c r="CU95" s="17">
        <f>CT95*VLOOKUP('Données projet'!$B$13,Paramètres!$A$1:$I$89,3,0)*VLOOKUP('Données projet'!$B$13,Paramètres!$A$1:$I$89,5,0)</f>
        <v>-1.8621904018800707E-13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340.49092994349405</v>
      </c>
      <c r="CZ95" s="59">
        <f t="shared" si="96"/>
        <v>331.54434271908832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78.511143534427305</v>
      </c>
      <c r="DG95" s="21">
        <f>EXP(-LN(2)/25)*DG94+(1-EXP(-LN(2)/25))/(LN(2)/25)*Calculateur!DB95*Calculateur!DD95*VLOOKUP('Données projet'!$B$13,Paramètres!$A$1:$I$89,3,0)*0.475*44/12</f>
        <v>2.4170514246417047</v>
      </c>
      <c r="DH95" s="21">
        <f>EXP(-LN(2)/2)*DH94+(1-EXP(-LN(2)/2))/(LN(2)/2)*DB95*DE95*VLOOKUP('Données projet'!$B$13,Paramètres!$A$1:$I$89,3,0)*0.475*44/12</f>
        <v>0.74194092122454347</v>
      </c>
      <c r="DI95" s="22">
        <f t="shared" si="69"/>
        <v>81.670135880293543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7.333333333333333</v>
      </c>
      <c r="DO95" s="12">
        <f>IF('Données projet'!$A$166&gt;35,DO94+DN95-DW94,IF(A95&lt;'Données projet'!$A$166,$DL$205^A95,IF(A95='Données projet'!$A$166,'Données projet'!$B$166,DO94+DN95-DW94)))</f>
        <v>308.6666666666664</v>
      </c>
      <c r="DP95" s="17">
        <f>DO95*VLOOKUP('Données projet'!$B$14,Paramètres!$A$1:$I$89,3,0)*VLOOKUP('Données projet'!$B$14,Paramètres!$A$1:$I$89,5,0)</f>
        <v>312.98799999999972</v>
      </c>
      <c r="DQ95" s="13">
        <f t="shared" si="97"/>
        <v>73.892494692129191</v>
      </c>
      <c r="DR95" s="20">
        <f t="shared" si="70"/>
        <v>673.81686158879108</v>
      </c>
      <c r="DS95" s="59">
        <f t="shared" si="71"/>
        <v>967.15019492212446</v>
      </c>
      <c r="DT95" s="59">
        <f ca="1">AVERAGE(OFFSET($DS$3,0,0,'Données projet'!$E$14+1,1))-AVERAGE(OFFSET($H$3,0,0,'Données projet'!$E$14+1,1))</f>
        <v>586.50020405958992</v>
      </c>
      <c r="DU95" s="59">
        <f t="shared" si="98"/>
        <v>304.44184537595294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7.6835682687840743</v>
      </c>
      <c r="EB95" s="21">
        <f>EXP(-LN(2)/25)*EB94+(1-EXP(-LN(2)/25))/(LN(2)/25)*Calculateur!DW95*Calculateur!DY95*VLOOKUP('Données projet'!$B$14,Paramètres!$A$1:$I$89,3,0)*0.475*44/12</f>
        <v>34.276932455250659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41.960500724034731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8.6</v>
      </c>
      <c r="N96" s="13">
        <f>IF('Données projet'!$A$36&gt;35,N95+M96-V95,IF(A96&lt;'Données projet'!$A$36,$K$205^A96,IF(A96='Données projet'!$A$36,'Données projet'!$B$36,N95+M96-V95)))</f>
        <v>445.8</v>
      </c>
      <c r="O96" s="13">
        <f>N96*VLOOKUP('Données projet'!$B$9,Paramètres!$A$1:$I$89,3,0)*VLOOKUP('Données projet'!$B$9,Paramètres!$A$1:$I$89,5,0)</f>
        <v>382.49640000000005</v>
      </c>
      <c r="P96" s="13">
        <f t="shared" si="87"/>
        <v>88.218890823541386</v>
      </c>
      <c r="Q96" s="20">
        <f t="shared" si="54"/>
        <v>819.82913151766786</v>
      </c>
      <c r="R96" s="59">
        <f t="shared" si="55"/>
        <v>1113.1624648510012</v>
      </c>
      <c r="S96" s="59">
        <f ca="1">AVERAGE(OFFSET($R$3,0,0,'Données projet'!$E$9+1,1))-AVERAGE(OFFSET($H$3,0,0,'Données projet'!$E$9+1,1))</f>
        <v>536.21423347711345</v>
      </c>
      <c r="T96" s="59">
        <f t="shared" si="88"/>
        <v>312.14361830038712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8.3743972706480072</v>
      </c>
      <c r="AA96" s="21">
        <f>EXP(-LN(2)/25)*AA95+(1-EXP(-LN(2)/25))/(LN(2)/25)*Calculateur!V96*Calculateur!X96*VLOOKUP('Données projet'!$B$9,Paramètres!$A$1:$I$89,3,0)*0.475*44/12</f>
        <v>40.761413161816392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49.135810432464396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7.333333333333333</v>
      </c>
      <c r="AI96" s="13">
        <f>IF('Données projet'!$A$62&gt;35,AI95+AH96-AQ95,IF(A96&lt;'Données projet'!$A$62,$AF$205^A96,IF(A96='Données projet'!$A$62,'Données projet'!$B$62,AI95+AH96-AQ95)))</f>
        <v>315.99999999999972</v>
      </c>
      <c r="AJ96" s="13">
        <f>AI96*VLOOKUP('Données projet'!$B$10,Paramètres!$A$1:$I$89,3,0)*VLOOKUP('Données projet'!$B$10,Paramètres!$A$1:$I$89,5,0)</f>
        <v>285.91679999999974</v>
      </c>
      <c r="AK96" s="13">
        <f t="shared" si="89"/>
        <v>68.215872977287475</v>
      </c>
      <c r="AL96" s="20">
        <f t="shared" si="58"/>
        <v>616.7810721021084</v>
      </c>
      <c r="AM96" s="59">
        <f t="shared" si="59"/>
        <v>910.11440543544177</v>
      </c>
      <c r="AN96" s="59">
        <f ca="1">AVERAGE(OFFSET($AM$3,0,0,'Données projet'!$E$10+1,1))-AVERAGE(OFFSET($H$3,0,0,'Données projet'!$E$10+1,1))</f>
        <v>528.15559695545812</v>
      </c>
      <c r="AO96" s="59">
        <f t="shared" si="90"/>
        <v>276.26988364830532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6.7216629927651104</v>
      </c>
      <c r="AV96" s="21">
        <f>EXP(-LN(2)/25)*AV95+(1-EXP(-LN(2)/25))/(LN(2)/25)*Calculateur!AQ96*Calculateur!AS96*VLOOKUP('Données projet'!$B$10,Paramètres!$A$1:$I$89,3,0)*0.475*44/12</f>
        <v>29.749206464823754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36.470869457588861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8.6</v>
      </c>
      <c r="BD96" s="12">
        <f>IF('Données projet'!$A$88&gt;35,BD95+BC96-BL95,IF(A96&lt;'Données projet'!$A$88,$BA$205^A96,IF(A96='Données projet'!$A$88,'Données projet'!$B$88,BD95+BC96-BL95)))</f>
        <v>445.8</v>
      </c>
      <c r="BE96" s="13">
        <f>BD96*VLOOKUP('Données projet'!$B$11,Paramètres!$A$1:$I$89,3,0)*VLOOKUP('Données projet'!$B$11,Paramètres!$A$1:$I$89,5,0)</f>
        <v>326.86055999999996</v>
      </c>
      <c r="BF96" s="13">
        <f t="shared" si="91"/>
        <v>76.779059495206354</v>
      </c>
      <c r="BG96" s="20">
        <f t="shared" si="61"/>
        <v>703.00567062081757</v>
      </c>
      <c r="BH96" s="59">
        <f t="shared" si="62"/>
        <v>996.33900395415094</v>
      </c>
      <c r="BI96" s="59">
        <f ca="1">AVERAGE(OFFSET($BH$3,0,0,'Données projet'!$E$11+1,1))-AVERAGE(OFFSET($H$3,0,0,'Données projet'!$E$11+1,1))</f>
        <v>464.3681853739115</v>
      </c>
      <c r="BJ96" s="59">
        <f t="shared" si="92"/>
        <v>272.97841038165217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5.8060572500787719</v>
      </c>
      <c r="BQ96" s="21">
        <f>EXP(-LN(2)/25)*BQ95+(1-EXP(-LN(2)/25))/(LN(2)/25)*Calculateur!BL96*Calculateur!BN96*VLOOKUP('Données projet'!$B$11,Paramètres!$A$1:$I$89,3,0)*0.475*44/12</f>
        <v>28.260314236717285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34.066371486796058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4.4337866711430253E-14</v>
      </c>
      <c r="CA96" s="13">
        <f t="shared" si="93"/>
        <v>7.3222115536967035E-13</v>
      </c>
      <c r="CB96" s="20">
        <f t="shared" si="64"/>
        <v>1.3525069634579169E-12</v>
      </c>
      <c r="CC96" s="59">
        <f t="shared" si="65"/>
        <v>293.33333333333468</v>
      </c>
      <c r="CD96" s="59">
        <f ca="1">AVERAGE(OFFSET($CC$3,0,0,'Données projet'!$E$12+1,1))-AVERAGE(OFFSET($H$3,0,0,'Données projet'!$E$12+1,1))</f>
        <v>288.82868507674738</v>
      </c>
      <c r="CE96" s="59">
        <f t="shared" si="94"/>
        <v>283.48738729114024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41.313362136335321</v>
      </c>
      <c r="CL96" s="21">
        <f>EXP(-LN(2)/25)*CL95+(1-EXP(-LN(2)/25))/(LN(2)/25)*Calculateur!CG96*Calculateur!CI96*VLOOKUP('Données projet'!$B$12,Paramètres!$A$1:$I$89,3,0)*0.475*44/12</f>
        <v>4.8901500150354824</v>
      </c>
      <c r="CM96" s="21">
        <f>EXP(-LN(2)/2)*CM95+(1-EXP(-LN(2)/2))/(LN(2)/2)*CG96*CJ96*VLOOKUP('Données projet'!$B$12,Paramètres!$A$1:$I$89,3,0)*0.475*44/12</f>
        <v>1.7799715380394012E-2</v>
      </c>
      <c r="CN96" s="22">
        <f t="shared" si="66"/>
        <v>46.221311866751194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-2.8421709430404007E-13</v>
      </c>
      <c r="CU96" s="17">
        <f>CT96*VLOOKUP('Données projet'!$B$13,Paramètres!$A$1:$I$89,3,0)*VLOOKUP('Données projet'!$B$13,Paramètres!$A$1:$I$89,5,0)</f>
        <v>-1.8621904018800707E-13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340.49092994349405</v>
      </c>
      <c r="CZ96" s="59">
        <f t="shared" si="96"/>
        <v>331.54434271908832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76.971587896786289</v>
      </c>
      <c r="DG96" s="21">
        <f>EXP(-LN(2)/25)*DG95+(1-EXP(-LN(2)/25))/(LN(2)/25)*Calculateur!DB96*Calculateur!DD96*VLOOKUP('Données projet'!$B$13,Paramètres!$A$1:$I$89,3,0)*0.475*44/12</f>
        <v>2.3509570263276673</v>
      </c>
      <c r="DH96" s="21">
        <f>EXP(-LN(2)/2)*DH95+(1-EXP(-LN(2)/2))/(LN(2)/2)*DB96*DE96*VLOOKUP('Données projet'!$B$13,Paramètres!$A$1:$I$89,3,0)*0.475*44/12</f>
        <v>0.52463145663766875</v>
      </c>
      <c r="DI96" s="22">
        <f t="shared" si="69"/>
        <v>79.847176379751616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7.333333333333333</v>
      </c>
      <c r="DO96" s="12">
        <f>IF('Données projet'!$A$166&gt;35,DO95+DN96-DW95,IF(A96&lt;'Données projet'!$A$166,$DL$205^A96,IF(A96='Données projet'!$A$166,'Données projet'!$B$166,DO95+DN96-DW95)))</f>
        <v>315.99999999999972</v>
      </c>
      <c r="DP96" s="17">
        <f>DO96*VLOOKUP('Données projet'!$B$14,Paramètres!$A$1:$I$89,3,0)*VLOOKUP('Données projet'!$B$14,Paramètres!$A$1:$I$89,5,0)</f>
        <v>320.42399999999975</v>
      </c>
      <c r="DQ96" s="13">
        <f t="shared" si="97"/>
        <v>75.441568308852254</v>
      </c>
      <c r="DR96" s="20">
        <f t="shared" si="70"/>
        <v>689.46586480458382</v>
      </c>
      <c r="DS96" s="59">
        <f t="shared" si="71"/>
        <v>982.79919813791707</v>
      </c>
      <c r="DT96" s="59">
        <f ca="1">AVERAGE(OFFSET($DS$3,0,0,'Données projet'!$E$14+1,1))-AVERAGE(OFFSET($H$3,0,0,'Données projet'!$E$14+1,1))</f>
        <v>586.50020405958992</v>
      </c>
      <c r="DU96" s="59">
        <f t="shared" si="98"/>
        <v>304.44184537595294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7.5328981815471074</v>
      </c>
      <c r="EB96" s="21">
        <f>EXP(-LN(2)/25)*EB95+(1-EXP(-LN(2)/25))/(LN(2)/25)*Calculateur!DW96*Calculateur!DY96*VLOOKUP('Données projet'!$B$14,Paramètres!$A$1:$I$89,3,0)*0.475*44/12</f>
        <v>33.33962793471629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40.872526116263401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8.6</v>
      </c>
      <c r="N97" s="13">
        <f>IF('Données projet'!$A$36&gt;35,N96+M97-V96,IF(A97&lt;'Données projet'!$A$36,$K$205^A97,IF(A97='Données projet'!$A$36,'Données projet'!$B$36,N96+M97-V96)))</f>
        <v>454.40000000000003</v>
      </c>
      <c r="O97" s="13">
        <f>N97*VLOOKUP('Données projet'!$B$9,Paramètres!$A$1:$I$89,3,0)*VLOOKUP('Données projet'!$B$9,Paramètres!$A$1:$I$89,5,0)</f>
        <v>389.87520000000006</v>
      </c>
      <c r="P97" s="13">
        <f t="shared" si="87"/>
        <v>89.720964655579479</v>
      </c>
      <c r="Q97" s="20">
        <f t="shared" si="54"/>
        <v>835.29665344180091</v>
      </c>
      <c r="R97" s="59">
        <f t="shared" si="55"/>
        <v>1128.6299867751343</v>
      </c>
      <c r="S97" s="59">
        <f ca="1">AVERAGE(OFFSET($R$3,0,0,'Données projet'!$E$9+1,1))-AVERAGE(OFFSET($H$3,0,0,'Données projet'!$E$9+1,1))</f>
        <v>536.21423347711345</v>
      </c>
      <c r="T97" s="59">
        <f t="shared" si="88"/>
        <v>312.14361830038712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8.2101804480485736</v>
      </c>
      <c r="AA97" s="21">
        <f>EXP(-LN(2)/25)*AA96+(1-EXP(-LN(2)/25))/(LN(2)/25)*Calculateur!V97*Calculateur!X97*VLOOKUP('Données projet'!$B$9,Paramètres!$A$1:$I$89,3,0)*0.475*44/12</f>
        <v>39.646790175356969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47.856970623405545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7.333333333333333</v>
      </c>
      <c r="AI97" s="13">
        <f>IF('Données projet'!$A$62&gt;35,AI96+AH97-AQ96,IF(A97&lt;'Données projet'!$A$62,$AF$205^A97,IF(A97='Données projet'!$A$62,'Données projet'!$B$62,AI96+AH97-AQ96)))</f>
        <v>323.33333333333303</v>
      </c>
      <c r="AJ97" s="13">
        <f>AI97*VLOOKUP('Données projet'!$B$10,Paramètres!$A$1:$I$89,3,0)*VLOOKUP('Données projet'!$B$10,Paramètres!$A$1:$I$89,5,0)</f>
        <v>292.55199999999968</v>
      </c>
      <c r="AK97" s="13">
        <f t="shared" si="89"/>
        <v>69.612799406689945</v>
      </c>
      <c r="AL97" s="20">
        <f t="shared" si="58"/>
        <v>630.77035896665097</v>
      </c>
      <c r="AM97" s="59">
        <f t="shared" si="59"/>
        <v>924.10369229998423</v>
      </c>
      <c r="AN97" s="59">
        <f ca="1">AVERAGE(OFFSET($AM$3,0,0,'Données projet'!$E$10+1,1))-AVERAGE(OFFSET($H$3,0,0,'Données projet'!$E$10+1,1))</f>
        <v>528.15559695545812</v>
      </c>
      <c r="AO97" s="59">
        <f t="shared" si="90"/>
        <v>276.26988364830532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6.5898552812865896</v>
      </c>
      <c r="AV97" s="21">
        <f>EXP(-LN(2)/25)*AV96+(1-EXP(-LN(2)/25))/(LN(2)/25)*Calculateur!AQ97*Calculateur!AS97*VLOOKUP('Données projet'!$B$10,Paramètres!$A$1:$I$89,3,0)*0.475*44/12</f>
        <v>28.935712849600375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35.525568130886967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8.6</v>
      </c>
      <c r="BD97" s="12">
        <f>IF('Données projet'!$A$88&gt;35,BD96+BC97-BL96,IF(A97&lt;'Données projet'!$A$88,$BA$205^A97,IF(A97='Données projet'!$A$88,'Données projet'!$B$88,BD96+BC97-BL96)))</f>
        <v>454.40000000000003</v>
      </c>
      <c r="BE97" s="13">
        <f>BD97*VLOOKUP('Données projet'!$B$11,Paramètres!$A$1:$I$89,3,0)*VLOOKUP('Données projet'!$B$11,Paramètres!$A$1:$I$89,5,0)</f>
        <v>333.16608000000002</v>
      </c>
      <c r="BF97" s="13">
        <f t="shared" si="91"/>
        <v>78.086351108597128</v>
      </c>
      <c r="BG97" s="20">
        <f t="shared" si="61"/>
        <v>716.26465084747326</v>
      </c>
      <c r="BH97" s="59">
        <f t="shared" si="62"/>
        <v>1009.5979841808066</v>
      </c>
      <c r="BI97" s="59">
        <f ca="1">AVERAGE(OFFSET($BH$3,0,0,'Données projet'!$E$11+1,1))-AVERAGE(OFFSET($H$3,0,0,'Données projet'!$E$11+1,1))</f>
        <v>464.3681853739115</v>
      </c>
      <c r="BJ97" s="59">
        <f t="shared" si="92"/>
        <v>272.97841038165217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5.6922040087499708</v>
      </c>
      <c r="BQ97" s="21">
        <f>EXP(-LN(2)/25)*BQ96+(1-EXP(-LN(2)/25))/(LN(2)/25)*Calculateur!BL97*Calculateur!BN97*VLOOKUP('Données projet'!$B$11,Paramètres!$A$1:$I$89,3,0)*0.475*44/12</f>
        <v>27.487534457768916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33.179738466518884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4.4337866711430253E-14</v>
      </c>
      <c r="CA97" s="13">
        <f t="shared" si="93"/>
        <v>7.3222115536967035E-13</v>
      </c>
      <c r="CB97" s="20">
        <f t="shared" si="64"/>
        <v>1.3525069634579169E-12</v>
      </c>
      <c r="CC97" s="59">
        <f t="shared" si="65"/>
        <v>293.33333333333468</v>
      </c>
      <c r="CD97" s="59">
        <f ca="1">AVERAGE(OFFSET($CC$3,0,0,'Données projet'!$E$12+1,1))-AVERAGE(OFFSET($H$3,0,0,'Données projet'!$E$12+1,1))</f>
        <v>288.82868507674738</v>
      </c>
      <c r="CE97" s="59">
        <f t="shared" si="94"/>
        <v>283.48738729114024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40.503232303504525</v>
      </c>
      <c r="CL97" s="21">
        <f>EXP(-LN(2)/25)*CL96+(1-EXP(-LN(2)/25))/(LN(2)/25)*Calculateur!CG97*Calculateur!CI97*VLOOKUP('Données projet'!$B$12,Paramètres!$A$1:$I$89,3,0)*0.475*44/12</f>
        <v>4.7564286057125242</v>
      </c>
      <c r="CM97" s="21">
        <f>EXP(-LN(2)/2)*CM96+(1-EXP(-LN(2)/2))/(LN(2)/2)*CG97*CJ97*VLOOKUP('Données projet'!$B$12,Paramètres!$A$1:$I$89,3,0)*0.475*44/12</f>
        <v>1.2586299448667094E-2</v>
      </c>
      <c r="CN97" s="22">
        <f t="shared" si="66"/>
        <v>45.272247208665711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-2.8421709430404007E-13</v>
      </c>
      <c r="CU97" s="17">
        <f>CT97*VLOOKUP('Données projet'!$B$13,Paramètres!$A$1:$I$89,3,0)*VLOOKUP('Données projet'!$B$13,Paramètres!$A$1:$I$89,5,0)</f>
        <v>-1.8621904018800707E-13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340.49092994349405</v>
      </c>
      <c r="CZ97" s="59">
        <f t="shared" si="96"/>
        <v>331.54434271908832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75.462222006163188</v>
      </c>
      <c r="DG97" s="21">
        <f>EXP(-LN(2)/25)*DG96+(1-EXP(-LN(2)/25))/(LN(2)/25)*Calculateur!DB97*Calculateur!DD97*VLOOKUP('Données projet'!$B$13,Paramètres!$A$1:$I$89,3,0)*0.475*44/12</f>
        <v>2.2866699828112806</v>
      </c>
      <c r="DH97" s="21">
        <f>EXP(-LN(2)/2)*DH96+(1-EXP(-LN(2)/2))/(LN(2)/2)*DB97*DE97*VLOOKUP('Données projet'!$B$13,Paramètres!$A$1:$I$89,3,0)*0.475*44/12</f>
        <v>0.37097046061227174</v>
      </c>
      <c r="DI97" s="22">
        <f t="shared" si="69"/>
        <v>78.119862449586734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7.333333333333333</v>
      </c>
      <c r="DO97" s="12">
        <f>IF('Données projet'!$A$166&gt;35,DO96+DN97-DW96,IF(A97&lt;'Données projet'!$A$166,$DL$205^A97,IF(A97='Données projet'!$A$166,'Données projet'!$B$166,DO96+DN97-DW96)))</f>
        <v>323.33333333333303</v>
      </c>
      <c r="DP97" s="17">
        <f>DO97*VLOOKUP('Données projet'!$B$14,Paramètres!$A$1:$I$89,3,0)*VLOOKUP('Données projet'!$B$14,Paramètres!$A$1:$I$89,5,0)</f>
        <v>327.85999999999973</v>
      </c>
      <c r="DQ97" s="13">
        <f t="shared" si="97"/>
        <v>76.986462716071742</v>
      </c>
      <c r="DR97" s="20">
        <f t="shared" si="70"/>
        <v>705.10758923049116</v>
      </c>
      <c r="DS97" s="59">
        <f t="shared" si="71"/>
        <v>998.44092256382442</v>
      </c>
      <c r="DT97" s="59">
        <f ca="1">AVERAGE(OFFSET($DS$3,0,0,'Données projet'!$E$14+1,1))-AVERAGE(OFFSET($H$3,0,0,'Données projet'!$E$14+1,1))</f>
        <v>586.50020405958992</v>
      </c>
      <c r="DU97" s="59">
        <f t="shared" si="98"/>
        <v>304.44184537595294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7.3851826428211789</v>
      </c>
      <c r="EB97" s="21">
        <f>EXP(-LN(2)/25)*EB96+(1-EXP(-LN(2)/25))/(LN(2)/25)*Calculateur!DW97*Calculateur!DY97*VLOOKUP('Données projet'!$B$14,Paramètres!$A$1:$I$89,3,0)*0.475*44/12</f>
        <v>32.427954055586639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39.813136698407817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463</v>
      </c>
      <c r="L98" s="12">
        <f>VLOOKUP(A98,'Données projet'!$A$35:$I$55,9,0)</f>
        <v>8.6</v>
      </c>
      <c r="M98" s="12">
        <f t="array" ref="M98">INDEX(L:L,MIN(IF(ISNUMBER(L98:L294),ROW(L98:L294),"")))</f>
        <v>8.6</v>
      </c>
      <c r="N98" s="13">
        <f>IF('Données projet'!$A$36&gt;35,N97+M98-V97,IF(A98&lt;'Données projet'!$A$36,$K$205^A98,IF(A98='Données projet'!$A$36,'Données projet'!$B$36,N97+M98-V97)))</f>
        <v>463.00000000000006</v>
      </c>
      <c r="O98" s="13">
        <f>N98*VLOOKUP('Données projet'!$B$9,Paramètres!$A$1:$I$89,3,0)*VLOOKUP('Données projet'!$B$9,Paramètres!$A$1:$I$89,5,0)</f>
        <v>397.25400000000013</v>
      </c>
      <c r="P98" s="13">
        <f t="shared" si="87"/>
        <v>91.219732863167494</v>
      </c>
      <c r="Q98" s="20">
        <f t="shared" si="54"/>
        <v>850.75841807001689</v>
      </c>
      <c r="R98" s="59">
        <f t="shared" si="55"/>
        <v>1144.0917514033501</v>
      </c>
      <c r="S98" s="59">
        <f ca="1">AVERAGE(OFFSET($R$3,0,0,'Données projet'!$E$9+1,1))-AVERAGE(OFFSET($H$3,0,0,'Données projet'!$E$9+1,1))</f>
        <v>536.21423347711345</v>
      </c>
      <c r="T98" s="59">
        <f t="shared" si="88"/>
        <v>312.14361830038712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30</v>
      </c>
      <c r="W98" s="16">
        <f>IF(ISNA(VLOOKUP(A98,'Données projet'!$A$35:$I$55,5,0)),0%,VLOOKUP(A98,'Données projet'!$A$35:$I$55,5,0)*VLOOKUP('Données projet'!$B$9,Paramètres!$A$1:$I$89,7,0))</f>
        <v>0.159</v>
      </c>
      <c r="X98" s="16">
        <f>IF(ISNA(VLOOKUP(A98,'Données projet'!$A$35:$I$55,6,0)),0%,VLOOKUP(A98,'Données projet'!$A$35:$I$55,6,0)*VLOOKUP('Données projet'!$B$9,Paramètres!$A$1:$I$89,7,0))</f>
        <v>0.1855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12.573498220677269</v>
      </c>
      <c r="AA98" s="21">
        <f>EXP(-LN(2)/25)*AA97+(1-EXP(-LN(2)/25))/(LN(2)/25)*Calculateur!V98*Calculateur!X98*VLOOKUP('Données projet'!$B$9,Paramètres!$A$1:$I$89,3,0)*0.475*44/12</f>
        <v>43.820230475837192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56.393728696514458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7.333333333333333</v>
      </c>
      <c r="AI98" s="13">
        <f>IF('Données projet'!$A$62&gt;35,AI97+AH98-AQ97,IF(A98&lt;'Données projet'!$A$62,$AF$205^A98,IF(A98='Données projet'!$A$62,'Données projet'!$B$62,AI97+AH98-AQ97)))</f>
        <v>330.66666666666634</v>
      </c>
      <c r="AJ98" s="13">
        <f>AI98*VLOOKUP('Données projet'!$B$10,Paramètres!$A$1:$I$89,3,0)*VLOOKUP('Données projet'!$B$10,Paramètres!$A$1:$I$89,5,0)</f>
        <v>299.18719999999968</v>
      </c>
      <c r="AK98" s="13">
        <f t="shared" si="89"/>
        <v>71.00604248028047</v>
      </c>
      <c r="AL98" s="20">
        <f t="shared" si="58"/>
        <v>644.75323065315456</v>
      </c>
      <c r="AM98" s="59">
        <f t="shared" si="59"/>
        <v>938.08656398648782</v>
      </c>
      <c r="AN98" s="59">
        <f ca="1">AVERAGE(OFFSET($AM$3,0,0,'Données projet'!$E$10+1,1))-AVERAGE(OFFSET($H$3,0,0,'Données projet'!$E$10+1,1))</f>
        <v>528.15559695545812</v>
      </c>
      <c r="AO98" s="59">
        <f t="shared" si="90"/>
        <v>276.26988364830532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6.4606322386353972</v>
      </c>
      <c r="AV98" s="21">
        <f>EXP(-LN(2)/25)*AV97+(1-EXP(-LN(2)/25))/(LN(2)/25)*Calculateur!AQ98*Calculateur!AS98*VLOOKUP('Données projet'!$B$10,Paramètres!$A$1:$I$89,3,0)*0.475*44/12</f>
        <v>28.144464260065046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34.605096498700441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463</v>
      </c>
      <c r="BB98" s="12">
        <f>VLOOKUP(A98,'Données projet'!$A$87:$I$107,9,0)</f>
        <v>8.6</v>
      </c>
      <c r="BC98" s="12">
        <f t="array" ref="BC98">INDEX(BB:BB,MIN(IF(ISNUMBER(BB98:BB294),ROW(BB98:BB294),"")))</f>
        <v>8.6</v>
      </c>
      <c r="BD98" s="12">
        <f>IF('Données projet'!$A$88&gt;35,BD97+BC98-BL97,IF(A98&lt;'Données projet'!$A$88,$BA$205^A98,IF(A98='Données projet'!$A$88,'Données projet'!$B$88,BD97+BC98-BL97)))</f>
        <v>463.00000000000006</v>
      </c>
      <c r="BE98" s="13">
        <f>BD98*VLOOKUP('Données projet'!$B$11,Paramètres!$A$1:$I$89,3,0)*VLOOKUP('Données projet'!$B$11,Paramètres!$A$1:$I$89,5,0)</f>
        <v>339.47160000000002</v>
      </c>
      <c r="BF98" s="13">
        <f t="shared" si="91"/>
        <v>79.390765756136659</v>
      </c>
      <c r="BG98" s="20">
        <f t="shared" si="61"/>
        <v>729.51862035860461</v>
      </c>
      <c r="BH98" s="59">
        <f t="shared" si="62"/>
        <v>1022.851953691938</v>
      </c>
      <c r="BI98" s="59">
        <f ca="1">AVERAGE(OFFSET($BH$3,0,0,'Données projet'!$E$11+1,1))-AVERAGE(OFFSET($H$3,0,0,'Données projet'!$E$11+1,1))</f>
        <v>464.3681853739115</v>
      </c>
      <c r="BJ98" s="59">
        <f t="shared" si="92"/>
        <v>272.97841038165217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30</v>
      </c>
      <c r="BM98" s="16">
        <f>IF(ISNA(VLOOKUP(A98,'Données projet'!$A$87:$I$107,5,0)),0%,VLOOKUP(A98,'Données projet'!$A$87:$I$107,5,0)*VLOOKUP('Données projet'!$B$11,Paramètres!$A$1:$I$89,7,0))</f>
        <v>0.129</v>
      </c>
      <c r="BN98" s="16">
        <f>IF(ISNA(VLOOKUP(A98,'Données projet'!$A$87:$I$107,6,0)),0%,VLOOKUP(A98,'Données projet'!$A$87:$I$107,6,0)*VLOOKUP('Données projet'!$B$11,Paramètres!$A$1:$I$89,7,0))</f>
        <v>0.15049999999999999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8.7173378744386802</v>
      </c>
      <c r="BQ98" s="21">
        <f>EXP(-LN(2)/25)*BQ97+(1-EXP(-LN(2)/25))/(LN(2)/25)*Calculateur!BL98*Calculateur!BN98*VLOOKUP('Données projet'!$B$11,Paramètres!$A$1:$I$89,3,0)*0.475*44/12</f>
        <v>30.381024285305976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39.098362159744653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4.4337866711430253E-14</v>
      </c>
      <c r="CA98" s="13">
        <f t="shared" si="93"/>
        <v>7.3222115536967035E-13</v>
      </c>
      <c r="CB98" s="20">
        <f t="shared" si="64"/>
        <v>1.3525069634579169E-12</v>
      </c>
      <c r="CC98" s="59">
        <f t="shared" si="65"/>
        <v>293.33333333333468</v>
      </c>
      <c r="CD98" s="59">
        <f ca="1">AVERAGE(OFFSET($CC$3,0,0,'Données projet'!$E$12+1,1))-AVERAGE(OFFSET($H$3,0,0,'Données projet'!$E$12+1,1))</f>
        <v>288.82868507674738</v>
      </c>
      <c r="CE98" s="59">
        <f t="shared" si="94"/>
        <v>283.48738729114024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39.708988622565137</v>
      </c>
      <c r="CL98" s="21">
        <f>EXP(-LN(2)/25)*CL97+(1-EXP(-LN(2)/25))/(LN(2)/25)*Calculateur!CG98*Calculateur!CI98*VLOOKUP('Données projet'!$B$12,Paramètres!$A$1:$I$89,3,0)*0.475*44/12</f>
        <v>4.6263638153596061</v>
      </c>
      <c r="CM98" s="21">
        <f>EXP(-LN(2)/2)*CM97+(1-EXP(-LN(2)/2))/(LN(2)/2)*CG98*CJ98*VLOOKUP('Données projet'!$B$12,Paramètres!$A$1:$I$89,3,0)*0.475*44/12</f>
        <v>8.8998576901970061E-3</v>
      </c>
      <c r="CN98" s="22">
        <f t="shared" si="66"/>
        <v>44.344252295614936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-2.8421709430404007E-13</v>
      </c>
      <c r="CU98" s="17">
        <f>CT98*VLOOKUP('Données projet'!$B$13,Paramètres!$A$1:$I$89,3,0)*VLOOKUP('Données projet'!$B$13,Paramètres!$A$1:$I$89,5,0)</f>
        <v>-1.8621904018800707E-13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340.49092994349405</v>
      </c>
      <c r="CZ98" s="59">
        <f t="shared" si="96"/>
        <v>331.54434271908832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73.982453860032919</v>
      </c>
      <c r="DG98" s="21">
        <f>EXP(-LN(2)/25)*DG97+(1-EXP(-LN(2)/25))/(LN(2)/25)*Calculateur!DB98*Calculateur!DD98*VLOOKUP('Données projet'!$B$13,Paramètres!$A$1:$I$89,3,0)*0.475*44/12</f>
        <v>2.2241408718805582</v>
      </c>
      <c r="DH98" s="21">
        <f>EXP(-LN(2)/2)*DH97+(1-EXP(-LN(2)/2))/(LN(2)/2)*DB98*DE98*VLOOKUP('Données projet'!$B$13,Paramètres!$A$1:$I$89,3,0)*0.475*44/12</f>
        <v>0.26231572831883437</v>
      </c>
      <c r="DI98" s="22">
        <f t="shared" si="69"/>
        <v>76.468910460232323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7.333333333333333</v>
      </c>
      <c r="DO98" s="12">
        <f>IF('Données projet'!$A$166&gt;35,DO97+DN98-DW97,IF(A98&lt;'Données projet'!$A$166,$DL$205^A98,IF(A98='Données projet'!$A$166,'Données projet'!$B$166,DO97+DN98-DW97)))</f>
        <v>330.66666666666634</v>
      </c>
      <c r="DP98" s="17">
        <f>DO98*VLOOKUP('Données projet'!$B$14,Paramètres!$A$1:$I$89,3,0)*VLOOKUP('Données projet'!$B$14,Paramètres!$A$1:$I$89,5,0)</f>
        <v>335.29599999999971</v>
      </c>
      <c r="DQ98" s="13">
        <f t="shared" si="97"/>
        <v>78.527283611849342</v>
      </c>
      <c r="DR98" s="20">
        <f t="shared" si="70"/>
        <v>720.74221895730363</v>
      </c>
      <c r="DS98" s="59">
        <f t="shared" si="71"/>
        <v>1014.075552290637</v>
      </c>
      <c r="DT98" s="59">
        <f ca="1">AVERAGE(OFFSET($DS$3,0,0,'Données projet'!$E$14+1,1))-AVERAGE(OFFSET($H$3,0,0,'Données projet'!$E$14+1,1))</f>
        <v>586.50020405958992</v>
      </c>
      <c r="DU98" s="59">
        <f t="shared" si="98"/>
        <v>304.44184537595294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7.2403637157120837</v>
      </c>
      <c r="EB98" s="21">
        <f>EXP(-LN(2)/25)*EB97+(1-EXP(-LN(2)/25))/(LN(2)/25)*Calculateur!DW98*Calculateur!DY98*VLOOKUP('Données projet'!$B$14,Paramètres!$A$1:$I$89,3,0)*0.475*44/12</f>
        <v>31.541209946624633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38.781573662336719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8.1999999999999993</v>
      </c>
      <c r="N99" s="13">
        <f>IF('Données projet'!$A$36&gt;35,N98+M99-V98,IF(A99&lt;'Données projet'!$A$36,$K$205^A99,IF(A99='Données projet'!$A$36,'Données projet'!$B$36,N98+M99-V98)))</f>
        <v>441.20000000000005</v>
      </c>
      <c r="O99" s="13">
        <f>N99*VLOOKUP('Données projet'!$B$9,Paramètres!$A$1:$I$89,3,0)*VLOOKUP('Données projet'!$B$9,Paramètres!$A$1:$I$89,5,0)</f>
        <v>378.54960000000011</v>
      </c>
      <c r="P99" s="13">
        <f t="shared" si="87"/>
        <v>87.414074444191471</v>
      </c>
      <c r="Q99" s="20">
        <f t="shared" ref="Q99:Q130" si="107">(O99+P99)*0.475*44/12</f>
        <v>811.55339965696703</v>
      </c>
      <c r="R99" s="59">
        <f t="shared" si="55"/>
        <v>1104.8867329903003</v>
      </c>
      <c r="S99" s="59">
        <f ca="1">AVERAGE(OFFSET($R$3,0,0,'Données projet'!$E$9+1,1))-AVERAGE(OFFSET($H$3,0,0,'Données projet'!$E$9+1,1))</f>
        <v>536.21423347711345</v>
      </c>
      <c r="T99" s="59">
        <f t="shared" si="88"/>
        <v>312.14361830038712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12.326939589646445</v>
      </c>
      <c r="AA99" s="21">
        <f>EXP(-LN(2)/25)*AA98+(1-EXP(-LN(2)/25))/(LN(2)/25)*Calculateur!V99*Calculateur!X99*VLOOKUP('Données projet'!$B$9,Paramètres!$A$1:$I$89,3,0)*0.475*44/12</f>
        <v>42.621963969069654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54.948903558716097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>
        <f>VLOOKUP(A99,'Données projet'!$A$61:$I$81,2,0)</f>
        <v>338</v>
      </c>
      <c r="AG99" s="12">
        <f>VLOOKUP(A99,'Données projet'!$A$61:$I$81,9,0)</f>
        <v>7.333333333333333</v>
      </c>
      <c r="AH99" s="12">
        <f t="array" ref="AH99">INDEX(AG:AG,MIN(IF(ISNUMBER(AG99:AG295),ROW(AG99:AG295),"")))</f>
        <v>7.333333333333333</v>
      </c>
      <c r="AI99" s="13">
        <f>IF('Données projet'!$A$62&gt;35,AI98+AH99-AQ98,IF(A99&lt;'Données projet'!$A$62,$AF$205^A99,IF(A99='Données projet'!$A$62,'Données projet'!$B$62,AI98+AH99-AQ98)))</f>
        <v>337.99999999999966</v>
      </c>
      <c r="AJ99" s="13">
        <f>AI99*VLOOKUP('Données projet'!$B$10,Paramètres!$A$1:$I$89,3,0)*VLOOKUP('Données projet'!$B$10,Paramètres!$A$1:$I$89,5,0)</f>
        <v>305.82239999999967</v>
      </c>
      <c r="AK99" s="13">
        <f t="shared" si="89"/>
        <v>72.39569329126887</v>
      </c>
      <c r="AL99" s="20">
        <f t="shared" si="58"/>
        <v>658.72984581562605</v>
      </c>
      <c r="AM99" s="59">
        <f t="shared" si="59"/>
        <v>952.06317914895931</v>
      </c>
      <c r="AN99" s="59">
        <f ca="1">AVERAGE(OFFSET($AM$3,0,0,'Données projet'!$E$10+1,1))-AVERAGE(OFFSET($H$3,0,0,'Données projet'!$E$10+1,1))</f>
        <v>528.15559695545812</v>
      </c>
      <c r="AO99" s="59">
        <f t="shared" si="90"/>
        <v>276.26988364830532</v>
      </c>
      <c r="AP99" s="15">
        <f>IF(ISNA(VLOOKUP(A99,'Données projet'!$A$61:$I$81,3,0)),0,VLOOKUP(A99,'Données projet'!$A$61:$I$81,3,0))</f>
        <v>8</v>
      </c>
      <c r="AQ99" s="15">
        <f>IF(ISNA(VLOOKUP(A99,'Données projet'!$A$61:$I$81,4,0)),0,VLOOKUP(A99,'Données projet'!$A$61:$I$81,4,0))</f>
        <v>44</v>
      </c>
      <c r="AR99" s="16">
        <f>IF(ISNA(VLOOKUP(A99,'Données projet'!$A$61:$I$81,5,0)),0%,VLOOKUP(A99,'Données projet'!$A$61:$I$81,5,0)*VLOOKUP('Données projet'!$B$10,Paramètres!$A$1:$I$89,7,0))</f>
        <v>0.17200000000000001</v>
      </c>
      <c r="AS99" s="16">
        <f>IF(ISNA(VLOOKUP(A99,'Données projet'!$A$61:$I$81,6,0)),0%,VLOOKUP(A99,'Données projet'!$A$61:$I$81,6,0)*VLOOKUP('Données projet'!$B$10,Paramètres!$A$1:$I$89,7,0))</f>
        <v>0.129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13.903680789302218</v>
      </c>
      <c r="AV99" s="21">
        <f>EXP(-LN(2)/25)*AV98+(1-EXP(-LN(2)/25))/(LN(2)/25)*Calculateur!AQ99*Calculateur!AS99*VLOOKUP('Données projet'!$B$10,Paramètres!$A$1:$I$89,3,0)*0.475*44/12</f>
        <v>33.029801905078003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46.933482694380217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8.1999999999999993</v>
      </c>
      <c r="BD99" s="12">
        <f>IF('Données projet'!$A$88&gt;35,BD98+BC99-BL98,IF(A99&lt;'Données projet'!$A$88,$BA$205^A99,IF(A99='Données projet'!$A$88,'Données projet'!$B$88,BD98+BC99-BL98)))</f>
        <v>441.20000000000005</v>
      </c>
      <c r="BE99" s="13">
        <f>BD99*VLOOKUP('Données projet'!$B$11,Paramètres!$A$1:$I$89,3,0)*VLOOKUP('Données projet'!$B$11,Paramètres!$A$1:$I$89,5,0)</f>
        <v>323.48784000000001</v>
      </c>
      <c r="BF99" s="13">
        <f t="shared" si="91"/>
        <v>76.078608105532638</v>
      </c>
      <c r="BG99" s="20">
        <f t="shared" si="61"/>
        <v>695.91156378380265</v>
      </c>
      <c r="BH99" s="59">
        <f t="shared" si="62"/>
        <v>989.24489711713591</v>
      </c>
      <c r="BI99" s="59">
        <f ca="1">AVERAGE(OFFSET($BH$3,0,0,'Données projet'!$E$11+1,1))-AVERAGE(OFFSET($H$3,0,0,'Données projet'!$E$11+1,1))</f>
        <v>464.3681853739115</v>
      </c>
      <c r="BJ99" s="59">
        <f t="shared" si="92"/>
        <v>272.97841038165217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8.5463961957720258</v>
      </c>
      <c r="BQ99" s="21">
        <f>EXP(-LN(2)/25)*BQ98+(1-EXP(-LN(2)/25))/(LN(2)/25)*Calculateur!BL99*Calculateur!BN99*VLOOKUP('Données projet'!$B$11,Paramètres!$A$1:$I$89,3,0)*0.475*44/12</f>
        <v>29.550253578555655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38.09664977432768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4.4337866711430253E-14</v>
      </c>
      <c r="CA99" s="13">
        <f t="shared" si="93"/>
        <v>7.3222115536967035E-13</v>
      </c>
      <c r="CB99" s="20">
        <f t="shared" si="64"/>
        <v>1.3525069634579169E-12</v>
      </c>
      <c r="CC99" s="59">
        <f t="shared" si="65"/>
        <v>293.33333333333468</v>
      </c>
      <c r="CD99" s="59">
        <f ca="1">AVERAGE(OFFSET($CC$3,0,0,'Données projet'!$E$12+1,1))-AVERAGE(OFFSET($H$3,0,0,'Données projet'!$E$12+1,1))</f>
        <v>288.82868507674738</v>
      </c>
      <c r="CE99" s="59">
        <f t="shared" si="94"/>
        <v>283.48738729114024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38.930319575768159</v>
      </c>
      <c r="CL99" s="21">
        <f>EXP(-LN(2)/25)*CL98+(1-EXP(-LN(2)/25))/(LN(2)/25)*Calculateur!CG99*Calculateur!CI99*VLOOKUP('Données projet'!$B$12,Paramètres!$A$1:$I$89,3,0)*0.475*44/12</f>
        <v>4.499855653538698</v>
      </c>
      <c r="CM99" s="21">
        <f>EXP(-LN(2)/2)*CM98+(1-EXP(-LN(2)/2))/(LN(2)/2)*CG99*CJ99*VLOOKUP('Données projet'!$B$12,Paramètres!$A$1:$I$89,3,0)*0.475*44/12</f>
        <v>6.2931497243335468E-3</v>
      </c>
      <c r="CN99" s="22">
        <f t="shared" si="66"/>
        <v>43.43646837903119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-2.8421709430404007E-13</v>
      </c>
      <c r="CU99" s="17">
        <f>CT99*VLOOKUP('Données projet'!$B$13,Paramètres!$A$1:$I$89,3,0)*VLOOKUP('Données projet'!$B$13,Paramètres!$A$1:$I$89,5,0)</f>
        <v>-1.8621904018800707E-13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340.49092994349405</v>
      </c>
      <c r="CZ99" s="59">
        <f t="shared" si="96"/>
        <v>331.54434271908832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72.531703064678823</v>
      </c>
      <c r="DG99" s="21">
        <f>EXP(-LN(2)/25)*DG98+(1-EXP(-LN(2)/25))/(LN(2)/25)*Calculateur!DB99*Calculateur!DD99*VLOOKUP('Données projet'!$B$13,Paramètres!$A$1:$I$89,3,0)*0.475*44/12</f>
        <v>2.1633216227764991</v>
      </c>
      <c r="DH99" s="21">
        <f>EXP(-LN(2)/2)*DH98+(1-EXP(-LN(2)/2))/(LN(2)/2)*DB99*DE99*VLOOKUP('Données projet'!$B$13,Paramètres!$A$1:$I$89,3,0)*0.475*44/12</f>
        <v>0.18548523030613587</v>
      </c>
      <c r="DI99" s="22">
        <f t="shared" si="69"/>
        <v>74.880509917761458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>
        <f>VLOOKUP(A99,'Données projet'!$A$165:$I$185,2,0)</f>
        <v>338</v>
      </c>
      <c r="DM99" s="12">
        <f>VLOOKUP(A99,'Données projet'!$A$165:$I$185,9,0)</f>
        <v>7.333333333333333</v>
      </c>
      <c r="DN99" s="12">
        <f t="array" ref="DN99">INDEX(DM:DM,MIN(IF(ISNUMBER(DM99:DM295),ROW(DM99:DM295),"")))</f>
        <v>7.333333333333333</v>
      </c>
      <c r="DO99" s="12">
        <f>IF('Données projet'!$A$166&gt;35,DO98+DN99-DW98,IF(A99&lt;'Données projet'!$A$166,$DL$205^A99,IF(A99='Données projet'!$A$166,'Données projet'!$B$166,DO98+DN99-DW98)))</f>
        <v>337.99999999999966</v>
      </c>
      <c r="DP99" s="17">
        <f>DO99*VLOOKUP('Données projet'!$B$14,Paramètres!$A$1:$I$89,3,0)*VLOOKUP('Données projet'!$B$14,Paramètres!$A$1:$I$89,5,0)</f>
        <v>342.73199999999969</v>
      </c>
      <c r="DQ99" s="13">
        <f t="shared" si="97"/>
        <v>80.06413173834828</v>
      </c>
      <c r="DR99" s="20">
        <f t="shared" si="70"/>
        <v>736.36992944428937</v>
      </c>
      <c r="DS99" s="59">
        <f t="shared" si="71"/>
        <v>1029.7032627776227</v>
      </c>
      <c r="DT99" s="59">
        <f ca="1">AVERAGE(OFFSET($DS$3,0,0,'Données projet'!$E$14+1,1))-AVERAGE(OFFSET($H$3,0,0,'Données projet'!$E$14+1,1))</f>
        <v>586.50020405958992</v>
      </c>
      <c r="DU99" s="59">
        <f t="shared" si="98"/>
        <v>304.44184537595294</v>
      </c>
      <c r="DV99" s="15">
        <f>IF(ISNA(VLOOKUP(A99,'Données projet'!$A$165:$I$185,3,0)),0,VLOOKUP(A99,'Données projet'!$A$165:$I$185,3,0))</f>
        <v>8</v>
      </c>
      <c r="DW99" s="15">
        <f>IF(ISNA(VLOOKUP(A99,'Données projet'!$A$165:$I$185,4,0)),0,VLOOKUP(A99,'Données projet'!$A$165:$I$185,4,0))</f>
        <v>44</v>
      </c>
      <c r="DX99" s="16">
        <f>IF(ISNA(VLOOKUP(A99,'Données projet'!$A$165:$I$185,5,0)),0%,VLOOKUP(A99,'Données projet'!$A$165:$I$185,5,0)*VLOOKUP('Données projet'!$B$14,Paramètres!$A$1:$I$89,7,0))</f>
        <v>0.17200000000000001</v>
      </c>
      <c r="DY99" s="16">
        <f>IF(ISNA(VLOOKUP(A99,'Données projet'!$A$165:$I$185,6,0)),0%,VLOOKUP(A99,'Données projet'!$A$165:$I$185,6,0)*VLOOKUP('Données projet'!$B$14,Paramètres!$A$1:$I$89,7,0))</f>
        <v>0.129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15.581711229390418</v>
      </c>
      <c r="EB99" s="21">
        <f>EXP(-LN(2)/25)*EB98+(1-EXP(-LN(2)/25))/(LN(2)/25)*Calculateur!DW99*Calculateur!DY99*VLOOKUP('Données projet'!$B$14,Paramètres!$A$1:$I$89,3,0)*0.475*44/12</f>
        <v>37.016157307415014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52.597868536805436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8.1999999999999993</v>
      </c>
      <c r="N100" s="13">
        <f>IF('Données projet'!$A$36&gt;35,N99+M100-V99,IF(A100&lt;'Données projet'!$A$36,$K$205^A100,IF(A100='Données projet'!$A$36,'Données projet'!$B$36,N99+M100-V99)))</f>
        <v>449.40000000000003</v>
      </c>
      <c r="O100" s="13">
        <f>N100*VLOOKUP('Données projet'!$B$9,Paramètres!$A$1:$I$89,3,0)*VLOOKUP('Données projet'!$B$9,Paramètres!$A$1:$I$89,5,0)</f>
        <v>385.5852000000001</v>
      </c>
      <c r="P100" s="13">
        <f t="shared" si="87"/>
        <v>88.84807267555091</v>
      </c>
      <c r="Q100" s="20">
        <f t="shared" si="107"/>
        <v>826.30461657658464</v>
      </c>
      <c r="R100" s="59">
        <f t="shared" si="55"/>
        <v>1119.637949909918</v>
      </c>
      <c r="S100" s="59">
        <f ca="1">AVERAGE(OFFSET($R$3,0,0,'Données projet'!$E$9+1,1))-AVERAGE(OFFSET($H$3,0,0,'Données projet'!$E$9+1,1))</f>
        <v>536.21423347711345</v>
      </c>
      <c r="T100" s="59">
        <f t="shared" si="88"/>
        <v>312.14361830038712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12.085215822984219</v>
      </c>
      <c r="AA100" s="21">
        <f>EXP(-LN(2)/25)*AA99+(1-EXP(-LN(2)/25))/(LN(2)/25)*Calculateur!V100*Calculateur!X100*VLOOKUP('Données projet'!$B$9,Paramètres!$A$1:$I$89,3,0)*0.475*44/12</f>
        <v>41.456464122943771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53.541679945927989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7.1111111111111107</v>
      </c>
      <c r="AI100" s="13">
        <f>IF('Données projet'!$A$62&gt;35,AI99+AH100-AQ99,IF(A100&lt;'Données projet'!$A$62,$AF$205^A100,IF(A100='Données projet'!$A$62,'Données projet'!$B$62,AI99+AH100-AQ99)))</f>
        <v>301.11111111111074</v>
      </c>
      <c r="AJ100" s="13">
        <f>AI100*VLOOKUP('Données projet'!$B$10,Paramètres!$A$1:$I$89,3,0)*VLOOKUP('Données projet'!$B$10,Paramètres!$A$1:$I$89,5,0)</f>
        <v>272.445333333333</v>
      </c>
      <c r="AK100" s="13">
        <f t="shared" si="89"/>
        <v>65.367958107525453</v>
      </c>
      <c r="AL100" s="20">
        <f t="shared" si="58"/>
        <v>588.35814925949501</v>
      </c>
      <c r="AM100" s="59">
        <f t="shared" si="59"/>
        <v>881.69148259282838</v>
      </c>
      <c r="AN100" s="59">
        <f ca="1">AVERAGE(OFFSET($AM$3,0,0,'Données projet'!$E$10+1,1))-AVERAGE(OFFSET($H$3,0,0,'Données projet'!$E$10+1,1))</f>
        <v>528.15559695545812</v>
      </c>
      <c r="AO100" s="59">
        <f t="shared" si="90"/>
        <v>276.26988364830532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13.631038089431913</v>
      </c>
      <c r="AV100" s="21">
        <f>EXP(-LN(2)/25)*AV99+(1-EXP(-LN(2)/25))/(LN(2)/25)*Calculateur!AQ100*Calculateur!AS100*VLOOKUP('Données projet'!$B$10,Paramètres!$A$1:$I$89,3,0)*0.475*44/12</f>
        <v>32.126600235021854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45.757638324453765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8.1999999999999993</v>
      </c>
      <c r="BD100" s="12">
        <f>IF('Données projet'!$A$88&gt;35,BD99+BC100-BL99,IF(A100&lt;'Données projet'!$A$88,$BA$205^A100,IF(A100='Données projet'!$A$88,'Données projet'!$B$88,BD99+BC100-BL99)))</f>
        <v>449.40000000000003</v>
      </c>
      <c r="BE100" s="13">
        <f>BD100*VLOOKUP('Données projet'!$B$11,Paramètres!$A$1:$I$89,3,0)*VLOOKUP('Données projet'!$B$11,Paramètres!$A$1:$I$89,5,0)</f>
        <v>329.50008000000003</v>
      </c>
      <c r="BF100" s="13">
        <f t="shared" si="91"/>
        <v>77.326651857769278</v>
      </c>
      <c r="BG100" s="20">
        <f t="shared" si="61"/>
        <v>708.55655798561486</v>
      </c>
      <c r="BH100" s="59">
        <f t="shared" si="62"/>
        <v>1001.8898913189482</v>
      </c>
      <c r="BI100" s="59">
        <f ca="1">AVERAGE(OFFSET($BH$3,0,0,'Données projet'!$E$11+1,1))-AVERAGE(OFFSET($H$3,0,0,'Données projet'!$E$11+1,1))</f>
        <v>464.3681853739115</v>
      </c>
      <c r="BJ100" s="59">
        <f t="shared" si="92"/>
        <v>272.97841038165217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8.378806579159896</v>
      </c>
      <c r="BQ100" s="21">
        <f>EXP(-LN(2)/25)*BQ99+(1-EXP(-LN(2)/25))/(LN(2)/25)*Calculateur!BL100*Calculateur!BN100*VLOOKUP('Données projet'!$B$11,Paramètres!$A$1:$I$89,3,0)*0.475*44/12</f>
        <v>28.742200340469754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37.12100691962965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4.4337866711430253E-14</v>
      </c>
      <c r="CA100" s="13">
        <f t="shared" si="93"/>
        <v>7.3222115536967035E-13</v>
      </c>
      <c r="CB100" s="20">
        <f t="shared" si="64"/>
        <v>1.3525069634579169E-12</v>
      </c>
      <c r="CC100" s="59">
        <f t="shared" si="65"/>
        <v>293.33333333333468</v>
      </c>
      <c r="CD100" s="59">
        <f ca="1">AVERAGE(OFFSET($CC$3,0,0,'Données projet'!$E$12+1,1))-AVERAGE(OFFSET($H$3,0,0,'Données projet'!$E$12+1,1))</f>
        <v>288.82868507674738</v>
      </c>
      <c r="CE100" s="59">
        <f t="shared" si="94"/>
        <v>283.48738729114024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38.16691975403765</v>
      </c>
      <c r="CL100" s="21">
        <f>EXP(-LN(2)/25)*CL99+(1-EXP(-LN(2)/25))/(LN(2)/25)*Calculateur!CG100*Calculateur!CI100*VLOOKUP('Données projet'!$B$12,Paramètres!$A$1:$I$89,3,0)*0.475*44/12</f>
        <v>4.376806864055558</v>
      </c>
      <c r="CM100" s="21">
        <f>EXP(-LN(2)/2)*CM99+(1-EXP(-LN(2)/2))/(LN(2)/2)*CG100*CJ100*VLOOKUP('Données projet'!$B$12,Paramètres!$A$1:$I$89,3,0)*0.475*44/12</f>
        <v>4.449928845098503E-3</v>
      </c>
      <c r="CN100" s="22">
        <f t="shared" si="66"/>
        <v>42.548176546938308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-2.8421709430404007E-13</v>
      </c>
      <c r="CU100" s="17">
        <f>CT100*VLOOKUP('Données projet'!$B$13,Paramètres!$A$1:$I$89,3,0)*VLOOKUP('Données projet'!$B$13,Paramètres!$A$1:$I$89,5,0)</f>
        <v>-1.8621904018800707E-13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340.49092994349405</v>
      </c>
      <c r="CZ100" s="59">
        <f t="shared" si="96"/>
        <v>331.54434271908832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71.109400607551009</v>
      </c>
      <c r="DG100" s="21">
        <f>EXP(-LN(2)/25)*DG99+(1-EXP(-LN(2)/25))/(LN(2)/25)*Calculateur!DB100*Calculateur!DD100*VLOOKUP('Données projet'!$B$13,Paramètres!$A$1:$I$89,3,0)*0.475*44/12</f>
        <v>2.1041654792375359</v>
      </c>
      <c r="DH100" s="21">
        <f>EXP(-LN(2)/2)*DH99+(1-EXP(-LN(2)/2))/(LN(2)/2)*DB100*DE100*VLOOKUP('Données projet'!$B$13,Paramètres!$A$1:$I$89,3,0)*0.475*44/12</f>
        <v>0.13115786415941719</v>
      </c>
      <c r="DI100" s="22">
        <f t="shared" si="69"/>
        <v>73.344723950947966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7.1111111111111107</v>
      </c>
      <c r="DO100" s="12">
        <f>IF('Données projet'!$A$166&gt;35,DO99+DN100-DW99,IF(A100&lt;'Données projet'!$A$166,$DL$205^A100,IF(A100='Données projet'!$A$166,'Données projet'!$B$166,DO99+DN100-DW99)))</f>
        <v>301.11111111111074</v>
      </c>
      <c r="DP100" s="17">
        <f>DO100*VLOOKUP('Données projet'!$B$14,Paramètres!$A$1:$I$89,3,0)*VLOOKUP('Données projet'!$B$14,Paramètres!$A$1:$I$89,5,0)</f>
        <v>305.32666666666631</v>
      </c>
      <c r="DQ100" s="13">
        <f t="shared" si="97"/>
        <v>72.291991021224732</v>
      </c>
      <c r="DR100" s="20">
        <f t="shared" si="70"/>
        <v>657.68582880641031</v>
      </c>
      <c r="DS100" s="59">
        <f t="shared" si="71"/>
        <v>951.01916213974368</v>
      </c>
      <c r="DT100" s="59">
        <f ca="1">AVERAGE(OFFSET($DS$3,0,0,'Données projet'!$E$14+1,1))-AVERAGE(OFFSET($H$3,0,0,'Données projet'!$E$14+1,1))</f>
        <v>586.50020405958992</v>
      </c>
      <c r="DU100" s="59">
        <f t="shared" si="98"/>
        <v>304.44184537595294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15.276163376087489</v>
      </c>
      <c r="EB100" s="21">
        <f>EXP(-LN(2)/25)*EB99+(1-EXP(-LN(2)/25))/(LN(2)/25)*Calculateur!DW100*Calculateur!DY100*VLOOKUP('Données projet'!$B$14,Paramètres!$A$1:$I$89,3,0)*0.475*44/12</f>
        <v>36.00394853924864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51.280111915336128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8.1999999999999993</v>
      </c>
      <c r="N101" s="13">
        <f>IF('Données projet'!$A$36&gt;35,N100+M101-V100,IF(A101&lt;'Données projet'!$A$36,$K$205^A101,IF(A101='Données projet'!$A$36,'Données projet'!$B$36,N100+M101-V100)))</f>
        <v>457.6</v>
      </c>
      <c r="O101" s="13">
        <f>N101*VLOOKUP('Données projet'!$B$9,Paramètres!$A$1:$I$89,3,0)*VLOOKUP('Données projet'!$B$9,Paramètres!$A$1:$I$89,5,0)</f>
        <v>392.62080000000009</v>
      </c>
      <c r="P101" s="13">
        <f t="shared" si="87"/>
        <v>90.279028293744005</v>
      </c>
      <c r="Q101" s="20">
        <f t="shared" si="107"/>
        <v>841.0505342782709</v>
      </c>
      <c r="R101" s="59">
        <f t="shared" si="55"/>
        <v>1134.3838676116043</v>
      </c>
      <c r="S101" s="59">
        <f ca="1">AVERAGE(OFFSET($R$3,0,0,'Données projet'!$E$9+1,1))-AVERAGE(OFFSET($H$3,0,0,'Données projet'!$E$9+1,1))</f>
        <v>536.21423347711345</v>
      </c>
      <c r="T101" s="59">
        <f t="shared" si="88"/>
        <v>312.14361830038712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11.848232111949299</v>
      </c>
      <c r="AA101" s="21">
        <f>EXP(-LN(2)/25)*AA100+(1-EXP(-LN(2)/25))/(LN(2)/25)*Calculateur!V101*Calculateur!X101*VLOOKUP('Données projet'!$B$9,Paramètres!$A$1:$I$89,3,0)*0.475*44/12</f>
        <v>40.322834931401175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52.171067043350476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7.1111111111111107</v>
      </c>
      <c r="AI101" s="13">
        <f>IF('Données projet'!$A$62&gt;35,AI100+AH101-AQ100,IF(A101&lt;'Données projet'!$A$62,$AF$205^A101,IF(A101='Données projet'!$A$62,'Données projet'!$B$62,AI100+AH101-AQ100)))</f>
        <v>308.22222222222183</v>
      </c>
      <c r="AJ101" s="13">
        <f>AI101*VLOOKUP('Données projet'!$B$10,Paramètres!$A$1:$I$89,3,0)*VLOOKUP('Données projet'!$B$10,Paramètres!$A$1:$I$89,5,0)</f>
        <v>278.8794666666663</v>
      </c>
      <c r="AK101" s="13">
        <f t="shared" si="89"/>
        <v>66.730152740440701</v>
      </c>
      <c r="AL101" s="20">
        <f t="shared" si="58"/>
        <v>601.93675380071136</v>
      </c>
      <c r="AM101" s="59">
        <f t="shared" si="59"/>
        <v>895.27008713404462</v>
      </c>
      <c r="AN101" s="59">
        <f ca="1">AVERAGE(OFFSET($AM$3,0,0,'Données projet'!$E$10+1,1))-AVERAGE(OFFSET($H$3,0,0,'Données projet'!$E$10+1,1))</f>
        <v>528.15559695545812</v>
      </c>
      <c r="AO101" s="59">
        <f t="shared" si="90"/>
        <v>276.26988364830532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13.363741746610437</v>
      </c>
      <c r="AV101" s="21">
        <f>EXP(-LN(2)/25)*AV100+(1-EXP(-LN(2)/25))/(LN(2)/25)*Calculateur!AQ101*Calculateur!AS101*VLOOKUP('Données projet'!$B$10,Paramètres!$A$1:$I$89,3,0)*0.475*44/12</f>
        <v>31.248096662130703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44.611838408741136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8.1999999999999993</v>
      </c>
      <c r="BD101" s="12">
        <f>IF('Données projet'!$A$88&gt;35,BD100+BC101-BL100,IF(A101&lt;'Données projet'!$A$88,$BA$205^A101,IF(A101='Données projet'!$A$88,'Données projet'!$B$88,BD100+BC101-BL100)))</f>
        <v>457.6</v>
      </c>
      <c r="BE101" s="13">
        <f>BD101*VLOOKUP('Données projet'!$B$11,Paramètres!$A$1:$I$89,3,0)*VLOOKUP('Données projet'!$B$11,Paramètres!$A$1:$I$89,5,0)</f>
        <v>335.51231999999999</v>
      </c>
      <c r="BF101" s="13">
        <f t="shared" si="91"/>
        <v>78.572047549311222</v>
      </c>
      <c r="BG101" s="20">
        <f t="shared" si="61"/>
        <v>721.19694014838376</v>
      </c>
      <c r="BH101" s="59">
        <f t="shared" si="62"/>
        <v>1014.5302734817171</v>
      </c>
      <c r="BI101" s="59">
        <f ca="1">AVERAGE(OFFSET($BH$3,0,0,'Données projet'!$E$11+1,1))-AVERAGE(OFFSET($H$3,0,0,'Données projet'!$E$11+1,1))</f>
        <v>464.3681853739115</v>
      </c>
      <c r="BJ101" s="59">
        <f t="shared" si="92"/>
        <v>272.97841038165217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8.2145032927099564</v>
      </c>
      <c r="BQ101" s="21">
        <f>EXP(-LN(2)/25)*BQ100+(1-EXP(-LN(2)/25))/(LN(2)/25)*Calculateur!BL101*Calculateur!BN101*VLOOKUP('Données projet'!$B$11,Paramètres!$A$1:$I$89,3,0)*0.475*44/12</f>
        <v>27.956243360672985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36.170746653382942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4.4337866711430253E-14</v>
      </c>
      <c r="CA101" s="13">
        <f t="shared" si="93"/>
        <v>7.3222115536967035E-13</v>
      </c>
      <c r="CB101" s="20">
        <f t="shared" si="64"/>
        <v>1.3525069634579169E-12</v>
      </c>
      <c r="CC101" s="59">
        <f t="shared" si="65"/>
        <v>293.33333333333468</v>
      </c>
      <c r="CD101" s="59">
        <f ca="1">AVERAGE(OFFSET($CC$3,0,0,'Données projet'!$E$12+1,1))-AVERAGE(OFFSET($H$3,0,0,'Données projet'!$E$12+1,1))</f>
        <v>288.82868507674738</v>
      </c>
      <c r="CE101" s="59">
        <f t="shared" si="94"/>
        <v>283.48738729114024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37.418489737183357</v>
      </c>
      <c r="CL101" s="21">
        <f>EXP(-LN(2)/25)*CL100+(1-EXP(-LN(2)/25))/(LN(2)/25)*Calculateur!CG101*Calculateur!CI101*VLOOKUP('Données projet'!$B$12,Paramètres!$A$1:$I$89,3,0)*0.475*44/12</f>
        <v>4.2571228501916893</v>
      </c>
      <c r="CM101" s="21">
        <f>EXP(-LN(2)/2)*CM100+(1-EXP(-LN(2)/2))/(LN(2)/2)*CG101*CJ101*VLOOKUP('Données projet'!$B$12,Paramètres!$A$1:$I$89,3,0)*0.475*44/12</f>
        <v>3.1465748621667734E-3</v>
      </c>
      <c r="CN101" s="22">
        <f t="shared" si="66"/>
        <v>41.678759162237213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-2.8421709430404007E-13</v>
      </c>
      <c r="CU101" s="17">
        <f>CT101*VLOOKUP('Données projet'!$B$13,Paramètres!$A$1:$I$89,3,0)*VLOOKUP('Données projet'!$B$13,Paramètres!$A$1:$I$89,5,0)</f>
        <v>-1.8621904018800707E-13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340.49092994349405</v>
      </c>
      <c r="CZ101" s="59">
        <f t="shared" si="96"/>
        <v>331.54434271908832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69.714988634088627</v>
      </c>
      <c r="DG101" s="21">
        <f>EXP(-LN(2)/25)*DG100+(1-EXP(-LN(2)/25))/(LN(2)/25)*Calculateur!DB101*Calculateur!DD101*VLOOKUP('Données projet'!$B$13,Paramètres!$A$1:$I$89,3,0)*0.475*44/12</f>
        <v>2.046626963554532</v>
      </c>
      <c r="DH101" s="21">
        <f>EXP(-LN(2)/2)*DH100+(1-EXP(-LN(2)/2))/(LN(2)/2)*DB101*DE101*VLOOKUP('Données projet'!$B$13,Paramètres!$A$1:$I$89,3,0)*0.475*44/12</f>
        <v>9.2742615153067934E-2</v>
      </c>
      <c r="DI101" s="22">
        <f t="shared" si="69"/>
        <v>71.854358212796228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7.1111111111111107</v>
      </c>
      <c r="DO101" s="12">
        <f>IF('Données projet'!$A$166&gt;35,DO100+DN101-DW100,IF(A101&lt;'Données projet'!$A$166,$DL$205^A101,IF(A101='Données projet'!$A$166,'Données projet'!$B$166,DO100+DN101-DW100)))</f>
        <v>308.22222222222183</v>
      </c>
      <c r="DP101" s="17">
        <f>DO101*VLOOKUP('Données projet'!$B$14,Paramètres!$A$1:$I$89,3,0)*VLOOKUP('Données projet'!$B$14,Paramètres!$A$1:$I$89,5,0)</f>
        <v>312.53733333333298</v>
      </c>
      <c r="DQ101" s="13">
        <f t="shared" si="97"/>
        <v>73.798474702570331</v>
      </c>
      <c r="DR101" s="20">
        <f t="shared" si="70"/>
        <v>672.86819899586487</v>
      </c>
      <c r="DS101" s="59">
        <f t="shared" si="71"/>
        <v>966.20153232919824</v>
      </c>
      <c r="DT101" s="59">
        <f ca="1">AVERAGE(OFFSET($DS$3,0,0,'Données projet'!$E$14+1,1))-AVERAGE(OFFSET($H$3,0,0,'Données projet'!$E$14+1,1))</f>
        <v>586.50020405958992</v>
      </c>
      <c r="DU101" s="59">
        <f t="shared" si="98"/>
        <v>304.44184537595294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14.976607129822042</v>
      </c>
      <c r="EB101" s="21">
        <f>EXP(-LN(2)/25)*EB100+(1-EXP(-LN(2)/25))/(LN(2)/25)*Calculateur!DW101*Calculateur!DY101*VLOOKUP('Données projet'!$B$14,Paramètres!$A$1:$I$89,3,0)*0.475*44/12</f>
        <v>35.019418673077517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49.99602580289956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8.1999999999999993</v>
      </c>
      <c r="N102" s="13">
        <f>IF('Données projet'!$A$36&gt;35,N101+M102-V101,IF(A102&lt;'Données projet'!$A$36,$K$205^A102,IF(A102='Données projet'!$A$36,'Données projet'!$B$36,N101+M102-V101)))</f>
        <v>465.8</v>
      </c>
      <c r="O102" s="13">
        <f>N102*VLOOKUP('Données projet'!$B$9,Paramètres!$A$1:$I$89,3,0)*VLOOKUP('Données projet'!$B$9,Paramètres!$A$1:$I$89,5,0)</f>
        <v>399.65640000000008</v>
      </c>
      <c r="P102" s="13">
        <f t="shared" si="87"/>
        <v>91.707002110648844</v>
      </c>
      <c r="Q102" s="20">
        <f t="shared" si="107"/>
        <v>855.79125867604671</v>
      </c>
      <c r="R102" s="59">
        <f t="shared" si="55"/>
        <v>1149.12459200938</v>
      </c>
      <c r="S102" s="59">
        <f ca="1">AVERAGE(OFFSET($R$3,0,0,'Données projet'!$E$9+1,1))-AVERAGE(OFFSET($H$3,0,0,'Données projet'!$E$9+1,1))</f>
        <v>536.21423347711345</v>
      </c>
      <c r="T102" s="59">
        <f t="shared" si="88"/>
        <v>312.14361830038712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11.615895506941984</v>
      </c>
      <c r="AA102" s="21">
        <f>EXP(-LN(2)/25)*AA101+(1-EXP(-LN(2)/25))/(LN(2)/25)*Calculateur!V102*Calculateur!X102*VLOOKUP('Données projet'!$B$9,Paramètres!$A$1:$I$89,3,0)*0.475*44/12</f>
        <v>39.220204889716278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50.83610039665826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7.1111111111111107</v>
      </c>
      <c r="AI102" s="13">
        <f>IF('Données projet'!$A$62&gt;35,AI101+AH102-AQ101,IF(A102&lt;'Données projet'!$A$62,$AF$205^A102,IF(A102='Données projet'!$A$62,'Données projet'!$B$62,AI101+AH102-AQ101)))</f>
        <v>315.33333333333292</v>
      </c>
      <c r="AJ102" s="13">
        <f>AI102*VLOOKUP('Données projet'!$B$10,Paramètres!$A$1:$I$89,3,0)*VLOOKUP('Données projet'!$B$10,Paramètres!$A$1:$I$89,5,0)</f>
        <v>285.31359999999961</v>
      </c>
      <c r="AK102" s="13">
        <f t="shared" si="89"/>
        <v>68.088693753445611</v>
      </c>
      <c r="AL102" s="20">
        <f t="shared" si="58"/>
        <v>615.50899495391707</v>
      </c>
      <c r="AM102" s="59">
        <f t="shared" si="59"/>
        <v>908.84232828725044</v>
      </c>
      <c r="AN102" s="59">
        <f ca="1">AVERAGE(OFFSET($AM$3,0,0,'Données projet'!$E$10+1,1))-AVERAGE(OFFSET($H$3,0,0,'Données projet'!$E$10+1,1))</f>
        <v>528.15559695545812</v>
      </c>
      <c r="AO102" s="59">
        <f t="shared" si="90"/>
        <v>276.26988364830532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13.10168692203702</v>
      </c>
      <c r="AV102" s="21">
        <f>EXP(-LN(2)/25)*AV101+(1-EXP(-LN(2)/25))/(LN(2)/25)*Calculateur!AQ102*Calculateur!AS102*VLOOKUP('Données projet'!$B$10,Paramètres!$A$1:$I$89,3,0)*0.475*44/12</f>
        <v>30.393615815638753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43.495302737675772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8.1999999999999993</v>
      </c>
      <c r="BD102" s="12">
        <f>IF('Données projet'!$A$88&gt;35,BD101+BC102-BL101,IF(A102&lt;'Données projet'!$A$88,$BA$205^A102,IF(A102='Données projet'!$A$88,'Données projet'!$B$88,BD101+BC102-BL101)))</f>
        <v>465.8</v>
      </c>
      <c r="BE102" s="13">
        <f>BD102*VLOOKUP('Données projet'!$B$11,Paramètres!$A$1:$I$89,3,0)*VLOOKUP('Données projet'!$B$11,Paramètres!$A$1:$I$89,5,0)</f>
        <v>341.52456000000001</v>
      </c>
      <c r="BF102" s="13">
        <f t="shared" si="91"/>
        <v>79.81484810622409</v>
      </c>
      <c r="BG102" s="20">
        <f t="shared" si="61"/>
        <v>733.83280245167361</v>
      </c>
      <c r="BH102" s="59">
        <f t="shared" si="62"/>
        <v>1027.1661357850069</v>
      </c>
      <c r="BI102" s="59">
        <f ca="1">AVERAGE(OFFSET($BH$3,0,0,'Données projet'!$E$11+1,1))-AVERAGE(OFFSET($H$3,0,0,'Données projet'!$E$11+1,1))</f>
        <v>464.3681853739115</v>
      </c>
      <c r="BJ102" s="59">
        <f t="shared" si="92"/>
        <v>272.97841038165217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8.0534218934921906</v>
      </c>
      <c r="BQ102" s="21">
        <f>EXP(-LN(2)/25)*BQ101+(1-EXP(-LN(2)/25))/(LN(2)/25)*Calculateur!BL102*Calculateur!BN102*VLOOKUP('Données projet'!$B$11,Paramètres!$A$1:$I$89,3,0)*0.475*44/12</f>
        <v>27.191778415820441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35.245200309312629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4.4337866711430253E-14</v>
      </c>
      <c r="CA102" s="13">
        <f t="shared" si="93"/>
        <v>7.3222115536967035E-13</v>
      </c>
      <c r="CB102" s="20">
        <f t="shared" si="64"/>
        <v>1.3525069634579169E-12</v>
      </c>
      <c r="CC102" s="59">
        <f t="shared" si="65"/>
        <v>293.33333333333468</v>
      </c>
      <c r="CD102" s="59">
        <f ca="1">AVERAGE(OFFSET($CC$3,0,0,'Données projet'!$E$12+1,1))-AVERAGE(OFFSET($H$3,0,0,'Données projet'!$E$12+1,1))</f>
        <v>288.82868507674738</v>
      </c>
      <c r="CE102" s="59">
        <f t="shared" si="94"/>
        <v>283.48738729114024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36.684735976462342</v>
      </c>
      <c r="CL102" s="21">
        <f>EXP(-LN(2)/25)*CL101+(1-EXP(-LN(2)/25))/(LN(2)/25)*Calculateur!CG102*Calculateur!CI102*VLOOKUP('Données projet'!$B$12,Paramètres!$A$1:$I$89,3,0)*0.475*44/12</f>
        <v>4.1407116019808363</v>
      </c>
      <c r="CM102" s="21">
        <f>EXP(-LN(2)/2)*CM101+(1-EXP(-LN(2)/2))/(LN(2)/2)*CG102*CJ102*VLOOKUP('Données projet'!$B$12,Paramètres!$A$1:$I$89,3,0)*0.475*44/12</f>
        <v>2.2249644225492515E-3</v>
      </c>
      <c r="CN102" s="22">
        <f t="shared" si="66"/>
        <v>40.827672542865727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-2.8421709430404007E-13</v>
      </c>
      <c r="CU102" s="17">
        <f>CT102*VLOOKUP('Données projet'!$B$13,Paramètres!$A$1:$I$89,3,0)*VLOOKUP('Données projet'!$B$13,Paramètres!$A$1:$I$89,5,0)</f>
        <v>-1.8621904018800707E-13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340.49092994349405</v>
      </c>
      <c r="CZ102" s="59">
        <f t="shared" si="96"/>
        <v>331.54434271908832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68.347920228918525</v>
      </c>
      <c r="DG102" s="21">
        <f>EXP(-LN(2)/25)*DG101+(1-EXP(-LN(2)/25))/(LN(2)/25)*Calculateur!DB102*Calculateur!DD102*VLOOKUP('Données projet'!$B$13,Paramètres!$A$1:$I$89,3,0)*0.475*44/12</f>
        <v>1.990661841608699</v>
      </c>
      <c r="DH102" s="21">
        <f>EXP(-LN(2)/2)*DH101+(1-EXP(-LN(2)/2))/(LN(2)/2)*DB102*DE102*VLOOKUP('Données projet'!$B$13,Paramètres!$A$1:$I$89,3,0)*0.475*44/12</f>
        <v>6.5578932079708593E-2</v>
      </c>
      <c r="DI102" s="22">
        <f t="shared" si="69"/>
        <v>70.404161002606926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7.1111111111111107</v>
      </c>
      <c r="DO102" s="12">
        <f>IF('Données projet'!$A$166&gt;35,DO101+DN102-DW101,IF(A102&lt;'Données projet'!$A$166,$DL$205^A102,IF(A102='Données projet'!$A$166,'Données projet'!$B$166,DO101+DN102-DW101)))</f>
        <v>315.33333333333292</v>
      </c>
      <c r="DP102" s="17">
        <f>DO102*VLOOKUP('Données projet'!$B$14,Paramètres!$A$1:$I$89,3,0)*VLOOKUP('Données projet'!$B$14,Paramètres!$A$1:$I$89,5,0)</f>
        <v>319.74799999999959</v>
      </c>
      <c r="DQ102" s="13">
        <f t="shared" si="97"/>
        <v>75.300917758120036</v>
      </c>
      <c r="DR102" s="20">
        <f t="shared" si="70"/>
        <v>688.04353176205825</v>
      </c>
      <c r="DS102" s="59">
        <f t="shared" si="71"/>
        <v>981.37686509539162</v>
      </c>
      <c r="DT102" s="59">
        <f ca="1">AVERAGE(OFFSET($DS$3,0,0,'Données projet'!$E$14+1,1))-AVERAGE(OFFSET($H$3,0,0,'Données projet'!$E$14+1,1))</f>
        <v>586.50020405958992</v>
      </c>
      <c r="DU102" s="59">
        <f t="shared" si="98"/>
        <v>304.44184537595294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14.682924998834592</v>
      </c>
      <c r="EB102" s="21">
        <f>EXP(-LN(2)/25)*EB101+(1-EXP(-LN(2)/25))/(LN(2)/25)*Calculateur!DW102*Calculateur!DY102*VLOOKUP('Données projet'!$B$14,Paramètres!$A$1:$I$89,3,0)*0.475*44/12</f>
        <v>34.061810827871021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48.744735826705615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474</v>
      </c>
      <c r="L103" s="12">
        <f>VLOOKUP(A103,'Données projet'!$A$35:$I$55,9,0)</f>
        <v>8.1999999999999993</v>
      </c>
      <c r="M103" s="12">
        <f t="array" ref="M103">INDEX(L:L,MIN(IF(ISNUMBER(L103:L299),ROW(L103:L299),"")))</f>
        <v>8.1999999999999993</v>
      </c>
      <c r="N103" s="13">
        <f>IF('Données projet'!$A$36&gt;35,N102+M103-V102,IF(A103&lt;'Données projet'!$A$36,$K$205^A103,IF(A103='Données projet'!$A$36,'Données projet'!$B$36,N102+M103-V102)))</f>
        <v>474</v>
      </c>
      <c r="O103" s="13">
        <f>N103*VLOOKUP('Données projet'!$B$9,Paramètres!$A$1:$I$89,3,0)*VLOOKUP('Données projet'!$B$9,Paramètres!$A$1:$I$89,5,0)</f>
        <v>406.69200000000006</v>
      </c>
      <c r="P103" s="13">
        <f t="shared" si="87"/>
        <v>93.132052674423107</v>
      </c>
      <c r="Q103" s="20">
        <f t="shared" si="107"/>
        <v>870.52689174128693</v>
      </c>
      <c r="R103" s="59">
        <f t="shared" si="55"/>
        <v>1163.8602250746203</v>
      </c>
      <c r="S103" s="59">
        <f ca="1">AVERAGE(OFFSET($R$3,0,0,'Données projet'!$E$9+1,1))-AVERAGE(OFFSET($H$3,0,0,'Données projet'!$E$9+1,1))</f>
        <v>536.21423347711345</v>
      </c>
      <c r="T103" s="59">
        <f t="shared" si="88"/>
        <v>312.14361830038712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29</v>
      </c>
      <c r="W103" s="16">
        <f>IF(ISNA(VLOOKUP(A103,'Données projet'!$A$35:$I$55,5,0)),0%,VLOOKUP(A103,'Données projet'!$A$35:$I$55,5,0)*VLOOKUP('Données projet'!$B$9,Paramètres!$A$1:$I$89,7,0))</f>
        <v>0.159</v>
      </c>
      <c r="X103" s="16">
        <f>IF(ISNA(VLOOKUP(A103,'Données projet'!$A$35:$I$55,6,0)),0%,VLOOKUP(A103,'Données projet'!$A$35:$I$55,6,0)*VLOOKUP('Données projet'!$B$9,Paramètres!$A$1:$I$89,7,0))</f>
        <v>0.1855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15.761618804430203</v>
      </c>
      <c r="AA103" s="21">
        <f>EXP(-LN(2)/25)*AA102+(1-EXP(-LN(2)/25))/(LN(2)/25)*Calculateur!V103*Calculateur!X103*VLOOKUP('Données projet'!$B$9,Paramètres!$A$1:$I$89,3,0)*0.475*44/12</f>
        <v>43.230057391840184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58.99167619627039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7.1111111111111107</v>
      </c>
      <c r="AI103" s="13">
        <f>IF('Données projet'!$A$62&gt;35,AI102+AH103-AQ102,IF(A103&lt;'Données projet'!$A$62,$AF$205^A103,IF(A103='Données projet'!$A$62,'Données projet'!$B$62,AI102+AH103-AQ102)))</f>
        <v>322.444444444444</v>
      </c>
      <c r="AJ103" s="13">
        <f>AI103*VLOOKUP('Données projet'!$B$10,Paramètres!$A$1:$I$89,3,0)*VLOOKUP('Données projet'!$B$10,Paramètres!$A$1:$I$89,5,0)</f>
        <v>291.74773333333292</v>
      </c>
      <c r="AK103" s="13">
        <f t="shared" si="89"/>
        <v>69.443673025334732</v>
      </c>
      <c r="AL103" s="20">
        <f t="shared" si="58"/>
        <v>629.07503274134626</v>
      </c>
      <c r="AM103" s="59">
        <f t="shared" si="59"/>
        <v>922.40836607467963</v>
      </c>
      <c r="AN103" s="59">
        <f ca="1">AVERAGE(OFFSET($AM$3,0,0,'Données projet'!$E$10+1,1))-AVERAGE(OFFSET($H$3,0,0,'Données projet'!$E$10+1,1))</f>
        <v>528.15559695545812</v>
      </c>
      <c r="AO103" s="59">
        <f t="shared" si="90"/>
        <v>276.26988364830532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12.844770832735827</v>
      </c>
      <c r="AV103" s="21">
        <f>EXP(-LN(2)/25)*AV102+(1-EXP(-LN(2)/25))/(LN(2)/25)*Calculateur!AQ103*Calculateur!AS103*VLOOKUP('Données projet'!$B$10,Paramètres!$A$1:$I$89,3,0)*0.475*44/12</f>
        <v>29.562500792829322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42.407271625565151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474</v>
      </c>
      <c r="BB103" s="12">
        <f>VLOOKUP(A103,'Données projet'!$A$87:$I$107,9,0)</f>
        <v>8.1999999999999993</v>
      </c>
      <c r="BC103" s="12">
        <f t="array" ref="BC103">INDEX(BB:BB,MIN(IF(ISNUMBER(BB103:BB299),ROW(BB103:BB299),"")))</f>
        <v>8.1999999999999993</v>
      </c>
      <c r="BD103" s="12">
        <f>IF('Données projet'!$A$88&gt;35,BD102+BC103-BL102,IF(A103&lt;'Données projet'!$A$88,$BA$205^A103,IF(A103='Données projet'!$A$88,'Données projet'!$B$88,BD102+BC103-BL102)))</f>
        <v>474</v>
      </c>
      <c r="BE103" s="13">
        <f>BD103*VLOOKUP('Données projet'!$B$11,Paramètres!$A$1:$I$89,3,0)*VLOOKUP('Données projet'!$B$11,Paramètres!$A$1:$I$89,5,0)</f>
        <v>347.53680000000003</v>
      </c>
      <c r="BF103" s="13">
        <f t="shared" si="91"/>
        <v>81.055104484402264</v>
      </c>
      <c r="BG103" s="20">
        <f t="shared" si="61"/>
        <v>746.46423364366728</v>
      </c>
      <c r="BH103" s="59">
        <f t="shared" si="62"/>
        <v>1039.7975669770005</v>
      </c>
      <c r="BI103" s="59">
        <f ca="1">AVERAGE(OFFSET($BH$3,0,0,'Données projet'!$E$11+1,1))-AVERAGE(OFFSET($H$3,0,0,'Données projet'!$E$11+1,1))</f>
        <v>464.3681853739115</v>
      </c>
      <c r="BJ103" s="59">
        <f t="shared" si="92"/>
        <v>272.97841038165217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29</v>
      </c>
      <c r="BM103" s="16">
        <f>IF(ISNA(VLOOKUP(A103,'Données projet'!$A$87:$I$107,5,0)),0%,VLOOKUP(A103,'Données projet'!$A$87:$I$107,5,0)*VLOOKUP('Données projet'!$B$11,Paramètres!$A$1:$I$89,7,0))</f>
        <v>0.129</v>
      </c>
      <c r="BN103" s="16">
        <f>IF(ISNA(VLOOKUP(A103,'Données projet'!$A$87:$I$107,6,0)),0%,VLOOKUP(A103,'Données projet'!$A$87:$I$107,6,0)*VLOOKUP('Données projet'!$B$11,Paramètres!$A$1:$I$89,7,0))</f>
        <v>0.15049999999999999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10.927695232848519</v>
      </c>
      <c r="BQ103" s="21">
        <f>EXP(-LN(2)/25)*BQ102+(1-EXP(-LN(2)/25))/(LN(2)/25)*Calculateur!BL103*Calculateur!BN103*VLOOKUP('Données projet'!$B$11,Paramètres!$A$1:$I$89,3,0)*0.475*44/12</f>
        <v>29.971851111118006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40.899546343966527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4.4337866711430253E-14</v>
      </c>
      <c r="CA103" s="13">
        <f t="shared" si="93"/>
        <v>7.3222115536967035E-13</v>
      </c>
      <c r="CB103" s="20">
        <f t="shared" si="64"/>
        <v>1.3525069634579169E-12</v>
      </c>
      <c r="CC103" s="59">
        <f t="shared" si="65"/>
        <v>293.33333333333468</v>
      </c>
      <c r="CD103" s="59">
        <f ca="1">AVERAGE(OFFSET($CC$3,0,0,'Données projet'!$E$12+1,1))-AVERAGE(OFFSET($H$3,0,0,'Données projet'!$E$12+1,1))</f>
        <v>288.82868507674738</v>
      </c>
      <c r="CE103" s="59">
        <f t="shared" si="94"/>
        <v>283.48738729114024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35.965370679443467</v>
      </c>
      <c r="CL103" s="21">
        <f>EXP(-LN(2)/25)*CL102+(1-EXP(-LN(2)/25))/(LN(2)/25)*Calculateur!CG103*Calculateur!CI103*VLOOKUP('Données projet'!$B$12,Paramètres!$A$1:$I$89,3,0)*0.475*44/12</f>
        <v>4.0274836254741109</v>
      </c>
      <c r="CM103" s="21">
        <f>EXP(-LN(2)/2)*CM102+(1-EXP(-LN(2)/2))/(LN(2)/2)*CG103*CJ103*VLOOKUP('Données projet'!$B$12,Paramètres!$A$1:$I$89,3,0)*0.475*44/12</f>
        <v>1.5732874310833867E-3</v>
      </c>
      <c r="CN103" s="22">
        <f t="shared" si="66"/>
        <v>39.994427592348664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-2.8421709430404007E-13</v>
      </c>
      <c r="CU103" s="17">
        <f>CT103*VLOOKUP('Données projet'!$B$13,Paramètres!$A$1:$I$89,3,0)*VLOOKUP('Données projet'!$B$13,Paramètres!$A$1:$I$89,5,0)</f>
        <v>-1.8621904018800707E-13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340.49092994349405</v>
      </c>
      <c r="CZ103" s="59">
        <f t="shared" si="96"/>
        <v>331.54434271908832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67.00765920134441</v>
      </c>
      <c r="DG103" s="21">
        <f>EXP(-LN(2)/25)*DG102+(1-EXP(-LN(2)/25))/(LN(2)/25)*Calculateur!DB103*Calculateur!DD103*VLOOKUP('Données projet'!$B$13,Paramètres!$A$1:$I$89,3,0)*0.475*44/12</f>
        <v>1.9362270888655526</v>
      </c>
      <c r="DH103" s="21">
        <f>EXP(-LN(2)/2)*DH102+(1-EXP(-LN(2)/2))/(LN(2)/2)*DB103*DE103*VLOOKUP('Données projet'!$B$13,Paramètres!$A$1:$I$89,3,0)*0.475*44/12</f>
        <v>4.6371307576533967E-2</v>
      </c>
      <c r="DI103" s="22">
        <f t="shared" si="69"/>
        <v>68.990257597786496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7.1111111111111107</v>
      </c>
      <c r="DO103" s="12">
        <f>IF('Données projet'!$A$166&gt;35,DO102+DN103-DW102,IF(A103&lt;'Données projet'!$A$166,$DL$205^A103,IF(A103='Données projet'!$A$166,'Données projet'!$B$166,DO102+DN103-DW102)))</f>
        <v>322.444444444444</v>
      </c>
      <c r="DP103" s="17">
        <f>DO103*VLOOKUP('Données projet'!$B$14,Paramètres!$A$1:$I$89,3,0)*VLOOKUP('Données projet'!$B$14,Paramètres!$A$1:$I$89,5,0)</f>
        <v>326.95866666666626</v>
      </c>
      <c r="DQ103" s="13">
        <f t="shared" si="97"/>
        <v>76.799421798834103</v>
      </c>
      <c r="DR103" s="20">
        <f t="shared" si="70"/>
        <v>703.2120040774131</v>
      </c>
      <c r="DS103" s="59">
        <f t="shared" si="71"/>
        <v>996.54533741074647</v>
      </c>
      <c r="DT103" s="59">
        <f ca="1">AVERAGE(OFFSET($DS$3,0,0,'Données projet'!$E$14+1,1))-AVERAGE(OFFSET($H$3,0,0,'Données projet'!$E$14+1,1))</f>
        <v>586.50020405958992</v>
      </c>
      <c r="DU103" s="59">
        <f t="shared" si="98"/>
        <v>304.44184537595294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14.395001795307392</v>
      </c>
      <c r="EB103" s="21">
        <f>EXP(-LN(2)/25)*EB102+(1-EXP(-LN(2)/25))/(LN(2)/25)*Calculateur!DW103*Calculateur!DY103*VLOOKUP('Données projet'!$B$14,Paramètres!$A$1:$I$89,3,0)*0.475*44/12</f>
        <v>33.130388819550106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47.5253906148575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7.8</v>
      </c>
      <c r="N104" s="13">
        <f>IF('Données projet'!$A$36&gt;35,N103+M104-V103,IF(A104&lt;'Données projet'!$A$36,$K$205^A104,IF(A104='Données projet'!$A$36,'Données projet'!$B$36,N103+M104-V103)))</f>
        <v>452.8</v>
      </c>
      <c r="O104" s="13">
        <f>N104*VLOOKUP('Données projet'!$B$9,Paramètres!$A$1:$I$89,3,0)*VLOOKUP('Données projet'!$B$9,Paramètres!$A$1:$I$89,5,0)</f>
        <v>388.50240000000002</v>
      </c>
      <c r="P104" s="13">
        <f t="shared" si="87"/>
        <v>89.441761444345047</v>
      </c>
      <c r="Q104" s="20">
        <f t="shared" si="107"/>
        <v>832.41941451556761</v>
      </c>
      <c r="R104" s="59">
        <f t="shared" si="55"/>
        <v>1125.752747848901</v>
      </c>
      <c r="S104" s="59">
        <f ca="1">AVERAGE(OFFSET($R$3,0,0,'Données projet'!$E$9+1,1))-AVERAGE(OFFSET($H$3,0,0,'Données projet'!$E$9+1,1))</f>
        <v>536.21423347711345</v>
      </c>
      <c r="T104" s="59">
        <f t="shared" si="88"/>
        <v>312.14361830038712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15.45254307331353</v>
      </c>
      <c r="AA104" s="21">
        <f>EXP(-LN(2)/25)*AA103+(1-EXP(-LN(2)/25))/(LN(2)/25)*Calculateur!V104*Calculateur!X104*VLOOKUP('Données projet'!$B$9,Paramètres!$A$1:$I$89,3,0)*0.475*44/12</f>
        <v>42.047929199090397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57.500472272403925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7.1111111111111107</v>
      </c>
      <c r="AI104" s="13">
        <f>IF('Données projet'!$A$62&gt;35,AI103+AH104-AQ103,IF(A104&lt;'Données projet'!$A$62,$AF$205^A104,IF(A104='Données projet'!$A$62,'Données projet'!$B$62,AI103+AH104-AQ103)))</f>
        <v>329.55555555555509</v>
      </c>
      <c r="AJ104" s="13">
        <f>AI104*VLOOKUP('Données projet'!$B$10,Paramètres!$A$1:$I$89,3,0)*VLOOKUP('Données projet'!$B$10,Paramètres!$A$1:$I$89,5,0)</f>
        <v>298.18186666666622</v>
      </c>
      <c r="AK104" s="13">
        <f t="shared" si="89"/>
        <v>70.795178150955209</v>
      </c>
      <c r="AL104" s="20">
        <f t="shared" si="58"/>
        <v>642.635019724024</v>
      </c>
      <c r="AM104" s="59">
        <f t="shared" si="59"/>
        <v>935.96835305735726</v>
      </c>
      <c r="AN104" s="59">
        <f ca="1">AVERAGE(OFFSET($AM$3,0,0,'Données projet'!$E$10+1,1))-AVERAGE(OFFSET($H$3,0,0,'Données projet'!$E$10+1,1))</f>
        <v>528.15559695545812</v>
      </c>
      <c r="AO104" s="59">
        <f t="shared" si="90"/>
        <v>276.26988364830532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12.59289271124249</v>
      </c>
      <c r="AV104" s="21">
        <f>EXP(-LN(2)/25)*AV103+(1-EXP(-LN(2)/25))/(LN(2)/25)*Calculateur!AQ104*Calculateur!AS104*VLOOKUP('Données projet'!$B$10,Paramètres!$A$1:$I$89,3,0)*0.475*44/12</f>
        <v>28.754112654025054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41.347005365267542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7.8</v>
      </c>
      <c r="BD104" s="12">
        <f>IF('Données projet'!$A$88&gt;35,BD103+BC104-BL103,IF(A104&lt;'Données projet'!$A$88,$BA$205^A104,IF(A104='Données projet'!$A$88,'Données projet'!$B$88,BD103+BC104-BL103)))</f>
        <v>452.8</v>
      </c>
      <c r="BE104" s="13">
        <f>BD104*VLOOKUP('Données projet'!$B$11,Paramètres!$A$1:$I$89,3,0)*VLOOKUP('Données projet'!$B$11,Paramètres!$A$1:$I$89,5,0)</f>
        <v>331.99296000000004</v>
      </c>
      <c r="BF104" s="13">
        <f t="shared" si="91"/>
        <v>77.843353721455856</v>
      </c>
      <c r="BG104" s="20">
        <f t="shared" si="61"/>
        <v>713.79824639820242</v>
      </c>
      <c r="BH104" s="59">
        <f t="shared" si="62"/>
        <v>1007.1315797315358</v>
      </c>
      <c r="BI104" s="59">
        <f ca="1">AVERAGE(OFFSET($BH$3,0,0,'Données projet'!$E$11+1,1))-AVERAGE(OFFSET($H$3,0,0,'Données projet'!$E$11+1,1))</f>
        <v>464.3681853739115</v>
      </c>
      <c r="BJ104" s="59">
        <f t="shared" si="92"/>
        <v>272.97841038165217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10.713409794568314</v>
      </c>
      <c r="BQ104" s="21">
        <f>EXP(-LN(2)/25)*BQ103+(1-EXP(-LN(2)/25))/(LN(2)/25)*Calculateur!BL104*Calculateur!BN104*VLOOKUP('Données projet'!$B$11,Paramètres!$A$1:$I$89,3,0)*0.475*44/12</f>
        <v>29.152269266333334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39.865679060901648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4.4337866711430253E-14</v>
      </c>
      <c r="CA104" s="13">
        <f t="shared" si="93"/>
        <v>7.3222115536967035E-13</v>
      </c>
      <c r="CB104" s="20">
        <f t="shared" si="64"/>
        <v>1.3525069634579169E-12</v>
      </c>
      <c r="CC104" s="59">
        <f t="shared" si="65"/>
        <v>293.33333333333468</v>
      </c>
      <c r="CD104" s="59">
        <f ca="1">AVERAGE(OFFSET($CC$3,0,0,'Données projet'!$E$12+1,1))-AVERAGE(OFFSET($H$3,0,0,'Données projet'!$E$12+1,1))</f>
        <v>288.82868507674738</v>
      </c>
      <c r="CE104" s="59">
        <f t="shared" si="94"/>
        <v>283.48738729114024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35.260111697129624</v>
      </c>
      <c r="CL104" s="21">
        <f>EXP(-LN(2)/25)*CL103+(1-EXP(-LN(2)/25))/(LN(2)/25)*Calculateur!CG104*Calculateur!CI104*VLOOKUP('Données projet'!$B$12,Paramètres!$A$1:$I$89,3,0)*0.475*44/12</f>
        <v>3.9173518739393622</v>
      </c>
      <c r="CM104" s="21">
        <f>EXP(-LN(2)/2)*CM103+(1-EXP(-LN(2)/2))/(LN(2)/2)*CG104*CJ104*VLOOKUP('Données projet'!$B$12,Paramètres!$A$1:$I$89,3,0)*0.475*44/12</f>
        <v>1.1124822112746258E-3</v>
      </c>
      <c r="CN104" s="22">
        <f t="shared" si="66"/>
        <v>39.17857605328026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-2.8421709430404007E-13</v>
      </c>
      <c r="CU104" s="17">
        <f>CT104*VLOOKUP('Données projet'!$B$13,Paramètres!$A$1:$I$89,3,0)*VLOOKUP('Données projet'!$B$13,Paramètres!$A$1:$I$89,5,0)</f>
        <v>-1.8621904018800707E-13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340.49092994349405</v>
      </c>
      <c r="CZ104" s="59">
        <f t="shared" si="96"/>
        <v>331.54434271908832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65.69367987504252</v>
      </c>
      <c r="DG104" s="21">
        <f>EXP(-LN(2)/25)*DG103+(1-EXP(-LN(2)/25))/(LN(2)/25)*Calculateur!DB104*Calculateur!DD104*VLOOKUP('Données projet'!$B$13,Paramètres!$A$1:$I$89,3,0)*0.475*44/12</f>
        <v>1.8832808572987667</v>
      </c>
      <c r="DH104" s="21">
        <f>EXP(-LN(2)/2)*DH103+(1-EXP(-LN(2)/2))/(LN(2)/2)*DB104*DE104*VLOOKUP('Données projet'!$B$13,Paramètres!$A$1:$I$89,3,0)*0.475*44/12</f>
        <v>3.2789466039854297E-2</v>
      </c>
      <c r="DI104" s="22">
        <f t="shared" si="69"/>
        <v>67.60975019838115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7.1111111111111107</v>
      </c>
      <c r="DO104" s="12">
        <f>IF('Données projet'!$A$166&gt;35,DO103+DN104-DW103,IF(A104&lt;'Données projet'!$A$166,$DL$205^A104,IF(A104='Données projet'!$A$166,'Données projet'!$B$166,DO103+DN104-DW103)))</f>
        <v>329.55555555555509</v>
      </c>
      <c r="DP104" s="17">
        <f>DO104*VLOOKUP('Données projet'!$B$14,Paramètres!$A$1:$I$89,3,0)*VLOOKUP('Données projet'!$B$14,Paramètres!$A$1:$I$89,5,0)</f>
        <v>334.16933333333287</v>
      </c>
      <c r="DQ104" s="13">
        <f t="shared" si="97"/>
        <v>78.294083697952715</v>
      </c>
      <c r="DR104" s="20">
        <f t="shared" si="70"/>
        <v>718.37378466282235</v>
      </c>
      <c r="DS104" s="59">
        <f t="shared" si="71"/>
        <v>1011.7071179961556</v>
      </c>
      <c r="DT104" s="59">
        <f ca="1">AVERAGE(OFFSET($DS$3,0,0,'Données projet'!$E$14+1,1))-AVERAGE(OFFSET($H$3,0,0,'Données projet'!$E$14+1,1))</f>
        <v>586.50020405958992</v>
      </c>
      <c r="DU104" s="59">
        <f t="shared" si="98"/>
        <v>304.44184537595294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14.112724590185548</v>
      </c>
      <c r="EB104" s="21">
        <f>EXP(-LN(2)/25)*EB103+(1-EXP(-LN(2)/25))/(LN(2)/25)*Calculateur!DW104*Calculateur!DY104*VLOOKUP('Données projet'!$B$14,Paramètres!$A$1:$I$89,3,0)*0.475*44/12</f>
        <v>32.224436595028081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46.337161185213631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7.8</v>
      </c>
      <c r="N105" s="13">
        <f>IF('Données projet'!$A$36&gt;35,N104+M105-V104,IF(A105&lt;'Données projet'!$A$36,$K$205^A105,IF(A105='Données projet'!$A$36,'Données projet'!$B$36,N104+M105-V104)))</f>
        <v>460.6</v>
      </c>
      <c r="O105" s="13">
        <f>N105*VLOOKUP('Données projet'!$B$9,Paramètres!$A$1:$I$89,3,0)*VLOOKUP('Données projet'!$B$9,Paramètres!$A$1:$I$89,5,0)</f>
        <v>395.1948000000001</v>
      </c>
      <c r="P105" s="13">
        <f t="shared" si="87"/>
        <v>90.801800495271991</v>
      </c>
      <c r="Q105" s="20">
        <f t="shared" si="107"/>
        <v>846.4440791959322</v>
      </c>
      <c r="R105" s="59">
        <f t="shared" si="55"/>
        <v>1139.7774125292656</v>
      </c>
      <c r="S105" s="59">
        <f ca="1">AVERAGE(OFFSET($R$3,0,0,'Données projet'!$E$9+1,1))-AVERAGE(OFFSET($H$3,0,0,'Données projet'!$E$9+1,1))</f>
        <v>536.21423347711345</v>
      </c>
      <c r="T105" s="59">
        <f t="shared" si="88"/>
        <v>312.14361830038712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15.149528128766473</v>
      </c>
      <c r="AA105" s="21">
        <f>EXP(-LN(2)/25)*AA104+(1-EXP(-LN(2)/25))/(LN(2)/25)*Calculateur!V105*Calculateur!X105*VLOOKUP('Données projet'!$B$9,Paramètres!$A$1:$I$89,3,0)*0.475*44/12</f>
        <v>40.898126363936775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56.047654492703245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7.1111111111111107</v>
      </c>
      <c r="AI105" s="13">
        <f>IF('Données projet'!$A$62&gt;35,AI104+AH105-AQ104,IF(A105&lt;'Données projet'!$A$62,$AF$205^A105,IF(A105='Données projet'!$A$62,'Données projet'!$B$62,AI104+AH105-AQ104)))</f>
        <v>336.66666666666617</v>
      </c>
      <c r="AJ105" s="13">
        <f>AI105*VLOOKUP('Données projet'!$B$10,Paramètres!$A$1:$I$89,3,0)*VLOOKUP('Données projet'!$B$10,Paramètres!$A$1:$I$89,5,0)</f>
        <v>304.61599999999953</v>
      </c>
      <c r="AK105" s="13">
        <f t="shared" si="89"/>
        <v>72.143292729010327</v>
      </c>
      <c r="AL105" s="20">
        <f t="shared" si="58"/>
        <v>656.18910150302543</v>
      </c>
      <c r="AM105" s="59">
        <f t="shared" si="59"/>
        <v>949.5224348363588</v>
      </c>
      <c r="AN105" s="59">
        <f ca="1">AVERAGE(OFFSET($AM$3,0,0,'Données projet'!$E$10+1,1))-AVERAGE(OFFSET($H$3,0,0,'Données projet'!$E$10+1,1))</f>
        <v>528.15559695545812</v>
      </c>
      <c r="AO105" s="59">
        <f t="shared" si="90"/>
        <v>276.26988364830532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12.345953766081152</v>
      </c>
      <c r="AV105" s="21">
        <f>EXP(-LN(2)/25)*AV104+(1-EXP(-LN(2)/25))/(LN(2)/25)*Calculateur!AQ105*Calculateur!AS105*VLOOKUP('Données projet'!$B$10,Paramètres!$A$1:$I$89,3,0)*0.475*44/12</f>
        <v>27.967829931387673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40.313783697468821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7.8</v>
      </c>
      <c r="BD105" s="12">
        <f>IF('Données projet'!$A$88&gt;35,BD104+BC105-BL104,IF(A105&lt;'Données projet'!$A$88,$BA$205^A105,IF(A105='Données projet'!$A$88,'Données projet'!$B$88,BD104+BC105-BL104)))</f>
        <v>460.6</v>
      </c>
      <c r="BE105" s="13">
        <f>BD105*VLOOKUP('Données projet'!$B$11,Paramètres!$A$1:$I$89,3,0)*VLOOKUP('Données projet'!$B$11,Paramètres!$A$1:$I$89,5,0)</f>
        <v>337.71192000000002</v>
      </c>
      <c r="BF105" s="13">
        <f t="shared" si="91"/>
        <v>79.027028989100984</v>
      </c>
      <c r="BG105" s="20">
        <f t="shared" si="61"/>
        <v>725.82033615601756</v>
      </c>
      <c r="BH105" s="59">
        <f t="shared" si="62"/>
        <v>1019.1536694893509</v>
      </c>
      <c r="BI105" s="59">
        <f ca="1">AVERAGE(OFFSET($BH$3,0,0,'Données projet'!$E$11+1,1))-AVERAGE(OFFSET($H$3,0,0,'Données projet'!$E$11+1,1))</f>
        <v>464.3681853739115</v>
      </c>
      <c r="BJ105" s="59">
        <f t="shared" si="92"/>
        <v>272.97841038165217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10.503326363031572</v>
      </c>
      <c r="BQ105" s="21">
        <f>EXP(-LN(2)/25)*BQ104+(1-EXP(-LN(2)/25))/(LN(2)/25)*Calculateur!BL105*Calculateur!BN105*VLOOKUP('Données projet'!$B$11,Paramètres!$A$1:$I$89,3,0)*0.475*44/12</f>
        <v>28.355098930194238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38.858425293225807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4.4337866711430253E-14</v>
      </c>
      <c r="CA105" s="13">
        <f t="shared" si="93"/>
        <v>7.3222115536967035E-13</v>
      </c>
      <c r="CB105" s="20">
        <f t="shared" si="64"/>
        <v>1.3525069634579169E-12</v>
      </c>
      <c r="CC105" s="59">
        <f t="shared" si="65"/>
        <v>293.33333333333468</v>
      </c>
      <c r="CD105" s="59">
        <f ca="1">AVERAGE(OFFSET($CC$3,0,0,'Données projet'!$E$12+1,1))-AVERAGE(OFFSET($H$3,0,0,'Données projet'!$E$12+1,1))</f>
        <v>288.82868507674738</v>
      </c>
      <c r="CE105" s="59">
        <f t="shared" si="94"/>
        <v>283.48738729114024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34.568682413293452</v>
      </c>
      <c r="CL105" s="21">
        <f>EXP(-LN(2)/25)*CL104+(1-EXP(-LN(2)/25))/(LN(2)/25)*Calculateur!CG105*Calculateur!CI105*VLOOKUP('Données projet'!$B$12,Paramètres!$A$1:$I$89,3,0)*0.475*44/12</f>
        <v>3.8102316809419086</v>
      </c>
      <c r="CM105" s="21">
        <f>EXP(-LN(2)/2)*CM104+(1-EXP(-LN(2)/2))/(LN(2)/2)*CG105*CJ105*VLOOKUP('Données projet'!$B$12,Paramètres!$A$1:$I$89,3,0)*0.475*44/12</f>
        <v>7.8664371554169334E-4</v>
      </c>
      <c r="CN105" s="22">
        <f t="shared" si="66"/>
        <v>38.379700737950905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-2.8421709430404007E-13</v>
      </c>
      <c r="CU105" s="17">
        <f>CT105*VLOOKUP('Données projet'!$B$13,Paramètres!$A$1:$I$89,3,0)*VLOOKUP('Données projet'!$B$13,Paramètres!$A$1:$I$89,5,0)</f>
        <v>-1.8621904018800707E-13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340.49092994349405</v>
      </c>
      <c r="CZ105" s="59">
        <f t="shared" si="96"/>
        <v>331.54434271908832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64.405466881881154</v>
      </c>
      <c r="DG105" s="21">
        <f>EXP(-LN(2)/25)*DG104+(1-EXP(-LN(2)/25))/(LN(2)/25)*Calculateur!DB105*Calculateur!DD105*VLOOKUP('Données projet'!$B$13,Paramètres!$A$1:$I$89,3,0)*0.475*44/12</f>
        <v>1.8317824432184959</v>
      </c>
      <c r="DH105" s="21">
        <f>EXP(-LN(2)/2)*DH104+(1-EXP(-LN(2)/2))/(LN(2)/2)*DB105*DE105*VLOOKUP('Données projet'!$B$13,Paramètres!$A$1:$I$89,3,0)*0.475*44/12</f>
        <v>2.3185653788266983E-2</v>
      </c>
      <c r="DI105" s="22">
        <f t="shared" si="69"/>
        <v>66.260434978887915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7.1111111111111107</v>
      </c>
      <c r="DO105" s="12">
        <f>IF('Données projet'!$A$166&gt;35,DO104+DN105-DW104,IF(A105&lt;'Données projet'!$A$166,$DL$205^A105,IF(A105='Données projet'!$A$166,'Données projet'!$B$166,DO104+DN105-DW104)))</f>
        <v>336.66666666666617</v>
      </c>
      <c r="DP105" s="17">
        <f>DO105*VLOOKUP('Données projet'!$B$14,Paramètres!$A$1:$I$89,3,0)*VLOOKUP('Données projet'!$B$14,Paramètres!$A$1:$I$89,5,0)</f>
        <v>341.37999999999954</v>
      </c>
      <c r="DQ105" s="13">
        <f t="shared" si="97"/>
        <v>79.784995909284618</v>
      </c>
      <c r="DR105" s="20">
        <f t="shared" si="70"/>
        <v>733.52903454200316</v>
      </c>
      <c r="DS105" s="59">
        <f t="shared" si="71"/>
        <v>1026.8623678753365</v>
      </c>
      <c r="DT105" s="59">
        <f ca="1">AVERAGE(OFFSET($DS$3,0,0,'Données projet'!$E$14+1,1))-AVERAGE(OFFSET($H$3,0,0,'Données projet'!$E$14+1,1))</f>
        <v>586.50020405958992</v>
      </c>
      <c r="DU105" s="59">
        <f t="shared" si="98"/>
        <v>304.44184537595294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13.83598266888405</v>
      </c>
      <c r="EB105" s="21">
        <f>EXP(-LN(2)/25)*EB104+(1-EXP(-LN(2)/25))/(LN(2)/25)*Calculateur!DW105*Calculateur!DY105*VLOOKUP('Données projet'!$B$14,Paramètres!$A$1:$I$89,3,0)*0.475*44/12</f>
        <v>31.343257681727568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45.179240350611622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7.8</v>
      </c>
      <c r="N106" s="13">
        <f>IF('Données projet'!$A$36&gt;35,N105+M106-V105,IF(A106&lt;'Données projet'!$A$36,$K$205^A106,IF(A106='Données projet'!$A$36,'Données projet'!$B$36,N105+M106-V105)))</f>
        <v>468.40000000000003</v>
      </c>
      <c r="O106" s="13">
        <f>N106*VLOOKUP('Données projet'!$B$9,Paramètres!$A$1:$I$89,3,0)*VLOOKUP('Données projet'!$B$9,Paramètres!$A$1:$I$89,5,0)</f>
        <v>401.88720000000012</v>
      </c>
      <c r="P106" s="13">
        <f t="shared" si="87"/>
        <v>92.159161185828268</v>
      </c>
      <c r="Q106" s="20">
        <f t="shared" si="107"/>
        <v>860.46407906531783</v>
      </c>
      <c r="R106" s="59">
        <f t="shared" si="55"/>
        <v>1153.7974123986512</v>
      </c>
      <c r="S106" s="59">
        <f ca="1">AVERAGE(OFFSET($R$3,0,0,'Données projet'!$E$9+1,1))-AVERAGE(OFFSET($H$3,0,0,'Données projet'!$E$9+1,1))</f>
        <v>536.21423347711345</v>
      </c>
      <c r="T106" s="59">
        <f t="shared" si="88"/>
        <v>312.14361830038712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14.852455122461118</v>
      </c>
      <c r="AA106" s="21">
        <f>EXP(-LN(2)/25)*AA105+(1-EXP(-LN(2)/25))/(LN(2)/25)*Calculateur!V106*Calculateur!X106*VLOOKUP('Données projet'!$B$9,Paramètres!$A$1:$I$89,3,0)*0.475*44/12</f>
        <v>39.779764947775931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54.632220070237047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7.1111111111111107</v>
      </c>
      <c r="AI106" s="13">
        <f>IF('Données projet'!$A$62&gt;35,AI105+AH106-AQ105,IF(A106&lt;'Données projet'!$A$62,$AF$205^A106,IF(A106='Données projet'!$A$62,'Données projet'!$B$62,AI105+AH106-AQ105)))</f>
        <v>343.77777777777726</v>
      </c>
      <c r="AJ106" s="13">
        <f>AI106*VLOOKUP('Données projet'!$B$10,Paramètres!$A$1:$I$89,3,0)*VLOOKUP('Données projet'!$B$10,Paramètres!$A$1:$I$89,5,0)</f>
        <v>311.05013333333284</v>
      </c>
      <c r="AK106" s="13">
        <f t="shared" si="89"/>
        <v>73.488096624860688</v>
      </c>
      <c r="AL106" s="20">
        <f t="shared" si="58"/>
        <v>669.73741717718713</v>
      </c>
      <c r="AM106" s="59">
        <f t="shared" si="59"/>
        <v>963.07075051052038</v>
      </c>
      <c r="AN106" s="59">
        <f ca="1">AVERAGE(OFFSET($AM$3,0,0,'Données projet'!$E$10+1,1))-AVERAGE(OFFSET($H$3,0,0,'Données projet'!$E$10+1,1))</f>
        <v>528.15559695545812</v>
      </c>
      <c r="AO106" s="59">
        <f t="shared" si="90"/>
        <v>276.26988364830532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12.103857143016544</v>
      </c>
      <c r="AV106" s="21">
        <f>EXP(-LN(2)/25)*AV105+(1-EXP(-LN(2)/25))/(LN(2)/25)*Calculateur!AQ106*Calculateur!AS106*VLOOKUP('Données projet'!$B$10,Paramètres!$A$1:$I$89,3,0)*0.475*44/12</f>
        <v>27.203048151149623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39.306905294166171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7.8</v>
      </c>
      <c r="BD106" s="12">
        <f>IF('Données projet'!$A$88&gt;35,BD105+BC106-BL105,IF(A106&lt;'Données projet'!$A$88,$BA$205^A106,IF(A106='Données projet'!$A$88,'Données projet'!$B$88,BD105+BC106-BL105)))</f>
        <v>468.40000000000003</v>
      </c>
      <c r="BE106" s="13">
        <f>BD106*VLOOKUP('Données projet'!$B$11,Paramètres!$A$1:$I$89,3,0)*VLOOKUP('Données projet'!$B$11,Paramètres!$A$1:$I$89,5,0)</f>
        <v>343.43088</v>
      </c>
      <c r="BF106" s="13">
        <f t="shared" si="91"/>
        <v>80.208373214173363</v>
      </c>
      <c r="BG106" s="20">
        <f t="shared" si="61"/>
        <v>737.83836601468522</v>
      </c>
      <c r="BH106" s="59">
        <f t="shared" si="62"/>
        <v>1031.1716993480186</v>
      </c>
      <c r="BI106" s="59">
        <f ca="1">AVERAGE(OFFSET($BH$3,0,0,'Données projet'!$E$11+1,1))-AVERAGE(OFFSET($H$3,0,0,'Données projet'!$E$11+1,1))</f>
        <v>464.3681853739115</v>
      </c>
      <c r="BJ106" s="59">
        <f t="shared" si="92"/>
        <v>272.97841038165217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10.297362539449026</v>
      </c>
      <c r="BQ106" s="21">
        <f>EXP(-LN(2)/25)*BQ105+(1-EXP(-LN(2)/25))/(LN(2)/25)*Calculateur!BL106*Calculateur!BN106*VLOOKUP('Données projet'!$B$11,Paramètres!$A$1:$I$89,3,0)*0.475*44/12</f>
        <v>27.579727258818231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37.877089798267257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4.4337866711430253E-14</v>
      </c>
      <c r="CA106" s="13">
        <f t="shared" si="93"/>
        <v>7.3222115536967035E-13</v>
      </c>
      <c r="CB106" s="20">
        <f t="shared" si="64"/>
        <v>1.3525069634579169E-12</v>
      </c>
      <c r="CC106" s="59">
        <f t="shared" si="65"/>
        <v>293.33333333333468</v>
      </c>
      <c r="CD106" s="59">
        <f ca="1">AVERAGE(OFFSET($CC$3,0,0,'Données projet'!$E$12+1,1))-AVERAGE(OFFSET($H$3,0,0,'Données projet'!$E$12+1,1))</f>
        <v>288.82868507674738</v>
      </c>
      <c r="CE106" s="59">
        <f t="shared" si="94"/>
        <v>283.48738729114024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33.890811635983084</v>
      </c>
      <c r="CL106" s="21">
        <f>EXP(-LN(2)/25)*CL105+(1-EXP(-LN(2)/25))/(LN(2)/25)*Calculateur!CG106*Calculateur!CI106*VLOOKUP('Données projet'!$B$12,Paramètres!$A$1:$I$89,3,0)*0.475*44/12</f>
        <v>3.7060406952551763</v>
      </c>
      <c r="CM106" s="21">
        <f>EXP(-LN(2)/2)*CM105+(1-EXP(-LN(2)/2))/(LN(2)/2)*CG106*CJ106*VLOOKUP('Données projet'!$B$12,Paramètres!$A$1:$I$89,3,0)*0.475*44/12</f>
        <v>5.5624110563731288E-4</v>
      </c>
      <c r="CN106" s="22">
        <f t="shared" si="66"/>
        <v>37.597408572343895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-2.8421709430404007E-13</v>
      </c>
      <c r="CU106" s="17">
        <f>CT106*VLOOKUP('Données projet'!$B$13,Paramètres!$A$1:$I$89,3,0)*VLOOKUP('Données projet'!$B$13,Paramètres!$A$1:$I$89,5,0)</f>
        <v>-1.8621904018800707E-13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340.49092994349405</v>
      </c>
      <c r="CZ106" s="59">
        <f t="shared" si="96"/>
        <v>331.54434271908832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63.142514959783341</v>
      </c>
      <c r="DG106" s="21">
        <f>EXP(-LN(2)/25)*DG105+(1-EXP(-LN(2)/25))/(LN(2)/25)*Calculateur!DB106*Calculateur!DD106*VLOOKUP('Données projet'!$B$13,Paramètres!$A$1:$I$89,3,0)*0.475*44/12</f>
        <v>1.7816922559794341</v>
      </c>
      <c r="DH106" s="21">
        <f>EXP(-LN(2)/2)*DH105+(1-EXP(-LN(2)/2))/(LN(2)/2)*DB106*DE106*VLOOKUP('Données projet'!$B$13,Paramètres!$A$1:$I$89,3,0)*0.475*44/12</f>
        <v>1.6394733019927148E-2</v>
      </c>
      <c r="DI106" s="22">
        <f t="shared" si="69"/>
        <v>64.9406019487827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7.1111111111111107</v>
      </c>
      <c r="DO106" s="12">
        <f>IF('Données projet'!$A$166&gt;35,DO105+DN106-DW105,IF(A106&lt;'Données projet'!$A$166,$DL$205^A106,IF(A106='Données projet'!$A$166,'Données projet'!$B$166,DO105+DN106-DW105)))</f>
        <v>343.77777777777726</v>
      </c>
      <c r="DP106" s="17">
        <f>DO106*VLOOKUP('Données projet'!$B$14,Paramètres!$A$1:$I$89,3,0)*VLOOKUP('Données projet'!$B$14,Paramètres!$A$1:$I$89,5,0)</f>
        <v>348.59066666666615</v>
      </c>
      <c r="DQ106" s="13">
        <f t="shared" si="97"/>
        <v>81.272246757845707</v>
      </c>
      <c r="DR106" s="20">
        <f t="shared" si="70"/>
        <v>748.67790754769158</v>
      </c>
      <c r="DS106" s="59">
        <f t="shared" si="71"/>
        <v>1042.0112408810248</v>
      </c>
      <c r="DT106" s="59">
        <f ca="1">AVERAGE(OFFSET($DS$3,0,0,'Données projet'!$E$14+1,1))-AVERAGE(OFFSET($H$3,0,0,'Données projet'!$E$14+1,1))</f>
        <v>586.50020405958992</v>
      </c>
      <c r="DU106" s="59">
        <f t="shared" si="98"/>
        <v>304.44184537595294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13.564667487863368</v>
      </c>
      <c r="EB106" s="21">
        <f>EXP(-LN(2)/25)*EB105+(1-EXP(-LN(2)/25))/(LN(2)/25)*Calculateur!DW106*Calculateur!DY106*VLOOKUP('Données projet'!$B$14,Paramètres!$A$1:$I$89,3,0)*0.475*44/12</f>
        <v>30.486174652150442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44.050842140013813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7.8</v>
      </c>
      <c r="N107" s="13">
        <f>IF('Données projet'!$A$36&gt;35,N106+M107-V106,IF(A107&lt;'Données projet'!$A$36,$K$205^A107,IF(A107='Données projet'!$A$36,'Données projet'!$B$36,N106+M107-V106)))</f>
        <v>476.20000000000005</v>
      </c>
      <c r="O107" s="13">
        <f>N107*VLOOKUP('Données projet'!$B$9,Paramètres!$A$1:$I$89,3,0)*VLOOKUP('Données projet'!$B$9,Paramètres!$A$1:$I$89,5,0)</f>
        <v>408.57960000000003</v>
      </c>
      <c r="P107" s="13">
        <f t="shared" si="87"/>
        <v>93.513893265221384</v>
      </c>
      <c r="Q107" s="20">
        <f t="shared" si="107"/>
        <v>874.47950077026053</v>
      </c>
      <c r="R107" s="59">
        <f t="shared" si="55"/>
        <v>1167.8128341035938</v>
      </c>
      <c r="S107" s="59">
        <f ca="1">AVERAGE(OFFSET($R$3,0,0,'Données projet'!$E$9+1,1))-AVERAGE(OFFSET($H$3,0,0,'Données projet'!$E$9+1,1))</f>
        <v>536.21423347711345</v>
      </c>
      <c r="T107" s="59">
        <f t="shared" si="88"/>
        <v>312.14361830038712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14.561207536612768</v>
      </c>
      <c r="AA107" s="21">
        <f>EXP(-LN(2)/25)*AA106+(1-EXP(-LN(2)/25))/(LN(2)/25)*Calculateur!V107*Calculateur!X107*VLOOKUP('Données projet'!$B$9,Paramètres!$A$1:$I$89,3,0)*0.475*44/12</f>
        <v>38.691985183352074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53.253192719964844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7.1111111111111107</v>
      </c>
      <c r="AI107" s="13">
        <f>IF('Données projet'!$A$62&gt;35,AI106+AH107-AQ106,IF(A107&lt;'Données projet'!$A$62,$AF$205^A107,IF(A107='Données projet'!$A$62,'Données projet'!$B$62,AI106+AH107-AQ106)))</f>
        <v>350.88888888888835</v>
      </c>
      <c r="AJ107" s="13">
        <f>AI107*VLOOKUP('Données projet'!$B$10,Paramètres!$A$1:$I$89,3,0)*VLOOKUP('Données projet'!$B$10,Paramètres!$A$1:$I$89,5,0)</f>
        <v>317.4842666666662</v>
      </c>
      <c r="AK107" s="13">
        <f t="shared" si="89"/>
        <v>74.82966621096746</v>
      </c>
      <c r="AL107" s="20">
        <f t="shared" si="58"/>
        <v>683.28009976187866</v>
      </c>
      <c r="AM107" s="59">
        <f t="shared" si="59"/>
        <v>976.61343309521203</v>
      </c>
      <c r="AN107" s="59">
        <f ca="1">AVERAGE(OFFSET($AM$3,0,0,'Données projet'!$E$10+1,1))-AVERAGE(OFFSET($H$3,0,0,'Données projet'!$E$10+1,1))</f>
        <v>528.15559695545812</v>
      </c>
      <c r="AO107" s="59">
        <f t="shared" si="90"/>
        <v>276.26988364830532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11.866507887065874</v>
      </c>
      <c r="AV107" s="21">
        <f>EXP(-LN(2)/25)*AV106+(1-EXP(-LN(2)/25))/(LN(2)/25)*Calculateur!AQ107*Calculateur!AS107*VLOOKUP('Données projet'!$B$10,Paramètres!$A$1:$I$89,3,0)*0.475*44/12</f>
        <v>26.459179368910309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38.325687255976185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7.8</v>
      </c>
      <c r="BD107" s="12">
        <f>IF('Données projet'!$A$88&gt;35,BD106+BC107-BL106,IF(A107&lt;'Données projet'!$A$88,$BA$205^A107,IF(A107='Données projet'!$A$88,'Données projet'!$B$88,BD106+BC107-BL106)))</f>
        <v>476.20000000000005</v>
      </c>
      <c r="BE107" s="13">
        <f>BD107*VLOOKUP('Données projet'!$B$11,Paramètres!$A$1:$I$89,3,0)*VLOOKUP('Données projet'!$B$11,Paramètres!$A$1:$I$89,5,0)</f>
        <v>349.14984000000004</v>
      </c>
      <c r="BF107" s="13">
        <f t="shared" si="91"/>
        <v>81.387429694625482</v>
      </c>
      <c r="BG107" s="20">
        <f t="shared" si="61"/>
        <v>749.85241138480615</v>
      </c>
      <c r="BH107" s="59">
        <f t="shared" si="62"/>
        <v>1043.1857447181394</v>
      </c>
      <c r="BI107" s="59">
        <f ca="1">AVERAGE(OFFSET($BH$3,0,0,'Données projet'!$E$11+1,1))-AVERAGE(OFFSET($H$3,0,0,'Données projet'!$E$11+1,1))</f>
        <v>464.3681853739115</v>
      </c>
      <c r="BJ107" s="59">
        <f t="shared" si="92"/>
        <v>272.97841038165217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10.095437540821404</v>
      </c>
      <c r="BQ107" s="21">
        <f>EXP(-LN(2)/25)*BQ106+(1-EXP(-LN(2)/25))/(LN(2)/25)*Calculateur!BL107*Calculateur!BN107*VLOOKUP('Données projet'!$B$11,Paramètres!$A$1:$I$89,3,0)*0.475*44/12</f>
        <v>26.825558166571025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36.920995707392429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4.4337866711430253E-14</v>
      </c>
      <c r="CA107" s="13">
        <f t="shared" si="93"/>
        <v>7.3222115536967035E-13</v>
      </c>
      <c r="CB107" s="20">
        <f t="shared" si="64"/>
        <v>1.3525069634579169E-12</v>
      </c>
      <c r="CC107" s="59">
        <f t="shared" si="65"/>
        <v>293.33333333333468</v>
      </c>
      <c r="CD107" s="59">
        <f ca="1">AVERAGE(OFFSET($CC$3,0,0,'Données projet'!$E$12+1,1))-AVERAGE(OFFSET($H$3,0,0,'Données projet'!$E$12+1,1))</f>
        <v>288.82868507674738</v>
      </c>
      <c r="CE107" s="59">
        <f t="shared" si="94"/>
        <v>283.48738729114024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33.226233491155426</v>
      </c>
      <c r="CL107" s="21">
        <f>EXP(-LN(2)/25)*CL106+(1-EXP(-LN(2)/25))/(LN(2)/25)*Calculateur!CG107*Calculateur!CI107*VLOOKUP('Données projet'!$B$12,Paramètres!$A$1:$I$89,3,0)*0.475*44/12</f>
        <v>3.6046988175512138</v>
      </c>
      <c r="CM107" s="21">
        <f>EXP(-LN(2)/2)*CM106+(1-EXP(-LN(2)/2))/(LN(2)/2)*CG107*CJ107*VLOOKUP('Données projet'!$B$12,Paramètres!$A$1:$I$89,3,0)*0.475*44/12</f>
        <v>3.9332185777084667E-4</v>
      </c>
      <c r="CN107" s="22">
        <f t="shared" si="66"/>
        <v>36.831325630564415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-2.8421709430404007E-13</v>
      </c>
      <c r="CU107" s="17">
        <f>CT107*VLOOKUP('Données projet'!$B$13,Paramètres!$A$1:$I$89,3,0)*VLOOKUP('Données projet'!$B$13,Paramètres!$A$1:$I$89,5,0)</f>
        <v>-1.8621904018800707E-13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340.49092994349405</v>
      </c>
      <c r="CZ107" s="59">
        <f t="shared" si="96"/>
        <v>331.54434271908832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61.904328754553262</v>
      </c>
      <c r="DG107" s="21">
        <f>EXP(-LN(2)/25)*DG106+(1-EXP(-LN(2)/25))/(LN(2)/25)*Calculateur!DB107*Calculateur!DD107*VLOOKUP('Données projet'!$B$13,Paramètres!$A$1:$I$89,3,0)*0.475*44/12</f>
        <v>1.7329717875445529</v>
      </c>
      <c r="DH107" s="21">
        <f>EXP(-LN(2)/2)*DH106+(1-EXP(-LN(2)/2))/(LN(2)/2)*DB107*DE107*VLOOKUP('Données projet'!$B$13,Paramètres!$A$1:$I$89,3,0)*0.475*44/12</f>
        <v>1.1592826894133492E-2</v>
      </c>
      <c r="DI107" s="22">
        <f t="shared" si="69"/>
        <v>63.648893368991942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7.1111111111111107</v>
      </c>
      <c r="DO107" s="12">
        <f>IF('Données projet'!$A$166&gt;35,DO106+DN107-DW106,IF(A107&lt;'Données projet'!$A$166,$DL$205^A107,IF(A107='Données projet'!$A$166,'Données projet'!$B$166,DO106+DN107-DW106)))</f>
        <v>350.88888888888835</v>
      </c>
      <c r="DP107" s="17">
        <f>DO107*VLOOKUP('Données projet'!$B$14,Paramètres!$A$1:$I$89,3,0)*VLOOKUP('Données projet'!$B$14,Paramètres!$A$1:$I$89,5,0)</f>
        <v>355.80133333333282</v>
      </c>
      <c r="DQ107" s="13">
        <f t="shared" si="97"/>
        <v>82.755920705770492</v>
      </c>
      <c r="DR107" s="20">
        <f t="shared" si="70"/>
        <v>763.82055078477163</v>
      </c>
      <c r="DS107" s="59">
        <f t="shared" si="71"/>
        <v>1057.153884118105</v>
      </c>
      <c r="DT107" s="59">
        <f ca="1">AVERAGE(OFFSET($DS$3,0,0,'Données projet'!$E$14+1,1))-AVERAGE(OFFSET($H$3,0,0,'Données projet'!$E$14+1,1))</f>
        <v>586.50020405958992</v>
      </c>
      <c r="DU107" s="59">
        <f t="shared" si="98"/>
        <v>304.44184537595294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13.298672632056581</v>
      </c>
      <c r="EB107" s="21">
        <f>EXP(-LN(2)/25)*EB106+(1-EXP(-LN(2)/25))/(LN(2)/25)*Calculateur!DW107*Calculateur!DY107*VLOOKUP('Données projet'!$B$14,Paramètres!$A$1:$I$89,3,0)*0.475*44/12</f>
        <v>29.652528603089142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42.951201235145724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484</v>
      </c>
      <c r="L108" s="12">
        <f>VLOOKUP(A108,'Données projet'!$A$35:$I$55,9,0)</f>
        <v>7.8</v>
      </c>
      <c r="M108" s="12">
        <f t="array" ref="M108">INDEX(L:L,MIN(IF(ISNUMBER(L108:L304),ROW(L108:L304),"")))</f>
        <v>7.8</v>
      </c>
      <c r="N108" s="13">
        <f>IF('Données projet'!$A$36&gt;35,N107+M108-V107,IF(A108&lt;'Données projet'!$A$36,$K$205^A108,IF(A108='Données projet'!$A$36,'Données projet'!$B$36,N107+M108-V107)))</f>
        <v>484.00000000000006</v>
      </c>
      <c r="O108" s="13">
        <f>N108*VLOOKUP('Données projet'!$B$9,Paramètres!$A$1:$I$89,3,0)*VLOOKUP('Données projet'!$B$9,Paramètres!$A$1:$I$89,5,0)</f>
        <v>415.27200000000011</v>
      </c>
      <c r="P108" s="13">
        <f t="shared" si="87"/>
        <v>94.866044759468508</v>
      </c>
      <c r="Q108" s="20">
        <f t="shared" si="107"/>
        <v>888.49042795607431</v>
      </c>
      <c r="R108" s="59">
        <f t="shared" si="55"/>
        <v>1181.8237612894077</v>
      </c>
      <c r="S108" s="59">
        <f ca="1">AVERAGE(OFFSET($R$3,0,0,'Données projet'!$E$9+1,1))-AVERAGE(OFFSET($H$3,0,0,'Données projet'!$E$9+1,1))</f>
        <v>536.21423347711345</v>
      </c>
      <c r="T108" s="59">
        <f t="shared" si="88"/>
        <v>312.14361830038712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28</v>
      </c>
      <c r="W108" s="16">
        <f>IF(ISNA(VLOOKUP(A108,'Données projet'!$A$35:$I$55,5,0)),0%,VLOOKUP(A108,'Données projet'!$A$35:$I$55,5,0)*VLOOKUP('Données projet'!$B$9,Paramètres!$A$1:$I$89,7,0))</f>
        <v>0.371</v>
      </c>
      <c r="X108" s="16">
        <f>IF(ISNA(VLOOKUP(A108,'Données projet'!$A$35:$I$55,6,0)),0%,VLOOKUP(A108,'Données projet'!$A$35:$I$55,6,0)*VLOOKUP('Données projet'!$B$9,Paramètres!$A$1:$I$89,7,0))</f>
        <v>5.3000000000000005E-2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24.128622505900168</v>
      </c>
      <c r="AA108" s="21">
        <f>EXP(-LN(2)/25)*AA107+(1-EXP(-LN(2)/25))/(LN(2)/25)*Calculateur!V108*Calculateur!X108*VLOOKUP('Données projet'!$B$9,Paramètres!$A$1:$I$89,3,0)*0.475*44/12</f>
        <v>39.035973177192758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63.164595683092926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358</v>
      </c>
      <c r="AG108" s="12">
        <f>VLOOKUP(A108,'Données projet'!$A$61:$I$81,9,0)</f>
        <v>7.1111111111111107</v>
      </c>
      <c r="AH108" s="12">
        <f t="array" ref="AH108">INDEX(AG:AG,MIN(IF(ISNUMBER(AG108:AG304),ROW(AG108:AG304),"")))</f>
        <v>7.1111111111111107</v>
      </c>
      <c r="AI108" s="13">
        <f>IF('Données projet'!$A$62&gt;35,AI107+AH108-AQ107,IF(A108&lt;'Données projet'!$A$62,$AF$205^A108,IF(A108='Données projet'!$A$62,'Données projet'!$B$62,AI107+AH108-AQ107)))</f>
        <v>357.99999999999943</v>
      </c>
      <c r="AJ108" s="13">
        <f>AI108*VLOOKUP('Données projet'!$B$10,Paramètres!$A$1:$I$89,3,0)*VLOOKUP('Données projet'!$B$10,Paramètres!$A$1:$I$89,5,0)</f>
        <v>323.91839999999945</v>
      </c>
      <c r="AK108" s="13">
        <f t="shared" si="89"/>
        <v>76.168074587292963</v>
      </c>
      <c r="AL108" s="20">
        <f t="shared" si="58"/>
        <v>696.81727657286763</v>
      </c>
      <c r="AM108" s="59">
        <f t="shared" si="59"/>
        <v>990.150609906201</v>
      </c>
      <c r="AN108" s="59">
        <f ca="1">AVERAGE(OFFSET($AM$3,0,0,'Données projet'!$E$10+1,1))-AVERAGE(OFFSET($H$3,0,0,'Données projet'!$E$10+1,1))</f>
        <v>528.15559695545812</v>
      </c>
      <c r="AO108" s="59">
        <f t="shared" si="90"/>
        <v>276.26988364830532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43</v>
      </c>
      <c r="AR108" s="16">
        <f>IF(ISNA(VLOOKUP(A108,'Données projet'!$A$61:$I$81,5,0)),0%,VLOOKUP(A108,'Données projet'!$A$61:$I$81,5,0)*VLOOKUP('Données projet'!$B$10,Paramètres!$A$1:$I$89,7,0))</f>
        <v>0.30099999999999999</v>
      </c>
      <c r="AS108" s="16">
        <f>IF(ISNA(VLOOKUP(A108,'Données projet'!$A$61:$I$81,6,0)),0%,VLOOKUP(A108,'Données projet'!$A$61:$I$81,6,0)*VLOOKUP('Données projet'!$B$10,Paramètres!$A$1:$I$89,7,0))</f>
        <v>4.3000000000000003E-2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24.579784610308135</v>
      </c>
      <c r="AV108" s="21">
        <f>EXP(-LN(2)/25)*AV107+(1-EXP(-LN(2)/25))/(LN(2)/25)*Calculateur!AQ108*Calculateur!AS108*VLOOKUP('Données projet'!$B$10,Paramètres!$A$1:$I$89,3,0)*0.475*44/12</f>
        <v>27.577794357875081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52.157578968183216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484</v>
      </c>
      <c r="BB108" s="12">
        <f>VLOOKUP(A108,'Données projet'!$A$87:$I$107,9,0)</f>
        <v>7.8</v>
      </c>
      <c r="BC108" s="12">
        <f t="array" ref="BC108">INDEX(BB:BB,MIN(IF(ISNUMBER(BB108:BB304),ROW(BB108:BB304),"")))</f>
        <v>7.8</v>
      </c>
      <c r="BD108" s="12">
        <f>IF('Données projet'!$A$88&gt;35,BD107+BC108-BL107,IF(A108&lt;'Données projet'!$A$88,$BA$205^A108,IF(A108='Données projet'!$A$88,'Données projet'!$B$88,BD107+BC108-BL107)))</f>
        <v>484.00000000000006</v>
      </c>
      <c r="BE108" s="13">
        <f>BD108*VLOOKUP('Données projet'!$B$11,Paramètres!$A$1:$I$89,3,0)*VLOOKUP('Données projet'!$B$11,Paramètres!$A$1:$I$89,5,0)</f>
        <v>354.86880000000002</v>
      </c>
      <c r="BF108" s="13">
        <f t="shared" si="91"/>
        <v>82.564240228675203</v>
      </c>
      <c r="BG108" s="20">
        <f t="shared" si="61"/>
        <v>761.86254506494276</v>
      </c>
      <c r="BH108" s="59">
        <f t="shared" si="62"/>
        <v>1055.1958783982761</v>
      </c>
      <c r="BI108" s="59">
        <f ca="1">AVERAGE(OFFSET($BH$3,0,0,'Données projet'!$E$11+1,1))-AVERAGE(OFFSET($H$3,0,0,'Données projet'!$E$11+1,1))</f>
        <v>464.3681853739115</v>
      </c>
      <c r="BJ108" s="59">
        <f t="shared" si="92"/>
        <v>272.97841038165217</v>
      </c>
      <c r="BK108" s="15">
        <f>IF(ISNA(VLOOKUP(A108,'Données projet'!$A$87:$I$107,3,0)),0,VLOOKUP(A108,'Données projet'!$A$87:$I$107,3,0))</f>
        <v>18</v>
      </c>
      <c r="BL108" s="15">
        <f>IF(ISNA(VLOOKUP(A108,'Données projet'!$A$87:$I$107,4,0)),0,VLOOKUP(A108,'Données projet'!$A$87:$I$107,4,0))</f>
        <v>28</v>
      </c>
      <c r="BM108" s="16">
        <f>IF(ISNA(VLOOKUP(A108,'Données projet'!$A$87:$I$107,5,0)),0%,VLOOKUP(A108,'Données projet'!$A$87:$I$107,5,0)*VLOOKUP('Données projet'!$B$11,Paramètres!$A$1:$I$89,7,0))</f>
        <v>0.30099999999999999</v>
      </c>
      <c r="BN108" s="16">
        <f>IF(ISNA(VLOOKUP(A108,'Données projet'!$A$87:$I$107,6,0)),0%,VLOOKUP(A108,'Données projet'!$A$87:$I$107,6,0)*VLOOKUP('Données projet'!$B$11,Paramètres!$A$1:$I$89,7,0))</f>
        <v>4.3000000000000003E-2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16.728626444056339</v>
      </c>
      <c r="BQ108" s="21">
        <f>EXP(-LN(2)/25)*BQ107+(1-EXP(-LN(2)/25))/(LN(2)/25)*Calculateur!BL108*Calculateur!BN108*VLOOKUP('Données projet'!$B$11,Paramètres!$A$1:$I$89,3,0)*0.475*44/12</f>
        <v>27.064048641889045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43.792675085945383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4.4337866711430253E-14</v>
      </c>
      <c r="CA108" s="13">
        <f t="shared" si="93"/>
        <v>7.3222115536967035E-13</v>
      </c>
      <c r="CB108" s="20">
        <f t="shared" si="64"/>
        <v>1.3525069634579169E-12</v>
      </c>
      <c r="CC108" s="59">
        <f t="shared" si="65"/>
        <v>293.33333333333468</v>
      </c>
      <c r="CD108" s="59">
        <f ca="1">AVERAGE(OFFSET($CC$3,0,0,'Données projet'!$E$12+1,1))-AVERAGE(OFFSET($H$3,0,0,'Données projet'!$E$12+1,1))</f>
        <v>288.82868507674738</v>
      </c>
      <c r="CE108" s="59">
        <f t="shared" si="94"/>
        <v>283.48738729114024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32.574687318395199</v>
      </c>
      <c r="CL108" s="21">
        <f>EXP(-LN(2)/25)*CL107+(1-EXP(-LN(2)/25))/(LN(2)/25)*Calculateur!CG108*Calculateur!CI108*VLOOKUP('Données projet'!$B$12,Paramètres!$A$1:$I$89,3,0)*0.475*44/12</f>
        <v>3.5061281388224037</v>
      </c>
      <c r="CM108" s="21">
        <f>EXP(-LN(2)/2)*CM107+(1-EXP(-LN(2)/2))/(LN(2)/2)*CG108*CJ108*VLOOKUP('Données projet'!$B$12,Paramètres!$A$1:$I$89,3,0)*0.475*44/12</f>
        <v>2.7812055281865644E-4</v>
      </c>
      <c r="CN108" s="22">
        <f t="shared" si="66"/>
        <v>36.081093577770424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-2.8421709430404007E-13</v>
      </c>
      <c r="CU108" s="17">
        <f>CT108*VLOOKUP('Données projet'!$B$13,Paramètres!$A$1:$I$89,3,0)*VLOOKUP('Données projet'!$B$13,Paramètres!$A$1:$I$89,5,0)</f>
        <v>-1.8621904018800707E-13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340.49092994349405</v>
      </c>
      <c r="CZ108" s="59">
        <f t="shared" si="96"/>
        <v>331.54434271908832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60.690422625588731</v>
      </c>
      <c r="DG108" s="21">
        <f>EXP(-LN(2)/25)*DG107+(1-EXP(-LN(2)/25))/(LN(2)/25)*Calculateur!DB108*Calculateur!DD108*VLOOKUP('Données projet'!$B$13,Paramètres!$A$1:$I$89,3,0)*0.475*44/12</f>
        <v>1.6855835828811216</v>
      </c>
      <c r="DH108" s="21">
        <f>EXP(-LN(2)/2)*DH107+(1-EXP(-LN(2)/2))/(LN(2)/2)*DB108*DE108*VLOOKUP('Données projet'!$B$13,Paramètres!$A$1:$I$89,3,0)*0.475*44/12</f>
        <v>8.1973665099635742E-3</v>
      </c>
      <c r="DI108" s="22">
        <f t="shared" si="69"/>
        <v>62.384203574979814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358</v>
      </c>
      <c r="DM108" s="12">
        <f>VLOOKUP(A108,'Données projet'!$A$165:$I$185,9,0)</f>
        <v>7.1111111111111107</v>
      </c>
      <c r="DN108" s="12">
        <f t="array" ref="DN108">INDEX(DM:DM,MIN(IF(ISNUMBER(DM108:DM304),ROW(DM108:DM304),"")))</f>
        <v>7.1111111111111107</v>
      </c>
      <c r="DO108" s="12">
        <f>IF('Données projet'!$A$166&gt;35,DO107+DN108-DW107,IF(A108&lt;'Données projet'!$A$166,$DL$205^A108,IF(A108='Données projet'!$A$166,'Données projet'!$B$166,DO107+DN108-DW107)))</f>
        <v>357.99999999999943</v>
      </c>
      <c r="DP108" s="17">
        <f>DO108*VLOOKUP('Données projet'!$B$14,Paramètres!$A$1:$I$89,3,0)*VLOOKUP('Données projet'!$B$14,Paramètres!$A$1:$I$89,5,0)</f>
        <v>363.01199999999949</v>
      </c>
      <c r="DQ108" s="13">
        <f t="shared" si="97"/>
        <v>84.236098596059009</v>
      </c>
      <c r="DR108" s="20">
        <f t="shared" si="70"/>
        <v>778.9571050548019</v>
      </c>
      <c r="DS108" s="59">
        <f t="shared" si="71"/>
        <v>1072.2904383881353</v>
      </c>
      <c r="DT108" s="59">
        <f ca="1">AVERAGE(OFFSET($DS$3,0,0,'Données projet'!$E$14+1,1))-AVERAGE(OFFSET($H$3,0,0,'Données projet'!$E$14+1,1))</f>
        <v>586.50020405958992</v>
      </c>
      <c r="DU108" s="59">
        <f t="shared" si="98"/>
        <v>304.44184537595294</v>
      </c>
      <c r="DV108" s="15">
        <f>IF(ISNA(VLOOKUP(A108,'Données projet'!$A$165:$I$185,3,0)),0,VLOOKUP(A108,'Données projet'!$A$165:$I$185,3,0))</f>
        <v>9</v>
      </c>
      <c r="DW108" s="15">
        <f>IF(ISNA(VLOOKUP(A108,'Données projet'!$A$165:$I$185,4,0)),0,VLOOKUP(A108,'Données projet'!$A$165:$I$185,4,0))</f>
        <v>43</v>
      </c>
      <c r="DX108" s="16">
        <f>IF(ISNA(VLOOKUP(A108,'Données projet'!$A$165:$I$185,5,0)),0%,VLOOKUP(A108,'Données projet'!$A$165:$I$185,5,0)*VLOOKUP('Données projet'!$B$14,Paramètres!$A$1:$I$89,7,0))</f>
        <v>0.30099999999999999</v>
      </c>
      <c r="DY108" s="16">
        <f>IF(ISNA(VLOOKUP(A108,'Données projet'!$A$165:$I$185,6,0)),0%,VLOOKUP(A108,'Données projet'!$A$165:$I$185,6,0)*VLOOKUP('Données projet'!$B$14,Paramètres!$A$1:$I$89,7,0))</f>
        <v>4.3000000000000003E-2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27.546310339138426</v>
      </c>
      <c r="EB108" s="21">
        <f>EXP(-LN(2)/25)*EB107+(1-EXP(-LN(2)/25))/(LN(2)/25)*Calculateur!DW108*Calculateur!DY108*VLOOKUP('Données projet'!$B$14,Paramètres!$A$1:$I$89,3,0)*0.475*44/12</f>
        <v>30.906148849342763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58.452459188481185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7.4</v>
      </c>
      <c r="N109" s="13">
        <f>IF('Données projet'!$A$36&gt;35,N108+M109-V108,IF(A109&lt;'Données projet'!$A$36,$K$205^A109,IF(A109='Données projet'!$A$36,'Données projet'!$B$36,N108+M109-V108)))</f>
        <v>463.40000000000003</v>
      </c>
      <c r="O109" s="13">
        <f>N109*VLOOKUP('Données projet'!$B$9,Paramètres!$A$1:$I$89,3,0)*VLOOKUP('Données projet'!$B$9,Paramètres!$A$1:$I$89,5,0)</f>
        <v>397.59720000000004</v>
      </c>
      <c r="P109" s="13">
        <f t="shared" si="87"/>
        <v>91.289363709423512</v>
      </c>
      <c r="Q109" s="20">
        <f t="shared" si="107"/>
        <v>851.47743179391273</v>
      </c>
      <c r="R109" s="59">
        <f t="shared" si="55"/>
        <v>1144.810765127246</v>
      </c>
      <c r="S109" s="59">
        <f ca="1">AVERAGE(OFFSET($R$3,0,0,'Données projet'!$E$9+1,1))-AVERAGE(OFFSET($H$3,0,0,'Données projet'!$E$9+1,1))</f>
        <v>536.21423347711345</v>
      </c>
      <c r="T109" s="59">
        <f t="shared" si="88"/>
        <v>312.14361830038712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23.655474935566012</v>
      </c>
      <c r="AA109" s="21">
        <f>EXP(-LN(2)/25)*AA108+(1-EXP(-LN(2)/25))/(LN(2)/25)*Calculateur!V109*Calculateur!X109*VLOOKUP('Données projet'!$B$9,Paramètres!$A$1:$I$89,3,0)*0.475*44/12</f>
        <v>37.968532437849809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61.624007373415822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</v>
      </c>
      <c r="AI109" s="13">
        <f>IF('Données projet'!$A$62&gt;35,AI108+AH109-AQ108,IF(A109&lt;'Données projet'!$A$62,$AF$205^A109,IF(A109='Données projet'!$A$62,'Données projet'!$B$62,AI108+AH109-AQ108)))</f>
        <v>321.99999999999943</v>
      </c>
      <c r="AJ109" s="13">
        <f>AI109*VLOOKUP('Données projet'!$B$10,Paramètres!$A$1:$I$89,3,0)*VLOOKUP('Données projet'!$B$10,Paramètres!$A$1:$I$89,5,0)</f>
        <v>291.34559999999948</v>
      </c>
      <c r="AK109" s="13">
        <f t="shared" si="89"/>
        <v>69.359089490698594</v>
      </c>
      <c r="AL109" s="20">
        <f t="shared" si="58"/>
        <v>628.22733419629901</v>
      </c>
      <c r="AM109" s="59">
        <f t="shared" si="59"/>
        <v>921.56066752963238</v>
      </c>
      <c r="AN109" s="59">
        <f ca="1">AVERAGE(OFFSET($AM$3,0,0,'Données projet'!$E$10+1,1))-AVERAGE(OFFSET($H$3,0,0,'Données projet'!$E$10+1,1))</f>
        <v>528.15559695545812</v>
      </c>
      <c r="AO109" s="59">
        <f t="shared" si="90"/>
        <v>276.26988364830532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24.097790026288248</v>
      </c>
      <c r="AV109" s="21">
        <f>EXP(-LN(2)/25)*AV108+(1-EXP(-LN(2)/25))/(LN(2)/25)*Calculateur!AQ109*Calculateur!AS109*VLOOKUP('Données projet'!$B$10,Paramètres!$A$1:$I$89,3,0)*0.475*44/12</f>
        <v>26.823678120905811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50.921468147194062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7.4</v>
      </c>
      <c r="BD109" s="12">
        <f>IF('Données projet'!$A$88&gt;35,BD108+BC109-BL108,IF(A109&lt;'Données projet'!$A$88,$BA$205^A109,IF(A109='Données projet'!$A$88,'Données projet'!$B$88,BD108+BC109-BL108)))</f>
        <v>463.40000000000003</v>
      </c>
      <c r="BE109" s="13">
        <f>BD109*VLOOKUP('Données projet'!$B$11,Paramètres!$A$1:$I$89,3,0)*VLOOKUP('Données projet'!$B$11,Paramètres!$A$1:$I$89,5,0)</f>
        <v>339.76488000000001</v>
      </c>
      <c r="BF109" s="13">
        <f t="shared" si="91"/>
        <v>79.451367185575236</v>
      </c>
      <c r="BG109" s="20">
        <f t="shared" si="61"/>
        <v>730.13496384821019</v>
      </c>
      <c r="BH109" s="59">
        <f t="shared" si="62"/>
        <v>1023.4682971815434</v>
      </c>
      <c r="BI109" s="59">
        <f ca="1">AVERAGE(OFFSET($BH$3,0,0,'Données projet'!$E$11+1,1))-AVERAGE(OFFSET($H$3,0,0,'Données projet'!$E$11+1,1))</f>
        <v>464.3681853739115</v>
      </c>
      <c r="BJ109" s="59">
        <f t="shared" si="92"/>
        <v>272.97841038165217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16.400588282943016</v>
      </c>
      <c r="BQ109" s="21">
        <f>EXP(-LN(2)/25)*BQ108+(1-EXP(-LN(2)/25))/(LN(2)/25)*Calculateur!BL109*Calculateur!BN109*VLOOKUP('Données projet'!$B$11,Paramètres!$A$1:$I$89,3,0)*0.475*44/12</f>
        <v>26.323980808540128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42.724569091483147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4.4337866711430253E-14</v>
      </c>
      <c r="CA109" s="13">
        <f t="shared" si="93"/>
        <v>7.3222115536967035E-13</v>
      </c>
      <c r="CB109" s="20">
        <f t="shared" si="64"/>
        <v>1.3525069634579169E-12</v>
      </c>
      <c r="CC109" s="59">
        <f t="shared" si="65"/>
        <v>293.33333333333468</v>
      </c>
      <c r="CD109" s="59">
        <f ca="1">AVERAGE(OFFSET($CC$3,0,0,'Données projet'!$E$12+1,1))-AVERAGE(OFFSET($H$3,0,0,'Données projet'!$E$12+1,1))</f>
        <v>288.82868507674738</v>
      </c>
      <c r="CE109" s="59">
        <f t="shared" si="94"/>
        <v>283.48738729114024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31.935917568678871</v>
      </c>
      <c r="CL109" s="21">
        <f>EXP(-LN(2)/25)*CL108+(1-EXP(-LN(2)/25))/(LN(2)/25)*Calculateur!CG109*Calculateur!CI109*VLOOKUP('Données projet'!$B$12,Paramètres!$A$1:$I$89,3,0)*0.475*44/12</f>
        <v>3.4102528804870396</v>
      </c>
      <c r="CM109" s="21">
        <f>EXP(-LN(2)/2)*CM108+(1-EXP(-LN(2)/2))/(LN(2)/2)*CG109*CJ109*VLOOKUP('Données projet'!$B$12,Paramètres!$A$1:$I$89,3,0)*0.475*44/12</f>
        <v>1.9666092888542334E-4</v>
      </c>
      <c r="CN109" s="22">
        <f t="shared" si="66"/>
        <v>35.346367110094796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-2.8421709430404007E-13</v>
      </c>
      <c r="CU109" s="17">
        <f>CT109*VLOOKUP('Données projet'!$B$13,Paramètres!$A$1:$I$89,3,0)*VLOOKUP('Données projet'!$B$13,Paramètres!$A$1:$I$89,5,0)</f>
        <v>-1.8621904018800707E-13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340.49092994349405</v>
      </c>
      <c r="CZ109" s="59">
        <f t="shared" si="96"/>
        <v>331.54434271908832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59.500320455403561</v>
      </c>
      <c r="DG109" s="21">
        <f>EXP(-LN(2)/25)*DG108+(1-EXP(-LN(2)/25))/(LN(2)/25)*Calculateur!DB109*Calculateur!DD109*VLOOKUP('Données projet'!$B$13,Paramètres!$A$1:$I$89,3,0)*0.475*44/12</f>
        <v>1.6394912111662492</v>
      </c>
      <c r="DH109" s="21">
        <f>EXP(-LN(2)/2)*DH108+(1-EXP(-LN(2)/2))/(LN(2)/2)*DB109*DE109*VLOOKUP('Données projet'!$B$13,Paramètres!$A$1:$I$89,3,0)*0.475*44/12</f>
        <v>5.7964134470667459E-3</v>
      </c>
      <c r="DI109" s="22">
        <f t="shared" si="69"/>
        <v>61.145608080016878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</v>
      </c>
      <c r="DO109" s="12">
        <f>IF('Données projet'!$A$166&gt;35,DO108+DN109-DW108,IF(A109&lt;'Données projet'!$A$166,$DL$205^A109,IF(A109='Données projet'!$A$166,'Données projet'!$B$166,DO108+DN109-DW108)))</f>
        <v>321.99999999999943</v>
      </c>
      <c r="DP109" s="17">
        <f>DO109*VLOOKUP('Données projet'!$B$14,Paramètres!$A$1:$I$89,3,0)*VLOOKUP('Données projet'!$B$14,Paramètres!$A$1:$I$89,5,0)</f>
        <v>326.50799999999947</v>
      </c>
      <c r="DQ109" s="13">
        <f t="shared" si="97"/>
        <v>76.705878841344116</v>
      </c>
      <c r="DR109" s="20">
        <f t="shared" si="70"/>
        <v>702.26417231534003</v>
      </c>
      <c r="DS109" s="59">
        <f t="shared" si="71"/>
        <v>995.5975056486734</v>
      </c>
      <c r="DT109" s="59">
        <f ca="1">AVERAGE(OFFSET($DS$3,0,0,'Données projet'!$E$14+1,1))-AVERAGE(OFFSET($H$3,0,0,'Données projet'!$E$14+1,1))</f>
        <v>586.50020405958992</v>
      </c>
      <c r="DU109" s="59">
        <f t="shared" si="98"/>
        <v>304.44184537595294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27.00614399497821</v>
      </c>
      <c r="EB109" s="21">
        <f>EXP(-LN(2)/25)*EB108+(1-EXP(-LN(2)/25))/(LN(2)/25)*Calculateur!DW109*Calculateur!DY109*VLOOKUP('Données projet'!$B$14,Paramètres!$A$1:$I$89,3,0)*0.475*44/12</f>
        <v>30.061018583773755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57.067162578751962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7.4</v>
      </c>
      <c r="N110" s="13">
        <f>IF('Données projet'!$A$36&gt;35,N109+M110-V109,IF(A110&lt;'Données projet'!$A$36,$K$205^A110,IF(A110='Données projet'!$A$36,'Données projet'!$B$36,N109+M110-V109)))</f>
        <v>470.8</v>
      </c>
      <c r="O110" s="13">
        <f>N110*VLOOKUP('Données projet'!$B$9,Paramètres!$A$1:$I$89,3,0)*VLOOKUP('Données projet'!$B$9,Paramètres!$A$1:$I$89,5,0)</f>
        <v>403.9464000000001</v>
      </c>
      <c r="P110" s="13">
        <f t="shared" si="87"/>
        <v>92.576279533320715</v>
      </c>
      <c r="Q110" s="20">
        <f t="shared" si="107"/>
        <v>864.77700018720031</v>
      </c>
      <c r="R110" s="59">
        <f t="shared" si="55"/>
        <v>1158.1103335205337</v>
      </c>
      <c r="S110" s="59">
        <f ca="1">AVERAGE(OFFSET($R$3,0,0,'Données projet'!$E$9+1,1))-AVERAGE(OFFSET($H$3,0,0,'Données projet'!$E$9+1,1))</f>
        <v>536.21423347711345</v>
      </c>
      <c r="T110" s="59">
        <f t="shared" si="88"/>
        <v>312.14361830038712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23.191605500494585</v>
      </c>
      <c r="AA110" s="21">
        <f>EXP(-LN(2)/25)*AA109+(1-EXP(-LN(2)/25))/(LN(2)/25)*Calculateur!V110*Calculateur!X110*VLOOKUP('Données projet'!$B$9,Paramètres!$A$1:$I$89,3,0)*0.475*44/12</f>
        <v>36.930280921658465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60.121886422153054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</v>
      </c>
      <c r="AI110" s="13">
        <f>IF('Données projet'!$A$62&gt;35,AI109+AH110-AQ109,IF(A110&lt;'Données projet'!$A$62,$AF$205^A110,IF(A110='Données projet'!$A$62,'Données projet'!$B$62,AI109+AH110-AQ109)))</f>
        <v>328.99999999999943</v>
      </c>
      <c r="AJ110" s="13">
        <f>AI110*VLOOKUP('Données projet'!$B$10,Paramètres!$A$1:$I$89,3,0)*VLOOKUP('Données projet'!$B$10,Paramètres!$A$1:$I$89,5,0)</f>
        <v>297.67919999999947</v>
      </c>
      <c r="AK110" s="13">
        <f t="shared" si="89"/>
        <v>70.689714967168015</v>
      </c>
      <c r="AL110" s="20">
        <f t="shared" si="58"/>
        <v>641.57586023448323</v>
      </c>
      <c r="AM110" s="59">
        <f t="shared" si="59"/>
        <v>934.9091935678166</v>
      </c>
      <c r="AN110" s="59">
        <f ca="1">AVERAGE(OFFSET($AM$3,0,0,'Données projet'!$E$10+1,1))-AVERAGE(OFFSET($H$3,0,0,'Données projet'!$E$10+1,1))</f>
        <v>528.15559695545812</v>
      </c>
      <c r="AO110" s="59">
        <f t="shared" si="90"/>
        <v>276.26988364830532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23.625247062073324</v>
      </c>
      <c r="AV110" s="21">
        <f>EXP(-LN(2)/25)*AV109+(1-EXP(-LN(2)/25))/(LN(2)/25)*Calculateur!AQ110*Calculateur!AS110*VLOOKUP('Données projet'!$B$10,Paramètres!$A$1:$I$89,3,0)*0.475*44/12</f>
        <v>26.090183232093715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49.715430294167035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7.4</v>
      </c>
      <c r="BD110" s="12">
        <f>IF('Données projet'!$A$88&gt;35,BD109+BC110-BL109,IF(A110&lt;'Données projet'!$A$88,$BA$205^A110,IF(A110='Données projet'!$A$88,'Données projet'!$B$88,BD109+BC110-BL109)))</f>
        <v>470.8</v>
      </c>
      <c r="BE110" s="13">
        <f>BD110*VLOOKUP('Données projet'!$B$11,Paramètres!$A$1:$I$89,3,0)*VLOOKUP('Données projet'!$B$11,Paramètres!$A$1:$I$89,5,0)</f>
        <v>345.19056</v>
      </c>
      <c r="BF110" s="13">
        <f t="shared" si="91"/>
        <v>80.571401519332227</v>
      </c>
      <c r="BG110" s="20">
        <f t="shared" si="61"/>
        <v>741.5354163128369</v>
      </c>
      <c r="BH110" s="59">
        <f t="shared" si="62"/>
        <v>1034.8687496461703</v>
      </c>
      <c r="BI110" s="59">
        <f ca="1">AVERAGE(OFFSET($BH$3,0,0,'Données projet'!$E$11+1,1))-AVERAGE(OFFSET($H$3,0,0,'Données projet'!$E$11+1,1))</f>
        <v>464.3681853739115</v>
      </c>
      <c r="BJ110" s="59">
        <f t="shared" si="92"/>
        <v>272.97841038165217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16.078982750085604</v>
      </c>
      <c r="BQ110" s="21">
        <f>EXP(-LN(2)/25)*BQ109+(1-EXP(-LN(2)/25))/(LN(2)/25)*Calculateur!BL110*Calculateur!BN110*VLOOKUP('Données projet'!$B$11,Paramètres!$A$1:$I$89,3,0)*0.475*44/12</f>
        <v>25.604150169012613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41.683132919098213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4.4337866711430253E-14</v>
      </c>
      <c r="CA110" s="13">
        <f t="shared" si="93"/>
        <v>7.3222115536967035E-13</v>
      </c>
      <c r="CB110" s="20">
        <f t="shared" si="64"/>
        <v>1.3525069634579169E-12</v>
      </c>
      <c r="CC110" s="59">
        <f t="shared" si="65"/>
        <v>293.33333333333468</v>
      </c>
      <c r="CD110" s="59">
        <f ca="1">AVERAGE(OFFSET($CC$3,0,0,'Données projet'!$E$12+1,1))-AVERAGE(OFFSET($H$3,0,0,'Données projet'!$E$12+1,1))</f>
        <v>288.82868507674738</v>
      </c>
      <c r="CE110" s="59">
        <f t="shared" si="94"/>
        <v>283.48738729114024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31.309673704143407</v>
      </c>
      <c r="CL110" s="21">
        <f>EXP(-LN(2)/25)*CL109+(1-EXP(-LN(2)/25))/(LN(2)/25)*Calculateur!CG110*Calculateur!CI110*VLOOKUP('Données projet'!$B$12,Paramètres!$A$1:$I$89,3,0)*0.475*44/12</f>
        <v>3.3169993361327168</v>
      </c>
      <c r="CM110" s="21">
        <f>EXP(-LN(2)/2)*CM109+(1-EXP(-LN(2)/2))/(LN(2)/2)*CG110*CJ110*VLOOKUP('Données projet'!$B$12,Paramètres!$A$1:$I$89,3,0)*0.475*44/12</f>
        <v>1.3906027640932822E-4</v>
      </c>
      <c r="CN110" s="22">
        <f t="shared" si="66"/>
        <v>34.626812100552534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-2.8421709430404007E-13</v>
      </c>
      <c r="CU110" s="17">
        <f>CT110*VLOOKUP('Données projet'!$B$13,Paramètres!$A$1:$I$89,3,0)*VLOOKUP('Données projet'!$B$13,Paramètres!$A$1:$I$89,5,0)</f>
        <v>-1.8621904018800707E-13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340.49092994349405</v>
      </c>
      <c r="CZ110" s="59">
        <f t="shared" si="96"/>
        <v>331.54434271908832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58.333555462885073</v>
      </c>
      <c r="DG110" s="21">
        <f>EXP(-LN(2)/25)*DG109+(1-EXP(-LN(2)/25))/(LN(2)/25)*Calculateur!DB110*Calculateur!DD110*VLOOKUP('Données projet'!$B$13,Paramètres!$A$1:$I$89,3,0)*0.475*44/12</f>
        <v>1.5946592377798123</v>
      </c>
      <c r="DH110" s="21">
        <f>EXP(-LN(2)/2)*DH109+(1-EXP(-LN(2)/2))/(LN(2)/2)*DB110*DE110*VLOOKUP('Données projet'!$B$13,Paramètres!$A$1:$I$89,3,0)*0.475*44/12</f>
        <v>4.0986832549817871E-3</v>
      </c>
      <c r="DI110" s="22">
        <f t="shared" si="69"/>
        <v>59.932313383919869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</v>
      </c>
      <c r="DO110" s="12">
        <f>IF('Données projet'!$A$166&gt;35,DO109+DN110-DW109,IF(A110&lt;'Données projet'!$A$166,$DL$205^A110,IF(A110='Données projet'!$A$166,'Données projet'!$B$166,DO109+DN110-DW109)))</f>
        <v>328.99999999999943</v>
      </c>
      <c r="DP110" s="17">
        <f>DO110*VLOOKUP('Données projet'!$B$14,Paramètres!$A$1:$I$89,3,0)*VLOOKUP('Données projet'!$B$14,Paramètres!$A$1:$I$89,5,0)</f>
        <v>333.60599999999943</v>
      </c>
      <c r="DQ110" s="13">
        <f t="shared" si="97"/>
        <v>78.177449436211234</v>
      </c>
      <c r="DR110" s="20">
        <f t="shared" si="70"/>
        <v>717.18950776806685</v>
      </c>
      <c r="DS110" s="59">
        <f t="shared" si="71"/>
        <v>1010.5228411014002</v>
      </c>
      <c r="DT110" s="59">
        <f ca="1">AVERAGE(OFFSET($DS$3,0,0,'Données projet'!$E$14+1,1))-AVERAGE(OFFSET($H$3,0,0,'Données projet'!$E$14+1,1))</f>
        <v>586.50020405958992</v>
      </c>
      <c r="DU110" s="59">
        <f t="shared" si="98"/>
        <v>304.44184537595294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26.476569983358036</v>
      </c>
      <c r="EB110" s="21">
        <f>EXP(-LN(2)/25)*EB109+(1-EXP(-LN(2)/25))/(LN(2)/25)*Calculateur!DW110*Calculateur!DY110*VLOOKUP('Données projet'!$B$14,Paramètres!$A$1:$I$89,3,0)*0.475*44/12</f>
        <v>29.238998449760199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55.715568433118236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7.4</v>
      </c>
      <c r="N111" s="13">
        <f>IF('Données projet'!$A$36&gt;35,N110+M111-V110,IF(A111&lt;'Données projet'!$A$36,$K$205^A111,IF(A111='Données projet'!$A$36,'Données projet'!$B$36,N110+M111-V110)))</f>
        <v>478.2</v>
      </c>
      <c r="O111" s="13">
        <f>N111*VLOOKUP('Données projet'!$B$9,Paramètres!$A$1:$I$89,3,0)*VLOOKUP('Données projet'!$B$9,Paramètres!$A$1:$I$89,5,0)</f>
        <v>410.29559999999998</v>
      </c>
      <c r="P111" s="13">
        <f t="shared" si="87"/>
        <v>93.860842909017109</v>
      </c>
      <c r="Q111" s="20">
        <f t="shared" si="107"/>
        <v>878.07247139987146</v>
      </c>
      <c r="R111" s="59">
        <f t="shared" si="55"/>
        <v>1171.4058047332048</v>
      </c>
      <c r="S111" s="59">
        <f ca="1">AVERAGE(OFFSET($R$3,0,0,'Données projet'!$E$9+1,1))-AVERAGE(OFFSET($H$3,0,0,'Données projet'!$E$9+1,1))</f>
        <v>536.21423347711345</v>
      </c>
      <c r="T111" s="59">
        <f t="shared" si="88"/>
        <v>312.14361830038712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22.736832262112493</v>
      </c>
      <c r="AA111" s="21">
        <f>EXP(-LN(2)/25)*AA110+(1-EXP(-LN(2)/25))/(LN(2)/25)*Calculateur!V111*Calculateur!X111*VLOOKUP('Données projet'!$B$9,Paramètres!$A$1:$I$89,3,0)*0.475*44/12</f>
        <v>35.920420447776642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58.657252709889136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</v>
      </c>
      <c r="AI111" s="13">
        <f>IF('Données projet'!$A$62&gt;35,AI110+AH111-AQ110,IF(A111&lt;'Données projet'!$A$62,$AF$205^A111,IF(A111='Données projet'!$A$62,'Données projet'!$B$62,AI110+AH111-AQ110)))</f>
        <v>335.99999999999943</v>
      </c>
      <c r="AJ111" s="13">
        <f>AI111*VLOOKUP('Données projet'!$B$10,Paramètres!$A$1:$I$89,3,0)*VLOOKUP('Données projet'!$B$10,Paramètres!$A$1:$I$89,5,0)</f>
        <v>304.01279999999946</v>
      </c>
      <c r="AK111" s="13">
        <f t="shared" si="89"/>
        <v>72.017048837085696</v>
      </c>
      <c r="AL111" s="20">
        <f t="shared" si="58"/>
        <v>654.91865339125661</v>
      </c>
      <c r="AM111" s="59">
        <f t="shared" si="59"/>
        <v>948.25198672458987</v>
      </c>
      <c r="AN111" s="59">
        <f ca="1">AVERAGE(OFFSET($AM$3,0,0,'Données projet'!$E$10+1,1))-AVERAGE(OFFSET($H$3,0,0,'Données projet'!$E$10+1,1))</f>
        <v>528.15559695545812</v>
      </c>
      <c r="AO111" s="59">
        <f t="shared" si="90"/>
        <v>276.26988364830532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23.161970377163907</v>
      </c>
      <c r="AV111" s="21">
        <f>EXP(-LN(2)/25)*AV110+(1-EXP(-LN(2)/25))/(LN(2)/25)*Calculateur!AQ111*Calculateur!AS111*VLOOKUP('Données projet'!$B$10,Paramètres!$A$1:$I$89,3,0)*0.475*44/12</f>
        <v>25.376745799589006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48.538716176752914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7.4</v>
      </c>
      <c r="BD111" s="12">
        <f>IF('Données projet'!$A$88&gt;35,BD110+BC111-BL110,IF(A111&lt;'Données projet'!$A$88,$BA$205^A111,IF(A111='Données projet'!$A$88,'Données projet'!$B$88,BD110+BC111-BL110)))</f>
        <v>478.2</v>
      </c>
      <c r="BE111" s="13">
        <f>BD111*VLOOKUP('Données projet'!$B$11,Paramètres!$A$1:$I$89,3,0)*VLOOKUP('Données projet'!$B$11,Paramètres!$A$1:$I$89,5,0)</f>
        <v>350.61624</v>
      </c>
      <c r="BF111" s="13">
        <f t="shared" si="91"/>
        <v>81.689388459853177</v>
      </c>
      <c r="BG111" s="20">
        <f t="shared" si="61"/>
        <v>752.93230290091105</v>
      </c>
      <c r="BH111" s="59">
        <f t="shared" si="62"/>
        <v>1046.2656362342443</v>
      </c>
      <c r="BI111" s="59">
        <f ca="1">AVERAGE(OFFSET($BH$3,0,0,'Données projet'!$E$11+1,1))-AVERAGE(OFFSET($H$3,0,0,'Données projet'!$E$11+1,1))</f>
        <v>464.3681853739115</v>
      </c>
      <c r="BJ111" s="59">
        <f t="shared" si="92"/>
        <v>272.97841038165217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15.763683705567521</v>
      </c>
      <c r="BQ111" s="21">
        <f>EXP(-LN(2)/25)*BQ110+(1-EXP(-LN(2)/25))/(LN(2)/25)*Calculateur!BL111*Calculateur!BN111*VLOOKUP('Données projet'!$B$11,Paramètres!$A$1:$I$89,3,0)*0.475*44/12</f>
        <v>24.904003336177226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40.667687041744749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4.4337866711430253E-14</v>
      </c>
      <c r="CA111" s="13">
        <f t="shared" si="93"/>
        <v>7.3222115536967035E-13</v>
      </c>
      <c r="CB111" s="20">
        <f t="shared" si="64"/>
        <v>1.3525069634579169E-12</v>
      </c>
      <c r="CC111" s="59">
        <f t="shared" si="65"/>
        <v>293.33333333333468</v>
      </c>
      <c r="CD111" s="59">
        <f ca="1">AVERAGE(OFFSET($CC$3,0,0,'Données projet'!$E$12+1,1))-AVERAGE(OFFSET($H$3,0,0,'Données projet'!$E$12+1,1))</f>
        <v>288.82868507674738</v>
      </c>
      <c r="CE111" s="59">
        <f t="shared" si="94"/>
        <v>283.48738729114024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30.695710099820442</v>
      </c>
      <c r="CL111" s="21">
        <f>EXP(-LN(2)/25)*CL110+(1-EXP(-LN(2)/25))/(LN(2)/25)*Calculateur!CG111*Calculateur!CI111*VLOOKUP('Données projet'!$B$12,Paramètres!$A$1:$I$89,3,0)*0.475*44/12</f>
        <v>3.2262958148527536</v>
      </c>
      <c r="CM111" s="21">
        <f>EXP(-LN(2)/2)*CM110+(1-EXP(-LN(2)/2))/(LN(2)/2)*CG111*CJ111*VLOOKUP('Données projet'!$B$12,Paramètres!$A$1:$I$89,3,0)*0.475*44/12</f>
        <v>9.8330464442711668E-5</v>
      </c>
      <c r="CN111" s="22">
        <f t="shared" si="66"/>
        <v>33.922104245137632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-2.8421709430404007E-13</v>
      </c>
      <c r="CU111" s="17">
        <f>CT111*VLOOKUP('Données projet'!$B$13,Paramètres!$A$1:$I$89,3,0)*VLOOKUP('Données projet'!$B$13,Paramètres!$A$1:$I$89,5,0)</f>
        <v>-1.8621904018800707E-13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340.49092994349405</v>
      </c>
      <c r="CZ111" s="59">
        <f t="shared" si="96"/>
        <v>331.54434271908832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57.189670020213498</v>
      </c>
      <c r="DG111" s="21">
        <f>EXP(-LN(2)/25)*DG110+(1-EXP(-LN(2)/25))/(LN(2)/25)*Calculateur!DB111*Calculateur!DD111*VLOOKUP('Données projet'!$B$13,Paramètres!$A$1:$I$89,3,0)*0.475*44/12</f>
        <v>1.5510531970632386</v>
      </c>
      <c r="DH111" s="21">
        <f>EXP(-LN(2)/2)*DH110+(1-EXP(-LN(2)/2))/(LN(2)/2)*DB111*DE111*VLOOKUP('Données projet'!$B$13,Paramètres!$A$1:$I$89,3,0)*0.475*44/12</f>
        <v>2.8982067235333729E-3</v>
      </c>
      <c r="DI111" s="22">
        <f t="shared" si="69"/>
        <v>58.743621424000274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</v>
      </c>
      <c r="DO111" s="12">
        <f>IF('Données projet'!$A$166&gt;35,DO110+DN111-DW110,IF(A111&lt;'Données projet'!$A$166,$DL$205^A111,IF(A111='Données projet'!$A$166,'Données projet'!$B$166,DO110+DN111-DW110)))</f>
        <v>335.99999999999943</v>
      </c>
      <c r="DP111" s="17">
        <f>DO111*VLOOKUP('Données projet'!$B$14,Paramètres!$A$1:$I$89,3,0)*VLOOKUP('Données projet'!$B$14,Paramètres!$A$1:$I$89,5,0)</f>
        <v>340.70399999999944</v>
      </c>
      <c r="DQ111" s="13">
        <f t="shared" si="97"/>
        <v>79.64537976452938</v>
      </c>
      <c r="DR111" s="20">
        <f t="shared" si="70"/>
        <v>732.10850308988756</v>
      </c>
      <c r="DS111" s="59">
        <f t="shared" si="71"/>
        <v>1025.4418364232208</v>
      </c>
      <c r="DT111" s="59">
        <f ca="1">AVERAGE(OFFSET($DS$3,0,0,'Données projet'!$E$14+1,1))-AVERAGE(OFFSET($H$3,0,0,'Données projet'!$E$14+1,1))</f>
        <v>586.50020405958992</v>
      </c>
      <c r="DU111" s="59">
        <f t="shared" si="98"/>
        <v>304.44184537595294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25.957380595097483</v>
      </c>
      <c r="EB111" s="21">
        <f>EXP(-LN(2)/25)*EB110+(1-EXP(-LN(2)/25))/(LN(2)/25)*Calculateur!DW111*Calculateur!DY111*VLOOKUP('Données projet'!$B$14,Paramètres!$A$1:$I$89,3,0)*0.475*44/12</f>
        <v>28.439456499539403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54.396837094636886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7.4</v>
      </c>
      <c r="N112" s="13">
        <f>IF('Données projet'!$A$36&gt;35,N111+M112-V111,IF(A112&lt;'Données projet'!$A$36,$K$205^A112,IF(A112='Données projet'!$A$36,'Données projet'!$B$36,N111+M112-V111)))</f>
        <v>485.59999999999997</v>
      </c>
      <c r="O112" s="13">
        <f>N112*VLOOKUP('Données projet'!$B$9,Paramètres!$A$1:$I$89,3,0)*VLOOKUP('Données projet'!$B$9,Paramètres!$A$1:$I$89,5,0)</f>
        <v>416.64479999999998</v>
      </c>
      <c r="P112" s="13">
        <f t="shared" si="87"/>
        <v>95.143094443977361</v>
      </c>
      <c r="Q112" s="20">
        <f t="shared" si="107"/>
        <v>891.36391615659386</v>
      </c>
      <c r="R112" s="59">
        <f t="shared" si="55"/>
        <v>1184.6972494899271</v>
      </c>
      <c r="S112" s="59">
        <f ca="1">AVERAGE(OFFSET($R$3,0,0,'Données projet'!$E$9+1,1))-AVERAGE(OFFSET($H$3,0,0,'Données projet'!$E$9+1,1))</f>
        <v>536.21423347711345</v>
      </c>
      <c r="T112" s="59">
        <f t="shared" si="88"/>
        <v>312.14361830038712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22.290976849550788</v>
      </c>
      <c r="AA112" s="21">
        <f>EXP(-LN(2)/25)*AA111+(1-EXP(-LN(2)/25))/(LN(2)/25)*Calculateur!V112*Calculateur!X112*VLOOKUP('Données projet'!$B$9,Paramètres!$A$1:$I$89,3,0)*0.475*44/12</f>
        <v>34.938174661659374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57.229151511210162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</v>
      </c>
      <c r="AI112" s="13">
        <f>IF('Données projet'!$A$62&gt;35,AI111+AH112-AQ111,IF(A112&lt;'Données projet'!$A$62,$AF$205^A112,IF(A112='Données projet'!$A$62,'Données projet'!$B$62,AI111+AH112-AQ111)))</f>
        <v>342.99999999999943</v>
      </c>
      <c r="AJ112" s="13">
        <f>AI112*VLOOKUP('Données projet'!$B$10,Paramètres!$A$1:$I$89,3,0)*VLOOKUP('Données projet'!$B$10,Paramètres!$A$1:$I$89,5,0)</f>
        <v>310.34639999999945</v>
      </c>
      <c r="AK112" s="13">
        <f t="shared" si="89"/>
        <v>73.341167576152927</v>
      </c>
      <c r="AL112" s="20">
        <f t="shared" si="58"/>
        <v>668.25584686179866</v>
      </c>
      <c r="AM112" s="59">
        <f t="shared" si="59"/>
        <v>961.58918019513203</v>
      </c>
      <c r="AN112" s="59">
        <f ca="1">AVERAGE(OFFSET($AM$3,0,0,'Données projet'!$E$10+1,1))-AVERAGE(OFFSET($H$3,0,0,'Données projet'!$E$10+1,1))</f>
        <v>528.15559695545812</v>
      </c>
      <c r="AO112" s="59">
        <f t="shared" si="90"/>
        <v>276.26988364830532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22.707778265474687</v>
      </c>
      <c r="AV112" s="21">
        <f>EXP(-LN(2)/25)*AV111+(1-EXP(-LN(2)/25))/(LN(2)/25)*Calculateur!AQ112*Calculateur!AS112*VLOOKUP('Données projet'!$B$10,Paramètres!$A$1:$I$89,3,0)*0.475*44/12</f>
        <v>24.682817351194181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47.390595616668868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7.4</v>
      </c>
      <c r="BD112" s="12">
        <f>IF('Données projet'!$A$88&gt;35,BD111+BC112-BL111,IF(A112&lt;'Données projet'!$A$88,$BA$205^A112,IF(A112='Données projet'!$A$88,'Données projet'!$B$88,BD111+BC112-BL111)))</f>
        <v>485.59999999999997</v>
      </c>
      <c r="BE112" s="13">
        <f>BD112*VLOOKUP('Données projet'!$B$11,Paramètres!$A$1:$I$89,3,0)*VLOOKUP('Données projet'!$B$11,Paramètres!$A$1:$I$89,5,0)</f>
        <v>356.04191999999995</v>
      </c>
      <c r="BF112" s="13">
        <f t="shared" si="91"/>
        <v>82.805363348808157</v>
      </c>
      <c r="BG112" s="20">
        <f t="shared" si="61"/>
        <v>764.3256851658407</v>
      </c>
      <c r="BH112" s="59">
        <f t="shared" si="62"/>
        <v>1057.659018499174</v>
      </c>
      <c r="BI112" s="59">
        <f ca="1">AVERAGE(OFFSET($BH$3,0,0,'Données projet'!$E$11+1,1))-AVERAGE(OFFSET($H$3,0,0,'Données projet'!$E$11+1,1))</f>
        <v>464.3681853739115</v>
      </c>
      <c r="BJ112" s="59">
        <f t="shared" si="92"/>
        <v>272.97841038165217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15.454567482999011</v>
      </c>
      <c r="BQ112" s="21">
        <f>EXP(-LN(2)/25)*BQ111+(1-EXP(-LN(2)/25))/(LN(2)/25)*Calculateur!BL112*Calculateur!BN112*VLOOKUP('Données projet'!$B$11,Paramètres!$A$1:$I$89,3,0)*0.475*44/12</f>
        <v>24.223002055304843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39.677569538303857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4.4337866711430253E-14</v>
      </c>
      <c r="CA112" s="13">
        <f t="shared" si="93"/>
        <v>7.3222115536967035E-13</v>
      </c>
      <c r="CB112" s="20">
        <f t="shared" si="64"/>
        <v>1.3525069634579169E-12</v>
      </c>
      <c r="CC112" s="59">
        <f t="shared" si="65"/>
        <v>293.33333333333468</v>
      </c>
      <c r="CD112" s="59">
        <f ca="1">AVERAGE(OFFSET($CC$3,0,0,'Données projet'!$E$12+1,1))-AVERAGE(OFFSET($H$3,0,0,'Données projet'!$E$12+1,1))</f>
        <v>288.82868507674738</v>
      </c>
      <c r="CE112" s="59">
        <f t="shared" si="94"/>
        <v>283.48738729114024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30.093785947297427</v>
      </c>
      <c r="CL112" s="21">
        <f>EXP(-LN(2)/25)*CL111+(1-EXP(-LN(2)/25))/(LN(2)/25)*Calculateur!CG112*Calculateur!CI112*VLOOKUP('Données projet'!$B$12,Paramètres!$A$1:$I$89,3,0)*0.475*44/12</f>
        <v>3.1380725861320822</v>
      </c>
      <c r="CM112" s="21">
        <f>EXP(-LN(2)/2)*CM111+(1-EXP(-LN(2)/2))/(LN(2)/2)*CG112*CJ112*VLOOKUP('Données projet'!$B$12,Paramètres!$A$1:$I$89,3,0)*0.475*44/12</f>
        <v>6.953013820466411E-5</v>
      </c>
      <c r="CN112" s="22">
        <f t="shared" si="66"/>
        <v>33.231928063567715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-2.8421709430404007E-13</v>
      </c>
      <c r="CU112" s="17">
        <f>CT112*VLOOKUP('Données projet'!$B$13,Paramètres!$A$1:$I$89,3,0)*VLOOKUP('Données projet'!$B$13,Paramètres!$A$1:$I$89,5,0)</f>
        <v>-1.8621904018800707E-13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340.49092994349405</v>
      </c>
      <c r="CZ112" s="59">
        <f t="shared" si="96"/>
        <v>331.54434271908832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56.068215473371488</v>
      </c>
      <c r="DG112" s="21">
        <f>EXP(-LN(2)/25)*DG111+(1-EXP(-LN(2)/25))/(LN(2)/25)*Calculateur!DB112*Calculateur!DD112*VLOOKUP('Données projet'!$B$13,Paramètres!$A$1:$I$89,3,0)*0.475*44/12</f>
        <v>1.5086395658232017</v>
      </c>
      <c r="DH112" s="21">
        <f>EXP(-LN(2)/2)*DH111+(1-EXP(-LN(2)/2))/(LN(2)/2)*DB112*DE112*VLOOKUP('Données projet'!$B$13,Paramètres!$A$1:$I$89,3,0)*0.475*44/12</f>
        <v>2.0493416274908935E-3</v>
      </c>
      <c r="DI112" s="22">
        <f t="shared" si="69"/>
        <v>57.578904380822181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</v>
      </c>
      <c r="DO112" s="12">
        <f>IF('Données projet'!$A$166&gt;35,DO111+DN112-DW111,IF(A112&lt;'Données projet'!$A$166,$DL$205^A112,IF(A112='Données projet'!$A$166,'Données projet'!$B$166,DO111+DN112-DW111)))</f>
        <v>342.99999999999943</v>
      </c>
      <c r="DP112" s="17">
        <f>DO112*VLOOKUP('Données projet'!$B$14,Paramètres!$A$1:$I$89,3,0)*VLOOKUP('Données projet'!$B$14,Paramètres!$A$1:$I$89,5,0)</f>
        <v>347.80199999999945</v>
      </c>
      <c r="DQ112" s="13">
        <f t="shared" si="97"/>
        <v>81.109754402608502</v>
      </c>
      <c r="DR112" s="20">
        <f t="shared" si="70"/>
        <v>747.02130558454212</v>
      </c>
      <c r="DS112" s="59">
        <f t="shared" si="71"/>
        <v>1040.3546389178755</v>
      </c>
      <c r="DT112" s="59">
        <f ca="1">AVERAGE(OFFSET($DS$3,0,0,'Données projet'!$E$14+1,1))-AVERAGE(OFFSET($H$3,0,0,'Données projet'!$E$14+1,1))</f>
        <v>586.50020405958992</v>
      </c>
      <c r="DU112" s="59">
        <f t="shared" si="98"/>
        <v>304.44184537595294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25.448372194066462</v>
      </c>
      <c r="EB112" s="21">
        <f>EXP(-LN(2)/25)*EB111+(1-EXP(-LN(2)/25))/(LN(2)/25)*Calculateur!DW112*Calculateur!DY112*VLOOKUP('Données projet'!$B$14,Paramètres!$A$1:$I$89,3,0)*0.475*44/12</f>
        <v>27.661778065993481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53.110150260059939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493</v>
      </c>
      <c r="L113" s="12">
        <f>VLOOKUP(A113,'Données projet'!$A$35:$I$55,9,0)</f>
        <v>7.4</v>
      </c>
      <c r="M113" s="12">
        <f t="array" ref="M113">INDEX(L:L,MIN(IF(ISNUMBER(L113:L309),ROW(L113:L309),"")))</f>
        <v>7.4</v>
      </c>
      <c r="N113" s="13">
        <f>IF('Données projet'!$A$36&gt;35,N112+M113-V112,IF(A113&lt;'Données projet'!$A$36,$K$205^A113,IF(A113='Données projet'!$A$36,'Données projet'!$B$36,N112+M113-V112)))</f>
        <v>492.99999999999994</v>
      </c>
      <c r="O113" s="13">
        <f>N113*VLOOKUP('Données projet'!$B$9,Paramètres!$A$1:$I$89,3,0)*VLOOKUP('Données projet'!$B$9,Paramètres!$A$1:$I$89,5,0)</f>
        <v>422.99399999999997</v>
      </c>
      <c r="P113" s="13">
        <f t="shared" si="87"/>
        <v>96.423073437021841</v>
      </c>
      <c r="Q113" s="20">
        <f t="shared" si="107"/>
        <v>904.65140290281306</v>
      </c>
      <c r="R113" s="59">
        <f t="shared" si="55"/>
        <v>1197.9847362361463</v>
      </c>
      <c r="S113" s="59">
        <f ca="1">AVERAGE(OFFSET($R$3,0,0,'Données projet'!$E$9+1,1))-AVERAGE(OFFSET($H$3,0,0,'Données projet'!$E$9+1,1))</f>
        <v>536.21423347711345</v>
      </c>
      <c r="T113" s="59">
        <f t="shared" si="88"/>
        <v>312.14361830038712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27</v>
      </c>
      <c r="W113" s="16">
        <f>IF(ISNA(VLOOKUP(A113,'Données projet'!$A$35:$I$55,5,0)),0%,VLOOKUP(A113,'Données projet'!$A$35:$I$55,5,0)*VLOOKUP('Données projet'!$B$9,Paramètres!$A$1:$I$89,7,0))</f>
        <v>0.371</v>
      </c>
      <c r="X113" s="16">
        <f>IF(ISNA(VLOOKUP(A113,'Données projet'!$A$35:$I$55,6,0)),0%,VLOOKUP(A113,'Données projet'!$A$35:$I$55,6,0)*VLOOKUP('Données projet'!$B$9,Paramètres!$A$1:$I$89,7,0))</f>
        <v>5.3000000000000005E-2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31.354924637033051</v>
      </c>
      <c r="AA113" s="21">
        <f>EXP(-LN(2)/25)*AA112+(1-EXP(-LN(2)/25))/(LN(2)/25)*Calculateur!V113*Calculateur!X113*VLOOKUP('Données projet'!$B$9,Paramètres!$A$1:$I$89,3,0)*0.475*44/12</f>
        <v>35.33473857435569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66.689663211388734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</v>
      </c>
      <c r="AI113" s="13">
        <f>IF('Données projet'!$A$62&gt;35,AI112+AH113-AQ112,IF(A113&lt;'Données projet'!$A$62,$AF$205^A113,IF(A113='Données projet'!$A$62,'Données projet'!$B$62,AI112+AH113-AQ112)))</f>
        <v>349.99999999999943</v>
      </c>
      <c r="AJ113" s="13">
        <f>AI113*VLOOKUP('Données projet'!$B$10,Paramètres!$A$1:$I$89,3,0)*VLOOKUP('Données projet'!$B$10,Paramètres!$A$1:$I$89,5,0)</f>
        <v>316.6799999999995</v>
      </c>
      <c r="AK113" s="13">
        <f t="shared" si="89"/>
        <v>74.662144360177635</v>
      </c>
      <c r="AL113" s="20">
        <f t="shared" si="58"/>
        <v>681.58756809397516</v>
      </c>
      <c r="AM113" s="59">
        <f t="shared" si="59"/>
        <v>974.92090142730854</v>
      </c>
      <c r="AN113" s="59">
        <f ca="1">AVERAGE(OFFSET($AM$3,0,0,'Données projet'!$E$10+1,1))-AVERAGE(OFFSET($H$3,0,0,'Données projet'!$E$10+1,1))</f>
        <v>528.15559695545812</v>
      </c>
      <c r="AO113" s="59">
        <f t="shared" si="90"/>
        <v>276.26988364830532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22.262492584065861</v>
      </c>
      <c r="AV113" s="21">
        <f>EXP(-LN(2)/25)*AV112+(1-EXP(-LN(2)/25))/(LN(2)/25)*Calculateur!AQ113*Calculateur!AS113*VLOOKUP('Données projet'!$B$10,Paramètres!$A$1:$I$89,3,0)*0.475*44/12</f>
        <v>24.007864412712824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46.270356996778688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493</v>
      </c>
      <c r="BB113" s="12">
        <f>VLOOKUP(A113,'Données projet'!$A$87:$I$107,9,0)</f>
        <v>7.4</v>
      </c>
      <c r="BC113" s="12">
        <f t="array" ref="BC113">INDEX(BB:BB,MIN(IF(ISNUMBER(BB113:BB309),ROW(BB113:BB309),"")))</f>
        <v>7.4</v>
      </c>
      <c r="BD113" s="12">
        <f>IF('Données projet'!$A$88&gt;35,BD112+BC113-BL112,IF(A113&lt;'Données projet'!$A$88,$BA$205^A113,IF(A113='Données projet'!$A$88,'Données projet'!$B$88,BD112+BC113-BL112)))</f>
        <v>492.99999999999994</v>
      </c>
      <c r="BE113" s="13">
        <f>BD113*VLOOKUP('Données projet'!$B$11,Paramètres!$A$1:$I$89,3,0)*VLOOKUP('Données projet'!$B$11,Paramètres!$A$1:$I$89,5,0)</f>
        <v>361.46759999999995</v>
      </c>
      <c r="BF113" s="13">
        <f t="shared" si="91"/>
        <v>83.9193603889222</v>
      </c>
      <c r="BG113" s="20">
        <f t="shared" si="61"/>
        <v>775.71562267737272</v>
      </c>
      <c r="BH113" s="59">
        <f t="shared" si="62"/>
        <v>1069.048956010706</v>
      </c>
      <c r="BI113" s="59">
        <f ca="1">AVERAGE(OFFSET($BH$3,0,0,'Données projet'!$E$11+1,1))-AVERAGE(OFFSET($H$3,0,0,'Données projet'!$E$11+1,1))</f>
        <v>464.3681853739115</v>
      </c>
      <c r="BJ113" s="59">
        <f t="shared" si="92"/>
        <v>272.97841038165217</v>
      </c>
      <c r="BK113" s="15">
        <f>IF(ISNA(VLOOKUP(A113,'Données projet'!$A$87:$I$107,3,0)),0,VLOOKUP(A113,'Données projet'!$A$87:$I$107,3,0))</f>
        <v>19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0.30099999999999999</v>
      </c>
      <c r="BN113" s="16">
        <f>IF(ISNA(VLOOKUP(A113,'Données projet'!$A$87:$I$107,6,0)),0%,VLOOKUP(A113,'Données projet'!$A$87:$I$107,6,0)*VLOOKUP('Données projet'!$B$11,Paramètres!$A$1:$I$89,7,0))</f>
        <v>4.3000000000000003E-2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21.738697321250001</v>
      </c>
      <c r="BQ113" s="21">
        <f>EXP(-LN(2)/25)*BQ112+(1-EXP(-LN(2)/25))/(LN(2)/25)*Calculateur!BL113*Calculateur!BN113*VLOOKUP('Données projet'!$B$11,Paramètres!$A$1:$I$89,3,0)*0.475*44/12</f>
        <v>24.497943965273709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46.236641286523707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4.4337866711430253E-14</v>
      </c>
      <c r="CA113" s="13">
        <f t="shared" si="93"/>
        <v>7.3222115536967035E-13</v>
      </c>
      <c r="CB113" s="20">
        <f t="shared" si="64"/>
        <v>1.3525069634579169E-12</v>
      </c>
      <c r="CC113" s="59">
        <f t="shared" si="65"/>
        <v>293.33333333333468</v>
      </c>
      <c r="CD113" s="59">
        <f ca="1">AVERAGE(OFFSET($CC$3,0,0,'Données projet'!$E$12+1,1))-AVERAGE(OFFSET($H$3,0,0,'Données projet'!$E$12+1,1))</f>
        <v>288.82868507674738</v>
      </c>
      <c r="CE113" s="59">
        <f t="shared" si="94"/>
        <v>283.48738729114024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29.503665160267907</v>
      </c>
      <c r="CL113" s="21">
        <f>EXP(-LN(2)/25)*CL112+(1-EXP(-LN(2)/25))/(LN(2)/25)*Calculateur!CG113*Calculateur!CI113*VLOOKUP('Données projet'!$B$12,Paramètres!$A$1:$I$89,3,0)*0.475*44/12</f>
        <v>3.0522618262402355</v>
      </c>
      <c r="CM113" s="21">
        <f>EXP(-LN(2)/2)*CM112+(1-EXP(-LN(2)/2))/(LN(2)/2)*CG113*CJ113*VLOOKUP('Données projet'!$B$12,Paramètres!$A$1:$I$89,3,0)*0.475*44/12</f>
        <v>4.9165232221355834E-5</v>
      </c>
      <c r="CN113" s="22">
        <f t="shared" si="66"/>
        <v>32.55597615174036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-2.8421709430404007E-13</v>
      </c>
      <c r="CU113" s="17">
        <f>CT113*VLOOKUP('Données projet'!$B$13,Paramètres!$A$1:$I$89,3,0)*VLOOKUP('Données projet'!$B$13,Paramètres!$A$1:$I$89,5,0)</f>
        <v>-1.8621904018800707E-13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340.49092994349405</v>
      </c>
      <c r="CZ113" s="59">
        <f t="shared" si="96"/>
        <v>331.54434271908832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54.968751966173315</v>
      </c>
      <c r="DG113" s="21">
        <f>EXP(-LN(2)/25)*DG112+(1-EXP(-LN(2)/25))/(LN(2)/25)*Calculateur!DB113*Calculateur!DD113*VLOOKUP('Données projet'!$B$13,Paramètres!$A$1:$I$89,3,0)*0.475*44/12</f>
        <v>1.4673857375598596</v>
      </c>
      <c r="DH113" s="21">
        <f>EXP(-LN(2)/2)*DH112+(1-EXP(-LN(2)/2))/(LN(2)/2)*DB113*DE113*VLOOKUP('Données projet'!$B$13,Paramètres!$A$1:$I$89,3,0)*0.475*44/12</f>
        <v>1.4491033617666865E-3</v>
      </c>
      <c r="DI113" s="22">
        <f t="shared" si="69"/>
        <v>56.437586807094938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</v>
      </c>
      <c r="DO113" s="12">
        <f>IF('Données projet'!$A$166&gt;35,DO112+DN113-DW112,IF(A113&lt;'Données projet'!$A$166,$DL$205^A113,IF(A113='Données projet'!$A$166,'Données projet'!$B$166,DO112+DN113-DW112)))</f>
        <v>349.99999999999943</v>
      </c>
      <c r="DP113" s="17">
        <f>DO113*VLOOKUP('Données projet'!$B$14,Paramètres!$A$1:$I$89,3,0)*VLOOKUP('Données projet'!$B$14,Paramètres!$A$1:$I$89,5,0)</f>
        <v>354.89999999999941</v>
      </c>
      <c r="DQ113" s="13">
        <f t="shared" si="97"/>
        <v>82.570654277328046</v>
      </c>
      <c r="DR113" s="20">
        <f t="shared" si="70"/>
        <v>761.92805619967874</v>
      </c>
      <c r="DS113" s="59">
        <f t="shared" si="71"/>
        <v>1055.2613895330121</v>
      </c>
      <c r="DT113" s="59">
        <f ca="1">AVERAGE(OFFSET($DS$3,0,0,'Données projet'!$E$14+1,1))-AVERAGE(OFFSET($H$3,0,0,'Données projet'!$E$14+1,1))</f>
        <v>586.50020405958992</v>
      </c>
      <c r="DU113" s="59">
        <f t="shared" si="98"/>
        <v>304.44184537595294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24.949345137315188</v>
      </c>
      <c r="EB113" s="21">
        <f>EXP(-LN(2)/25)*EB112+(1-EXP(-LN(2)/25))/(LN(2)/25)*Calculateur!DW113*Calculateur!DY113*VLOOKUP('Données projet'!$B$14,Paramètres!$A$1:$I$89,3,0)*0.475*44/12</f>
        <v>26.905365290109202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51.854710427424394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</v>
      </c>
      <c r="N114" s="13">
        <f>IF('Données projet'!$A$36&gt;35,N113+M114-V113,IF(A114&lt;'Données projet'!$A$36,$K$205^A114,IF(A114='Données projet'!$A$36,'Données projet'!$B$36,N113+M114-V113)))</f>
        <v>472.99999999999994</v>
      </c>
      <c r="O114" s="13">
        <f>N114*VLOOKUP('Données projet'!$B$9,Paramètres!$A$1:$I$89,3,0)*VLOOKUP('Données projet'!$B$9,Paramètres!$A$1:$I$89,5,0)</f>
        <v>405.834</v>
      </c>
      <c r="P114" s="13">
        <f t="shared" si="87"/>
        <v>92.958420619932326</v>
      </c>
      <c r="Q114" s="20">
        <f t="shared" si="107"/>
        <v>868.73013257971536</v>
      </c>
      <c r="R114" s="59">
        <f t="shared" si="55"/>
        <v>1162.0634659130487</v>
      </c>
      <c r="S114" s="59">
        <f ca="1">AVERAGE(OFFSET($R$3,0,0,'Données projet'!$E$9+1,1))-AVERAGE(OFFSET($H$3,0,0,'Données projet'!$E$9+1,1))</f>
        <v>536.21423347711345</v>
      </c>
      <c r="T114" s="59">
        <f t="shared" si="88"/>
        <v>312.14361830038712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30.740073689516461</v>
      </c>
      <c r="AA114" s="21">
        <f>EXP(-LN(2)/25)*AA113+(1-EXP(-LN(2)/25))/(LN(2)/25)*Calculateur!V114*Calculateur!X114*VLOOKUP('Données projet'!$B$9,Paramètres!$A$1:$I$89,3,0)*0.475*44/12</f>
        <v>34.368508289866789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65.108581979383246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</v>
      </c>
      <c r="AI114" s="13">
        <f>IF('Données projet'!$A$62&gt;35,AI113+AH114-AQ113,IF(A114&lt;'Données projet'!$A$62,$AF$205^A114,IF(A114='Données projet'!$A$62,'Données projet'!$B$62,AI113+AH114-AQ113)))</f>
        <v>356.99999999999943</v>
      </c>
      <c r="AJ114" s="13">
        <f>AI114*VLOOKUP('Données projet'!$B$10,Paramètres!$A$1:$I$89,3,0)*VLOOKUP('Données projet'!$B$10,Paramètres!$A$1:$I$89,5,0)</f>
        <v>323.01359999999949</v>
      </c>
      <c r="AK114" s="13">
        <f t="shared" si="89"/>
        <v>75.980049270566028</v>
      </c>
      <c r="AL114" s="20">
        <f t="shared" si="58"/>
        <v>694.91393914623495</v>
      </c>
      <c r="AM114" s="59">
        <f t="shared" si="59"/>
        <v>988.24727247956821</v>
      </c>
      <c r="AN114" s="59">
        <f ca="1">AVERAGE(OFFSET($AM$3,0,0,'Données projet'!$E$10+1,1))-AVERAGE(OFFSET($H$3,0,0,'Données projet'!$E$10+1,1))</f>
        <v>528.15559695545812</v>
      </c>
      <c r="AO114" s="59">
        <f t="shared" si="90"/>
        <v>276.26988364830532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21.82593868327201</v>
      </c>
      <c r="AV114" s="21">
        <f>EXP(-LN(2)/25)*AV113+(1-EXP(-LN(2)/25))/(LN(2)/25)*Calculateur!AQ114*Calculateur!AS114*VLOOKUP('Données projet'!$B$10,Paramètres!$A$1:$I$89,3,0)*0.475*44/12</f>
        <v>23.351368097828473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45.177306781100484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</v>
      </c>
      <c r="BD114" s="12">
        <f>IF('Données projet'!$A$88&gt;35,BD113+BC114-BL113,IF(A114&lt;'Données projet'!$A$88,$BA$205^A114,IF(A114='Données projet'!$A$88,'Données projet'!$B$88,BD113+BC114-BL113)))</f>
        <v>472.99999999999994</v>
      </c>
      <c r="BE114" s="13">
        <f>BD114*VLOOKUP('Données projet'!$B$11,Paramètres!$A$1:$I$89,3,0)*VLOOKUP('Données projet'!$B$11,Paramètres!$A$1:$I$89,5,0)</f>
        <v>346.80359999999996</v>
      </c>
      <c r="BF114" s="13">
        <f t="shared" si="91"/>
        <v>80.903988258415168</v>
      </c>
      <c r="BG114" s="20">
        <f t="shared" si="61"/>
        <v>744.92404955007294</v>
      </c>
      <c r="BH114" s="59">
        <f t="shared" si="62"/>
        <v>1038.2573828834063</v>
      </c>
      <c r="BI114" s="59">
        <f ca="1">AVERAGE(OFFSET($BH$3,0,0,'Données projet'!$E$11+1,1))-AVERAGE(OFFSET($H$3,0,0,'Données projet'!$E$11+1,1))</f>
        <v>464.3681853739115</v>
      </c>
      <c r="BJ114" s="59">
        <f t="shared" si="92"/>
        <v>272.97841038165217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21.312414726076408</v>
      </c>
      <c r="BQ114" s="21">
        <f>EXP(-LN(2)/25)*BQ113+(1-EXP(-LN(2)/25))/(LN(2)/25)*Calculateur!BL114*Calculateur!BN114*VLOOKUP('Données projet'!$B$11,Paramètres!$A$1:$I$89,3,0)*0.475*44/12</f>
        <v>23.828046399252418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45.140461125328827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4.4337866711430253E-14</v>
      </c>
      <c r="CA114" s="13">
        <f t="shared" si="93"/>
        <v>7.3222115536967035E-13</v>
      </c>
      <c r="CB114" s="20">
        <f t="shared" si="64"/>
        <v>1.3525069634579169E-12</v>
      </c>
      <c r="CC114" s="59">
        <f t="shared" si="65"/>
        <v>293.33333333333468</v>
      </c>
      <c r="CD114" s="59">
        <f ca="1">AVERAGE(OFFSET($CC$3,0,0,'Données projet'!$E$12+1,1))-AVERAGE(OFFSET($H$3,0,0,'Données projet'!$E$12+1,1))</f>
        <v>288.82868507674738</v>
      </c>
      <c r="CE114" s="59">
        <f t="shared" si="94"/>
        <v>283.48738729114024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28.925116281933896</v>
      </c>
      <c r="CL114" s="21">
        <f>EXP(-LN(2)/25)*CL113+(1-EXP(-LN(2)/25))/(LN(2)/25)*Calculateur!CG114*Calculateur!CI114*VLOOKUP('Données projet'!$B$12,Paramètres!$A$1:$I$89,3,0)*0.475*44/12</f>
        <v>2.9687975660902226</v>
      </c>
      <c r="CM114" s="21">
        <f>EXP(-LN(2)/2)*CM113+(1-EXP(-LN(2)/2))/(LN(2)/2)*CG114*CJ114*VLOOKUP('Données projet'!$B$12,Paramètres!$A$1:$I$89,3,0)*0.475*44/12</f>
        <v>3.4765069102332055E-5</v>
      </c>
      <c r="CN114" s="22">
        <f t="shared" si="66"/>
        <v>31.893948613093222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-2.8421709430404007E-13</v>
      </c>
      <c r="CU114" s="17">
        <f>CT114*VLOOKUP('Données projet'!$B$13,Paramètres!$A$1:$I$89,3,0)*VLOOKUP('Données projet'!$B$13,Paramètres!$A$1:$I$89,5,0)</f>
        <v>-1.8621904018800707E-13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340.49092994349405</v>
      </c>
      <c r="CZ114" s="59">
        <f t="shared" si="96"/>
        <v>331.54434271908832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53.890848267744779</v>
      </c>
      <c r="DG114" s="21">
        <f>EXP(-LN(2)/25)*DG113+(1-EXP(-LN(2)/25))/(LN(2)/25)*Calculateur!DB114*Calculateur!DD114*VLOOKUP('Données projet'!$B$13,Paramètres!$A$1:$I$89,3,0)*0.475*44/12</f>
        <v>1.427259997399823</v>
      </c>
      <c r="DH114" s="21">
        <f>EXP(-LN(2)/2)*DH113+(1-EXP(-LN(2)/2))/(LN(2)/2)*DB114*DE114*VLOOKUP('Données projet'!$B$13,Paramètres!$A$1:$I$89,3,0)*0.475*44/12</f>
        <v>1.0246708137454468E-3</v>
      </c>
      <c r="DI114" s="22">
        <f t="shared" si="69"/>
        <v>55.319132935958351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</v>
      </c>
      <c r="DO114" s="12">
        <f>IF('Données projet'!$A$166&gt;35,DO113+DN114-DW113,IF(A114&lt;'Données projet'!$A$166,$DL$205^A114,IF(A114='Données projet'!$A$166,'Données projet'!$B$166,DO113+DN114-DW113)))</f>
        <v>356.99999999999943</v>
      </c>
      <c r="DP114" s="17">
        <f>DO114*VLOOKUP('Données projet'!$B$14,Paramètres!$A$1:$I$89,3,0)*VLOOKUP('Données projet'!$B$14,Paramètres!$A$1:$I$89,5,0)</f>
        <v>361.99799999999948</v>
      </c>
      <c r="DQ114" s="13">
        <f t="shared" si="97"/>
        <v>84.028156893394268</v>
      </c>
      <c r="DR114" s="20">
        <f t="shared" si="70"/>
        <v>776.82888992266089</v>
      </c>
      <c r="DS114" s="59">
        <f t="shared" si="71"/>
        <v>1070.1622232559941</v>
      </c>
      <c r="DT114" s="59">
        <f ca="1">AVERAGE(OFFSET($DS$3,0,0,'Données projet'!$E$14+1,1))-AVERAGE(OFFSET($H$3,0,0,'Données projet'!$E$14+1,1))</f>
        <v>586.50020405958992</v>
      </c>
      <c r="DU114" s="59">
        <f t="shared" si="98"/>
        <v>304.44184537595294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24.460103696770357</v>
      </c>
      <c r="EB114" s="21">
        <f>EXP(-LN(2)/25)*EB113+(1-EXP(-LN(2)/25))/(LN(2)/25)*Calculateur!DW114*Calculateur!DY114*VLOOKUP('Données projet'!$B$14,Paramètres!$A$1:$I$89,3,0)*0.475*44/12</f>
        <v>26.169636661359498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50.629740358129851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</v>
      </c>
      <c r="N115" s="13">
        <f>IF('Données projet'!$A$36&gt;35,N114+M115-V114,IF(A115&lt;'Données projet'!$A$36,$K$205^A115,IF(A115='Données projet'!$A$36,'Données projet'!$B$36,N114+M115-V114)))</f>
        <v>479.99999999999994</v>
      </c>
      <c r="O115" s="13">
        <f>N115*VLOOKUP('Données projet'!$B$9,Paramètres!$A$1:$I$89,3,0)*VLOOKUP('Données projet'!$B$9,Paramètres!$A$1:$I$89,5,0)</f>
        <v>411.84000000000003</v>
      </c>
      <c r="P115" s="13">
        <f t="shared" si="87"/>
        <v>94.172953187816049</v>
      </c>
      <c r="Q115" s="20">
        <f t="shared" si="107"/>
        <v>881.30589346877969</v>
      </c>
      <c r="R115" s="59">
        <f t="shared" si="55"/>
        <v>1174.6392268021129</v>
      </c>
      <c r="S115" s="59">
        <f ca="1">AVERAGE(OFFSET($R$3,0,0,'Données projet'!$E$9+1,1))-AVERAGE(OFFSET($H$3,0,0,'Données projet'!$E$9+1,1))</f>
        <v>536.21423347711345</v>
      </c>
      <c r="T115" s="59">
        <f t="shared" si="88"/>
        <v>312.14361830038712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30.137279594058626</v>
      </c>
      <c r="AA115" s="21">
        <f>EXP(-LN(2)/25)*AA114+(1-EXP(-LN(2)/25))/(LN(2)/25)*Calculateur!V115*Calculateur!X115*VLOOKUP('Données projet'!$B$9,Paramètres!$A$1:$I$89,3,0)*0.475*44/12</f>
        <v>33.428699623319083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63.565979217377709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</v>
      </c>
      <c r="AI115" s="13">
        <f>IF('Données projet'!$A$62&gt;35,AI114+AH115-AQ114,IF(A115&lt;'Données projet'!$A$62,$AF$205^A115,IF(A115='Données projet'!$A$62,'Données projet'!$B$62,AI114+AH115-AQ114)))</f>
        <v>363.99999999999943</v>
      </c>
      <c r="AJ115" s="13">
        <f>AI115*VLOOKUP('Données projet'!$B$10,Paramètres!$A$1:$I$89,3,0)*VLOOKUP('Données projet'!$B$10,Paramètres!$A$1:$I$89,5,0)</f>
        <v>329.34719999999948</v>
      </c>
      <c r="AK115" s="13">
        <f t="shared" si="89"/>
        <v>77.294949483241425</v>
      </c>
      <c r="AL115" s="20">
        <f t="shared" si="58"/>
        <v>708.2350770166446</v>
      </c>
      <c r="AM115" s="59">
        <f t="shared" si="59"/>
        <v>1001.568410349978</v>
      </c>
      <c r="AN115" s="59">
        <f ca="1">AVERAGE(OFFSET($AM$3,0,0,'Données projet'!$E$10+1,1))-AVERAGE(OFFSET($H$3,0,0,'Données projet'!$E$10+1,1))</f>
        <v>528.15559695545812</v>
      </c>
      <c r="AO115" s="59">
        <f t="shared" si="90"/>
        <v>276.26988364830532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21.397945338201144</v>
      </c>
      <c r="AV115" s="21">
        <f>EXP(-LN(2)/25)*AV114+(1-EXP(-LN(2)/25))/(LN(2)/25)*Calculateur!AQ115*Calculateur!AS115*VLOOKUP('Données projet'!$B$10,Paramètres!$A$1:$I$89,3,0)*0.475*44/12</f>
        <v>22.712823709198275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44.110769047399415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</v>
      </c>
      <c r="BD115" s="12">
        <f>IF('Données projet'!$A$88&gt;35,BD114+BC115-BL114,IF(A115&lt;'Données projet'!$A$88,$BA$205^A115,IF(A115='Données projet'!$A$88,'Données projet'!$B$88,BD114+BC115-BL114)))</f>
        <v>479.99999999999994</v>
      </c>
      <c r="BE115" s="13">
        <f>BD115*VLOOKUP('Données projet'!$B$11,Paramètres!$A$1:$I$89,3,0)*VLOOKUP('Données projet'!$B$11,Paramètres!$A$1:$I$89,5,0)</f>
        <v>351.93599999999998</v>
      </c>
      <c r="BF115" s="13">
        <f t="shared" si="91"/>
        <v>81.961025673167143</v>
      </c>
      <c r="BG115" s="20">
        <f t="shared" si="61"/>
        <v>755.7039863807662</v>
      </c>
      <c r="BH115" s="59">
        <f t="shared" si="62"/>
        <v>1049.0373197140996</v>
      </c>
      <c r="BI115" s="59">
        <f ca="1">AVERAGE(OFFSET($BH$3,0,0,'Données projet'!$E$11+1,1))-AVERAGE(OFFSET($H$3,0,0,'Données projet'!$E$11+1,1))</f>
        <v>464.3681853739115</v>
      </c>
      <c r="BJ115" s="59">
        <f t="shared" si="92"/>
        <v>272.97841038165217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20.894491272587459</v>
      </c>
      <c r="BQ115" s="21">
        <f>EXP(-LN(2)/25)*BQ114+(1-EXP(-LN(2)/25))/(LN(2)/25)*Calculateur!BL115*Calculateur!BN115*VLOOKUP('Données projet'!$B$11,Paramètres!$A$1:$I$89,3,0)*0.475*44/12</f>
        <v>23.176467217402362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44.07095848998982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4.4337866711430253E-14</v>
      </c>
      <c r="CA115" s="13">
        <f t="shared" si="93"/>
        <v>7.3222115536967035E-13</v>
      </c>
      <c r="CB115" s="20">
        <f t="shared" si="64"/>
        <v>1.3525069634579169E-12</v>
      </c>
      <c r="CC115" s="59">
        <f t="shared" si="65"/>
        <v>293.33333333333468</v>
      </c>
      <c r="CD115" s="59">
        <f ca="1">AVERAGE(OFFSET($CC$3,0,0,'Données projet'!$E$12+1,1))-AVERAGE(OFFSET($H$3,0,0,'Données projet'!$E$12+1,1))</f>
        <v>288.82868507674738</v>
      </c>
      <c r="CE115" s="59">
        <f t="shared" si="94"/>
        <v>283.48738729114024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28.357912394224044</v>
      </c>
      <c r="CL115" s="21">
        <f>EXP(-LN(2)/25)*CL114+(1-EXP(-LN(2)/25))/(LN(2)/25)*Calculateur!CG115*Calculateur!CI115*VLOOKUP('Données projet'!$B$12,Paramètres!$A$1:$I$89,3,0)*0.475*44/12</f>
        <v>2.8876156405232067</v>
      </c>
      <c r="CM115" s="21">
        <f>EXP(-LN(2)/2)*CM114+(1-EXP(-LN(2)/2))/(LN(2)/2)*CG115*CJ115*VLOOKUP('Données projet'!$B$12,Paramètres!$A$1:$I$89,3,0)*0.475*44/12</f>
        <v>2.4582616110677917E-5</v>
      </c>
      <c r="CN115" s="22">
        <f t="shared" si="66"/>
        <v>31.245552617363362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-2.8421709430404007E-13</v>
      </c>
      <c r="CU115" s="17">
        <f>CT115*VLOOKUP('Données projet'!$B$13,Paramètres!$A$1:$I$89,3,0)*VLOOKUP('Données projet'!$B$13,Paramètres!$A$1:$I$89,5,0)</f>
        <v>-1.8621904018800707E-13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340.49092994349405</v>
      </c>
      <c r="CZ115" s="59">
        <f t="shared" si="96"/>
        <v>331.54434271908832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52.834081603386089</v>
      </c>
      <c r="DG115" s="21">
        <f>EXP(-LN(2)/25)*DG114+(1-EXP(-LN(2)/25))/(LN(2)/25)*Calculateur!DB115*Calculateur!DD115*VLOOKUP('Données projet'!$B$13,Paramètres!$A$1:$I$89,3,0)*0.475*44/12</f>
        <v>1.3882314977145835</v>
      </c>
      <c r="DH115" s="21">
        <f>EXP(-LN(2)/2)*DH114+(1-EXP(-LN(2)/2))/(LN(2)/2)*DB115*DE115*VLOOKUP('Données projet'!$B$13,Paramètres!$A$1:$I$89,3,0)*0.475*44/12</f>
        <v>7.2455168088334323E-4</v>
      </c>
      <c r="DI115" s="22">
        <f t="shared" si="69"/>
        <v>54.223037652781557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</v>
      </c>
      <c r="DO115" s="12">
        <f>IF('Données projet'!$A$166&gt;35,DO114+DN115-DW114,IF(A115&lt;'Données projet'!$A$166,$DL$205^A115,IF(A115='Données projet'!$A$166,'Données projet'!$B$166,DO114+DN115-DW114)))</f>
        <v>363.99999999999943</v>
      </c>
      <c r="DP115" s="17">
        <f>DO115*VLOOKUP('Données projet'!$B$14,Paramètres!$A$1:$I$89,3,0)*VLOOKUP('Données projet'!$B$14,Paramètres!$A$1:$I$89,5,0)</f>
        <v>369.09599999999944</v>
      </c>
      <c r="DQ115" s="13">
        <f t="shared" si="97"/>
        <v>85.482336542270247</v>
      </c>
      <c r="DR115" s="20">
        <f t="shared" si="70"/>
        <v>791.72393614445298</v>
      </c>
      <c r="DS115" s="59">
        <f t="shared" si="71"/>
        <v>1085.0572694777863</v>
      </c>
      <c r="DT115" s="59">
        <f ca="1">AVERAGE(OFFSET($DS$3,0,0,'Données projet'!$E$14+1,1))-AVERAGE(OFFSET($H$3,0,0,'Données projet'!$E$14+1,1))</f>
        <v>586.50020405958992</v>
      </c>
      <c r="DU115" s="59">
        <f t="shared" si="98"/>
        <v>304.44184537595294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23.980455982466797</v>
      </c>
      <c r="EB115" s="21">
        <f>EXP(-LN(2)/25)*EB114+(1-EXP(-LN(2)/25))/(LN(2)/25)*Calculateur!DW115*Calculateur!DY115*VLOOKUP('Données projet'!$B$14,Paramètres!$A$1:$I$89,3,0)*0.475*44/12</f>
        <v>25.454026570653241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49.434482553120034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</v>
      </c>
      <c r="N116" s="13">
        <f>IF('Données projet'!$A$36&gt;35,N115+M116-V115,IF(A116&lt;'Données projet'!$A$36,$K$205^A116,IF(A116='Données projet'!$A$36,'Données projet'!$B$36,N115+M116-V115)))</f>
        <v>486.99999999999994</v>
      </c>
      <c r="O116" s="13">
        <f>N116*VLOOKUP('Données projet'!$B$9,Paramètres!$A$1:$I$89,3,0)*VLOOKUP('Données projet'!$B$9,Paramètres!$A$1:$I$89,5,0)</f>
        <v>417.84599999999995</v>
      </c>
      <c r="P116" s="13">
        <f t="shared" si="87"/>
        <v>95.385425758311655</v>
      </c>
      <c r="Q116" s="20">
        <f t="shared" si="107"/>
        <v>893.87806652905931</v>
      </c>
      <c r="R116" s="59">
        <f t="shared" si="55"/>
        <v>1187.2113998623927</v>
      </c>
      <c r="S116" s="59">
        <f ca="1">AVERAGE(OFFSET($R$3,0,0,'Données projet'!$E$9+1,1))-AVERAGE(OFFSET($H$3,0,0,'Données projet'!$E$9+1,1))</f>
        <v>536.21423347711345</v>
      </c>
      <c r="T116" s="59">
        <f t="shared" si="88"/>
        <v>312.14361830038712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29.546305923144622</v>
      </c>
      <c r="AA116" s="21">
        <f>EXP(-LN(2)/25)*AA115+(1-EXP(-LN(2)/25))/(LN(2)/25)*Calculateur!V116*Calculateur!X116*VLOOKUP('Données projet'!$B$9,Paramètres!$A$1:$I$89,3,0)*0.475*44/12</f>
        <v>32.514590074180511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62.060895997325133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</v>
      </c>
      <c r="AI116" s="13">
        <f>IF('Données projet'!$A$62&gt;35,AI115+AH116-AQ115,IF(A116&lt;'Données projet'!$A$62,$AF$205^A116,IF(A116='Données projet'!$A$62,'Données projet'!$B$62,AI115+AH116-AQ115)))</f>
        <v>370.99999999999943</v>
      </c>
      <c r="AJ116" s="13">
        <f>AI116*VLOOKUP('Données projet'!$B$10,Paramètres!$A$1:$I$89,3,0)*VLOOKUP('Données projet'!$B$10,Paramètres!$A$1:$I$89,5,0)</f>
        <v>335.68079999999946</v>
      </c>
      <c r="AK116" s="13">
        <f t="shared" si="89"/>
        <v>78.606909442620307</v>
      </c>
      <c r="AL116" s="20">
        <f t="shared" si="58"/>
        <v>721.55109394589601</v>
      </c>
      <c r="AM116" s="59">
        <f t="shared" si="59"/>
        <v>1014.8844272792294</v>
      </c>
      <c r="AN116" s="59">
        <f ca="1">AVERAGE(OFFSET($AM$3,0,0,'Données projet'!$E$10+1,1))-AVERAGE(OFFSET($H$3,0,0,'Données projet'!$E$10+1,1))</f>
        <v>528.15559695545812</v>
      </c>
      <c r="AO116" s="59">
        <f t="shared" si="90"/>
        <v>276.26988364830532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20.978344681576949</v>
      </c>
      <c r="AV116" s="21">
        <f>EXP(-LN(2)/25)*AV115+(1-EXP(-LN(2)/25))/(LN(2)/25)*Calculateur!AQ116*Calculateur!AS116*VLOOKUP('Données projet'!$B$10,Paramètres!$A$1:$I$89,3,0)*0.475*44/12</f>
        <v>22.09174035045476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43.070085032031713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</v>
      </c>
      <c r="BD116" s="12">
        <f>IF('Données projet'!$A$88&gt;35,BD115+BC116-BL115,IF(A116&lt;'Données projet'!$A$88,$BA$205^A116,IF(A116='Données projet'!$A$88,'Données projet'!$B$88,BD115+BC116-BL115)))</f>
        <v>486.99999999999994</v>
      </c>
      <c r="BE116" s="13">
        <f>BD116*VLOOKUP('Données projet'!$B$11,Paramètres!$A$1:$I$89,3,0)*VLOOKUP('Données projet'!$B$11,Paramètres!$A$1:$I$89,5,0)</f>
        <v>357.06839999999994</v>
      </c>
      <c r="BF116" s="13">
        <f t="shared" si="91"/>
        <v>83.016270221782037</v>
      </c>
      <c r="BG116" s="20">
        <f t="shared" si="61"/>
        <v>766.48080063627015</v>
      </c>
      <c r="BH116" s="59">
        <f t="shared" si="62"/>
        <v>1059.8141339696035</v>
      </c>
      <c r="BI116" s="59">
        <f ca="1">AVERAGE(OFFSET($BH$3,0,0,'Données projet'!$E$11+1,1))-AVERAGE(OFFSET($H$3,0,0,'Données projet'!$E$11+1,1))</f>
        <v>464.3681853739115</v>
      </c>
      <c r="BJ116" s="59">
        <f t="shared" si="92"/>
        <v>272.97841038165217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20.484763043113293</v>
      </c>
      <c r="BQ116" s="21">
        <f>EXP(-LN(2)/25)*BQ115+(1-EXP(-LN(2)/25))/(LN(2)/25)*Calculateur!BL116*Calculateur!BN116*VLOOKUP('Données projet'!$B$11,Paramètres!$A$1:$I$89,3,0)*0.475*44/12</f>
        <v>22.542705502545054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43.027468545658351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4.4337866711430253E-14</v>
      </c>
      <c r="CA116" s="13">
        <f t="shared" si="93"/>
        <v>7.3222115536967035E-13</v>
      </c>
      <c r="CB116" s="20">
        <f t="shared" si="64"/>
        <v>1.3525069634579169E-12</v>
      </c>
      <c r="CC116" s="59">
        <f t="shared" si="65"/>
        <v>293.33333333333468</v>
      </c>
      <c r="CD116" s="59">
        <f ca="1">AVERAGE(OFFSET($CC$3,0,0,'Données projet'!$E$12+1,1))-AVERAGE(OFFSET($H$3,0,0,'Données projet'!$E$12+1,1))</f>
        <v>288.82868507674738</v>
      </c>
      <c r="CE116" s="59">
        <f t="shared" si="94"/>
        <v>283.48738729114024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27.801831028791973</v>
      </c>
      <c r="CL116" s="21">
        <f>EXP(-LN(2)/25)*CL115+(1-EXP(-LN(2)/25))/(LN(2)/25)*Calculateur!CG116*Calculateur!CI116*VLOOKUP('Données projet'!$B$12,Paramètres!$A$1:$I$89,3,0)*0.475*44/12</f>
        <v>2.808653638979993</v>
      </c>
      <c r="CM116" s="21">
        <f>EXP(-LN(2)/2)*CM115+(1-EXP(-LN(2)/2))/(LN(2)/2)*CG116*CJ116*VLOOKUP('Données projet'!$B$12,Paramètres!$A$1:$I$89,3,0)*0.475*44/12</f>
        <v>1.7382534551166027E-5</v>
      </c>
      <c r="CN116" s="22">
        <f t="shared" si="66"/>
        <v>30.610502050306518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-2.8421709430404007E-13</v>
      </c>
      <c r="CU116" s="17">
        <f>CT116*VLOOKUP('Données projet'!$B$13,Paramètres!$A$1:$I$89,3,0)*VLOOKUP('Données projet'!$B$13,Paramètres!$A$1:$I$89,5,0)</f>
        <v>-1.8621904018800707E-13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340.49092994349405</v>
      </c>
      <c r="CZ116" s="59">
        <f t="shared" si="96"/>
        <v>331.54434271908832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51.798037488751454</v>
      </c>
      <c r="DG116" s="21">
        <f>EXP(-LN(2)/25)*DG115+(1-EXP(-LN(2)/25))/(LN(2)/25)*Calculateur!DB116*Calculateur!DD116*VLOOKUP('Données projet'!$B$13,Paramètres!$A$1:$I$89,3,0)*0.475*44/12</f>
        <v>1.3502702344056567</v>
      </c>
      <c r="DH116" s="21">
        <f>EXP(-LN(2)/2)*DH115+(1-EXP(-LN(2)/2))/(LN(2)/2)*DB116*DE116*VLOOKUP('Données projet'!$B$13,Paramètres!$A$1:$I$89,3,0)*0.475*44/12</f>
        <v>5.1233540687272339E-4</v>
      </c>
      <c r="DI116" s="22">
        <f t="shared" si="69"/>
        <v>53.148820058563985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</v>
      </c>
      <c r="DO116" s="12">
        <f>IF('Données projet'!$A$166&gt;35,DO115+DN116-DW115,IF(A116&lt;'Données projet'!$A$166,$DL$205^A116,IF(A116='Données projet'!$A$166,'Données projet'!$B$166,DO115+DN116-DW115)))</f>
        <v>370.99999999999943</v>
      </c>
      <c r="DP116" s="17">
        <f>DO116*VLOOKUP('Données projet'!$B$14,Paramètres!$A$1:$I$89,3,0)*VLOOKUP('Données projet'!$B$14,Paramètres!$A$1:$I$89,5,0)</f>
        <v>376.19399999999945</v>
      </c>
      <c r="DQ116" s="13">
        <f t="shared" si="97"/>
        <v>86.93326449458003</v>
      </c>
      <c r="DR116" s="20">
        <f t="shared" si="70"/>
        <v>806.61331899472589</v>
      </c>
      <c r="DS116" s="59">
        <f t="shared" si="71"/>
        <v>1099.9466523280591</v>
      </c>
      <c r="DT116" s="59">
        <f ca="1">AVERAGE(OFFSET($DS$3,0,0,'Données projet'!$E$14+1,1))-AVERAGE(OFFSET($H$3,0,0,'Données projet'!$E$14+1,1))</f>
        <v>586.50020405958992</v>
      </c>
      <c r="DU116" s="59">
        <f t="shared" si="98"/>
        <v>304.44184537595294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23.510213867284513</v>
      </c>
      <c r="EB116" s="21">
        <f>EXP(-LN(2)/25)*EB115+(1-EXP(-LN(2)/25))/(LN(2)/25)*Calculateur!DW116*Calculateur!DY116*VLOOKUP('Données projet'!$B$14,Paramètres!$A$1:$I$89,3,0)*0.475*44/12</f>
        <v>24.757984875509646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48.268198742794155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</v>
      </c>
      <c r="N117" s="13">
        <f>IF('Données projet'!$A$36&gt;35,N116+M117-V116,IF(A117&lt;'Données projet'!$A$36,$K$205^A117,IF(A117='Données projet'!$A$36,'Données projet'!$B$36,N116+M117-V116)))</f>
        <v>493.99999999999994</v>
      </c>
      <c r="O117" s="13">
        <f>N117*VLOOKUP('Données projet'!$B$9,Paramètres!$A$1:$I$89,3,0)*VLOOKUP('Données projet'!$B$9,Paramètres!$A$1:$I$89,5,0)</f>
        <v>423.85199999999998</v>
      </c>
      <c r="P117" s="13">
        <f t="shared" si="87"/>
        <v>96.595871362472579</v>
      </c>
      <c r="Q117" s="20">
        <f t="shared" si="107"/>
        <v>906.44670928963967</v>
      </c>
      <c r="R117" s="59">
        <f t="shared" si="55"/>
        <v>1199.780042622973</v>
      </c>
      <c r="S117" s="59">
        <f ca="1">AVERAGE(OFFSET($R$3,0,0,'Données projet'!$E$9+1,1))-AVERAGE(OFFSET($H$3,0,0,'Données projet'!$E$9+1,1))</f>
        <v>536.21423347711345</v>
      </c>
      <c r="T117" s="59">
        <f t="shared" si="88"/>
        <v>312.14361830038712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28.966920885458897</v>
      </c>
      <c r="AA117" s="21">
        <f>EXP(-LN(2)/25)*AA116+(1-EXP(-LN(2)/25))/(LN(2)/25)*Calculateur!V117*Calculateur!X117*VLOOKUP('Données projet'!$B$9,Paramètres!$A$1:$I$89,3,0)*0.475*44/12</f>
        <v>31.625476898734068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60.592397784192968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378</v>
      </c>
      <c r="AG117" s="12">
        <f>VLOOKUP(A117,'Données projet'!$A$61:$I$81,9,0)</f>
        <v>7</v>
      </c>
      <c r="AH117" s="12">
        <f t="array" ref="AH117">INDEX(AG:AG,MIN(IF(ISNUMBER(AG117:AG313),ROW(AG117:AG313),"")))</f>
        <v>7</v>
      </c>
      <c r="AI117" s="13">
        <f>IF('Données projet'!$A$62&gt;35,AI116+AH117-AQ116,IF(A117&lt;'Données projet'!$A$62,$AF$205^A117,IF(A117='Données projet'!$A$62,'Données projet'!$B$62,AI116+AH117-AQ116)))</f>
        <v>377.99999999999943</v>
      </c>
      <c r="AJ117" s="13">
        <f>AI117*VLOOKUP('Données projet'!$B$10,Paramètres!$A$1:$I$89,3,0)*VLOOKUP('Données projet'!$B$10,Paramètres!$A$1:$I$89,5,0)</f>
        <v>342.01439999999951</v>
      </c>
      <c r="AK117" s="13">
        <f t="shared" si="89"/>
        <v>79.915991022086487</v>
      </c>
      <c r="AL117" s="20">
        <f t="shared" si="58"/>
        <v>734.86209769679965</v>
      </c>
      <c r="AM117" s="59">
        <f t="shared" si="59"/>
        <v>1028.195431030133</v>
      </c>
      <c r="AN117" s="59">
        <f ca="1">AVERAGE(OFFSET($AM$3,0,0,'Données projet'!$E$10+1,1))-AVERAGE(OFFSET($H$3,0,0,'Données projet'!$E$10+1,1))</f>
        <v>528.15559695545812</v>
      </c>
      <c r="AO117" s="59">
        <f t="shared" si="90"/>
        <v>276.26988364830532</v>
      </c>
      <c r="AP117" s="15">
        <f>IF(ISNA(VLOOKUP(A117,'Données projet'!$A$61:$I$81,3,0)),0,VLOOKUP(A117,'Données projet'!$A$61:$I$81,3,0))</f>
        <v>10</v>
      </c>
      <c r="AQ117" s="15">
        <f>IF(ISNA(VLOOKUP(A117,'Données projet'!$A$61:$I$81,4,0)),0,VLOOKUP(A117,'Données projet'!$A$61:$I$81,4,0))</f>
        <v>43</v>
      </c>
      <c r="AR117" s="16">
        <f>IF(ISNA(VLOOKUP(A117,'Données projet'!$A$61:$I$81,5,0)),0%,VLOOKUP(A117,'Données projet'!$A$61:$I$81,5,0)*VLOOKUP('Données projet'!$B$10,Paramètres!$A$1:$I$89,7,0))</f>
        <v>0.30099999999999999</v>
      </c>
      <c r="AS117" s="16">
        <f>IF(ISNA(VLOOKUP(A117,'Données projet'!$A$61:$I$81,6,0)),0%,VLOOKUP(A117,'Données projet'!$A$61:$I$81,6,0)*VLOOKUP('Données projet'!$B$10,Paramètres!$A$1:$I$89,7,0))</f>
        <v>4.3000000000000003E-2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33.51294384295052</v>
      </c>
      <c r="AV117" s="21">
        <f>EXP(-LN(2)/25)*AV116+(1-EXP(-LN(2)/25))/(LN(2)/25)*Calculateur!AQ117*Calculateur!AS117*VLOOKUP('Données projet'!$B$10,Paramètres!$A$1:$I$89,3,0)*0.475*44/12</f>
        <v>23.329783189052836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56.842727032003353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</v>
      </c>
      <c r="BD117" s="12">
        <f>IF('Données projet'!$A$88&gt;35,BD116+BC117-BL116,IF(A117&lt;'Données projet'!$A$88,$BA$205^A117,IF(A117='Données projet'!$A$88,'Données projet'!$B$88,BD116+BC117-BL116)))</f>
        <v>493.99999999999994</v>
      </c>
      <c r="BE117" s="13">
        <f>BD117*VLOOKUP('Données projet'!$B$11,Paramètres!$A$1:$I$89,3,0)*VLOOKUP('Données projet'!$B$11,Paramètres!$A$1:$I$89,5,0)</f>
        <v>362.20079999999996</v>
      </c>
      <c r="BF117" s="13">
        <f t="shared" si="91"/>
        <v>84.069750651993814</v>
      </c>
      <c r="BG117" s="20">
        <f t="shared" si="61"/>
        <v>777.25454238555574</v>
      </c>
      <c r="BH117" s="59">
        <f t="shared" si="62"/>
        <v>1070.5878757188891</v>
      </c>
      <c r="BI117" s="59">
        <f ca="1">AVERAGE(OFFSET($BH$3,0,0,'Données projet'!$E$11+1,1))-AVERAGE(OFFSET($H$3,0,0,'Données projet'!$E$11+1,1))</f>
        <v>464.3681853739115</v>
      </c>
      <c r="BJ117" s="59">
        <f t="shared" si="92"/>
        <v>272.97841038165217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20.08306933430957</v>
      </c>
      <c r="BQ117" s="21">
        <f>EXP(-LN(2)/25)*BQ116+(1-EXP(-LN(2)/25))/(LN(2)/25)*Calculateur!BL117*Calculateur!BN117*VLOOKUP('Données projet'!$B$11,Paramètres!$A$1:$I$89,3,0)*0.475*44/12</f>
        <v>21.926274035108598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42.009343369418168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4.4337866711430253E-14</v>
      </c>
      <c r="CA117" s="13">
        <f t="shared" si="93"/>
        <v>7.3222115536967035E-13</v>
      </c>
      <c r="CB117" s="20">
        <f t="shared" si="64"/>
        <v>1.3525069634579169E-12</v>
      </c>
      <c r="CC117" s="59">
        <f t="shared" si="65"/>
        <v>293.33333333333468</v>
      </c>
      <c r="CD117" s="59">
        <f ca="1">AVERAGE(OFFSET($CC$3,0,0,'Données projet'!$E$12+1,1))-AVERAGE(OFFSET($H$3,0,0,'Données projet'!$E$12+1,1))</f>
        <v>288.82868507674738</v>
      </c>
      <c r="CE117" s="59">
        <f t="shared" si="94"/>
        <v>283.48738729114024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27.256654079759883</v>
      </c>
      <c r="CL117" s="21">
        <f>EXP(-LN(2)/25)*CL116+(1-EXP(-LN(2)/25))/(LN(2)/25)*Calculateur!CG117*Calculateur!CI117*VLOOKUP('Données projet'!$B$12,Paramètres!$A$1:$I$89,3,0)*0.475*44/12</f>
        <v>2.7318508575214095</v>
      </c>
      <c r="CM117" s="21">
        <f>EXP(-LN(2)/2)*CM116+(1-EXP(-LN(2)/2))/(LN(2)/2)*CG117*CJ117*VLOOKUP('Données projet'!$B$12,Paramètres!$A$1:$I$89,3,0)*0.475*44/12</f>
        <v>1.2291308055338959E-5</v>
      </c>
      <c r="CN117" s="22">
        <f t="shared" si="66"/>
        <v>29.988517228589348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-2.8421709430404007E-13</v>
      </c>
      <c r="CU117" s="17">
        <f>CT117*VLOOKUP('Données projet'!$B$13,Paramètres!$A$1:$I$89,3,0)*VLOOKUP('Données projet'!$B$13,Paramètres!$A$1:$I$89,5,0)</f>
        <v>-1.8621904018800707E-13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340.49092994349405</v>
      </c>
      <c r="CZ117" s="59">
        <f t="shared" si="96"/>
        <v>331.54434271908832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50.782309567280286</v>
      </c>
      <c r="DG117" s="21">
        <f>EXP(-LN(2)/25)*DG116+(1-EXP(-LN(2)/25))/(LN(2)/25)*Calculateur!DB117*Calculateur!DD117*VLOOKUP('Données projet'!$B$13,Paramètres!$A$1:$I$89,3,0)*0.475*44/12</f>
        <v>1.3133470238382086</v>
      </c>
      <c r="DH117" s="21">
        <f>EXP(-LN(2)/2)*DH116+(1-EXP(-LN(2)/2))/(LN(2)/2)*DB117*DE117*VLOOKUP('Données projet'!$B$13,Paramètres!$A$1:$I$89,3,0)*0.475*44/12</f>
        <v>3.6227584044167162E-4</v>
      </c>
      <c r="DI117" s="22">
        <f t="shared" si="69"/>
        <v>52.096018866958943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378</v>
      </c>
      <c r="DM117" s="12">
        <f>VLOOKUP(A117,'Données projet'!$A$165:$I$185,9,0)</f>
        <v>7</v>
      </c>
      <c r="DN117" s="12">
        <f t="array" ref="DN117">INDEX(DM:DM,MIN(IF(ISNUMBER(DM117:DM313),ROW(DM117:DM313),"")))</f>
        <v>7</v>
      </c>
      <c r="DO117" s="12">
        <f>IF('Données projet'!$A$166&gt;35,DO116+DN117-DW116,IF(A117&lt;'Données projet'!$A$166,$DL$205^A117,IF(A117='Données projet'!$A$166,'Données projet'!$B$166,DO116+DN117-DW116)))</f>
        <v>377.99999999999943</v>
      </c>
      <c r="DP117" s="17">
        <f>DO117*VLOOKUP('Données projet'!$B$14,Paramètres!$A$1:$I$89,3,0)*VLOOKUP('Données projet'!$B$14,Paramètres!$A$1:$I$89,5,0)</f>
        <v>383.29199999999946</v>
      </c>
      <c r="DQ117" s="13">
        <f t="shared" si="97"/>
        <v>88.381009177581234</v>
      </c>
      <c r="DR117" s="20">
        <f t="shared" si="70"/>
        <v>821.497157650953</v>
      </c>
      <c r="DS117" s="59">
        <f t="shared" si="71"/>
        <v>1114.8304909842864</v>
      </c>
      <c r="DT117" s="59">
        <f ca="1">AVERAGE(OFFSET($DS$3,0,0,'Données projet'!$E$14+1,1))-AVERAGE(OFFSET($H$3,0,0,'Données projet'!$E$14+1,1))</f>
        <v>586.50020405958992</v>
      </c>
      <c r="DU117" s="59">
        <f t="shared" si="98"/>
        <v>304.44184537595294</v>
      </c>
      <c r="DV117" s="15">
        <f>IF(ISNA(VLOOKUP(A117,'Données projet'!$A$165:$I$185,3,0)),0,VLOOKUP(A117,'Données projet'!$A$165:$I$185,3,0))</f>
        <v>10</v>
      </c>
      <c r="DW117" s="15">
        <f>IF(ISNA(VLOOKUP(A117,'Données projet'!$A$165:$I$185,4,0)),0,VLOOKUP(A117,'Données projet'!$A$165:$I$185,4,0))</f>
        <v>43</v>
      </c>
      <c r="DX117" s="16">
        <f>IF(ISNA(VLOOKUP(A117,'Données projet'!$A$165:$I$185,5,0)),0%,VLOOKUP(A117,'Données projet'!$A$165:$I$185,5,0)*VLOOKUP('Données projet'!$B$14,Paramètres!$A$1:$I$89,7,0))</f>
        <v>0.30099999999999999</v>
      </c>
      <c r="DY117" s="16">
        <f>IF(ISNA(VLOOKUP(A117,'Données projet'!$A$165:$I$185,6,0)),0%,VLOOKUP(A117,'Données projet'!$A$165:$I$185,6,0)*VLOOKUP('Données projet'!$B$14,Paramètres!$A$1:$I$89,7,0))</f>
        <v>4.3000000000000003E-2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37.557609479168683</v>
      </c>
      <c r="EB117" s="21">
        <f>EXP(-LN(2)/25)*EB116+(1-EXP(-LN(2)/25))/(LN(2)/25)*Calculateur!DW117*Calculateur!DY117*VLOOKUP('Données projet'!$B$14,Paramètres!$A$1:$I$89,3,0)*0.475*44/12</f>
        <v>26.145446677386797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63.703056156555476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501</v>
      </c>
      <c r="L118" s="12">
        <f>VLOOKUP(A118,'Données projet'!$A$35:$I$55,9,0)</f>
        <v>7</v>
      </c>
      <c r="M118" s="12">
        <f t="array" ref="M118">INDEX(L:L,MIN(IF(ISNUMBER(L118:L314),ROW(L118:L314),"")))</f>
        <v>7</v>
      </c>
      <c r="N118" s="13">
        <f>IF('Données projet'!$A$36&gt;35,N117+M118-V117,IF(A118&lt;'Données projet'!$A$36,$K$205^A118,IF(A118='Données projet'!$A$36,'Données projet'!$B$36,N117+M118-V117)))</f>
        <v>500.99999999999994</v>
      </c>
      <c r="O118" s="13">
        <f>N118*VLOOKUP('Données projet'!$B$9,Paramètres!$A$1:$I$89,3,0)*VLOOKUP('Données projet'!$B$9,Paramètres!$A$1:$I$89,5,0)</f>
        <v>429.858</v>
      </c>
      <c r="P118" s="13">
        <f t="shared" si="87"/>
        <v>97.804322041485804</v>
      </c>
      <c r="Q118" s="20">
        <f t="shared" si="107"/>
        <v>919.01187755558783</v>
      </c>
      <c r="R118" s="59">
        <f t="shared" si="55"/>
        <v>1212.3452108889212</v>
      </c>
      <c r="S118" s="59">
        <f ca="1">AVERAGE(OFFSET($R$3,0,0,'Données projet'!$E$9+1,1))-AVERAGE(OFFSET($H$3,0,0,'Données projet'!$E$9+1,1))</f>
        <v>536.21423347711345</v>
      </c>
      <c r="T118" s="59">
        <f t="shared" si="88"/>
        <v>312.14361830038712</v>
      </c>
      <c r="U118" s="15" t="str">
        <f>IF(ISNA(VLOOKUP(A118,'Données projet'!$A$35:$I$55,3,0)),0,VLOOKUP(A118,'Données projet'!$A$35:$I$55,3,0))</f>
        <v>CR</v>
      </c>
      <c r="V118" s="15">
        <f>IF(ISNA(VLOOKUP(A118,'Données projet'!$A$35:$I$55,4,0)),0,VLOOKUP(A118,'Données projet'!$A$35:$I$55,4,0))</f>
        <v>501</v>
      </c>
      <c r="W118" s="16">
        <f>IF(ISNA(VLOOKUP(A118,'Données projet'!$A$35:$I$55,5,0)),0%,VLOOKUP(A118,'Données projet'!$A$35:$I$55,5,0)*VLOOKUP('Données projet'!$B$9,Paramètres!$A$1:$I$89,7,0))</f>
        <v>0.371</v>
      </c>
      <c r="X118" s="16">
        <f>IF(ISNA(VLOOKUP(A118,'Données projet'!$A$35:$I$55,6,0)),0%,VLOOKUP(A118,'Données projet'!$A$35:$I$55,6,0)*VLOOKUP('Données projet'!$B$9,Paramètres!$A$1:$I$89,7,0))</f>
        <v>5.3000000000000005E-2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204.69634849132922</v>
      </c>
      <c r="AA118" s="21">
        <f>EXP(-LN(2)/25)*AA117+(1-EXP(-LN(2)/25))/(LN(2)/25)*Calculateur!V118*Calculateur!X118*VLOOKUP('Données projet'!$B$9,Paramètres!$A$1:$I$89,3,0)*0.475*44/12</f>
        <v>55.846862429278836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260.54321092060803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6.8888888888888893</v>
      </c>
      <c r="AI118" s="13">
        <f>IF('Données projet'!$A$62&gt;35,AI117+AH118-AQ117,IF(A118&lt;'Données projet'!$A$62,$AF$205^A118,IF(A118='Données projet'!$A$62,'Données projet'!$B$62,AI117+AH118-AQ117)))</f>
        <v>341.88888888888835</v>
      </c>
      <c r="AJ118" s="13">
        <f>AI118*VLOOKUP('Données projet'!$B$10,Paramètres!$A$1:$I$89,3,0)*VLOOKUP('Données projet'!$B$10,Paramètres!$A$1:$I$89,5,0)</f>
        <v>309.34106666666617</v>
      </c>
      <c r="AK118" s="13">
        <f t="shared" si="89"/>
        <v>73.131201628191135</v>
      </c>
      <c r="AL118" s="20">
        <f t="shared" si="58"/>
        <v>666.13920061354315</v>
      </c>
      <c r="AM118" s="59">
        <f t="shared" si="59"/>
        <v>959.47253394687641</v>
      </c>
      <c r="AN118" s="59">
        <f ca="1">AVERAGE(OFFSET($AM$3,0,0,'Données projet'!$E$10+1,1))-AVERAGE(OFFSET($H$3,0,0,'Données projet'!$E$10+1,1))</f>
        <v>528.15559695545812</v>
      </c>
      <c r="AO118" s="59">
        <f t="shared" si="90"/>
        <v>276.26988364830532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32.855775455067636</v>
      </c>
      <c r="AV118" s="21">
        <f>EXP(-LN(2)/25)*AV117+(1-EXP(-LN(2)/25))/(LN(2)/25)*Calculateur!AQ118*Calculateur!AS118*VLOOKUP('Données projet'!$B$10,Paramètres!$A$1:$I$89,3,0)*0.475*44/12</f>
        <v>22.691829040888209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55.547604495955845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501</v>
      </c>
      <c r="BB118" s="12">
        <f>VLOOKUP(A118,'Données projet'!$A$87:$I$107,9,0)</f>
        <v>7</v>
      </c>
      <c r="BC118" s="12">
        <f t="array" ref="BC118">INDEX(BB:BB,MIN(IF(ISNUMBER(BB118:BB314),ROW(BB118:BB314),"")))</f>
        <v>7</v>
      </c>
      <c r="BD118" s="12">
        <f>IF('Données projet'!$A$88&gt;35,BD117+BC118-BL117,IF(A118&lt;'Données projet'!$A$88,$BA$205^A118,IF(A118='Données projet'!$A$88,'Données projet'!$B$88,BD117+BC118-BL117)))</f>
        <v>500.99999999999994</v>
      </c>
      <c r="BE118" s="13">
        <f>BD118*VLOOKUP('Données projet'!$B$11,Paramètres!$A$1:$I$89,3,0)*VLOOKUP('Données projet'!$B$11,Paramètres!$A$1:$I$89,5,0)</f>
        <v>367.33319999999998</v>
      </c>
      <c r="BF118" s="13">
        <f t="shared" si="91"/>
        <v>85.121494850031411</v>
      </c>
      <c r="BG118" s="20">
        <f t="shared" si="61"/>
        <v>788.02526019713798</v>
      </c>
      <c r="BH118" s="59">
        <f t="shared" si="62"/>
        <v>1081.3585935304714</v>
      </c>
      <c r="BI118" s="59">
        <f ca="1">AVERAGE(OFFSET($BH$3,0,0,'Données projet'!$E$11+1,1))-AVERAGE(OFFSET($H$3,0,0,'Données projet'!$E$11+1,1))</f>
        <v>464.3681853739115</v>
      </c>
      <c r="BJ118" s="59">
        <f t="shared" si="92"/>
        <v>272.97841038165217</v>
      </c>
      <c r="BK118" s="15" t="str">
        <f>IF(ISNA(VLOOKUP(A118,'Données projet'!$A$87:$I$107,3,0)),0,VLOOKUP(A118,'Données projet'!$A$87:$I$107,3,0))</f>
        <v>CR</v>
      </c>
      <c r="BL118" s="15">
        <f>IF(ISNA(VLOOKUP(A118,'Données projet'!$A$87:$I$107,4,0)),0,VLOOKUP(A118,'Données projet'!$A$87:$I$107,4,0))</f>
        <v>501</v>
      </c>
      <c r="BM118" s="16">
        <f>IF(ISNA(VLOOKUP(A118,'Données projet'!$A$87:$I$107,5,0)),0%,VLOOKUP(A118,'Données projet'!$A$87:$I$107,5,0)*VLOOKUP('Données projet'!$B$11,Paramètres!$A$1:$I$89,7,0))</f>
        <v>0.30099999999999999</v>
      </c>
      <c r="BN118" s="16">
        <f>IF(ISNA(VLOOKUP(A118,'Données projet'!$A$87:$I$107,6,0)),0%,VLOOKUP(A118,'Données projet'!$A$87:$I$107,6,0)*VLOOKUP('Données projet'!$B$11,Paramètres!$A$1:$I$89,7,0))</f>
        <v>4.3000000000000003E-2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141.91812017186152</v>
      </c>
      <c r="BQ118" s="21">
        <f>EXP(-LN(2)/25)*BQ117+(1-EXP(-LN(2)/25))/(LN(2)/25)*Calculateur!BL118*Calculateur!BN118*VLOOKUP('Données projet'!$B$11,Paramètres!$A$1:$I$89,3,0)*0.475*44/12</f>
        <v>38.719214054741869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180.6373342266034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4.4337866711430253E-14</v>
      </c>
      <c r="CA118" s="13">
        <f t="shared" si="93"/>
        <v>7.3222115536967035E-13</v>
      </c>
      <c r="CB118" s="20">
        <f t="shared" si="64"/>
        <v>1.3525069634579169E-12</v>
      </c>
      <c r="CC118" s="59">
        <f t="shared" si="65"/>
        <v>293.33333333333468</v>
      </c>
      <c r="CD118" s="59">
        <f ca="1">AVERAGE(OFFSET($CC$3,0,0,'Données projet'!$E$12+1,1))-AVERAGE(OFFSET($H$3,0,0,'Données projet'!$E$12+1,1))</f>
        <v>288.82868507674738</v>
      </c>
      <c r="CE118" s="59">
        <f t="shared" si="94"/>
        <v>283.48738729114024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26.722167718173207</v>
      </c>
      <c r="CL118" s="21">
        <f>EXP(-LN(2)/25)*CL117+(1-EXP(-LN(2)/25))/(LN(2)/25)*Calculateur!CG118*Calculateur!CI118*VLOOKUP('Données projet'!$B$12,Paramètres!$A$1:$I$89,3,0)*0.475*44/12</f>
        <v>2.6571482521606939</v>
      </c>
      <c r="CM118" s="21">
        <f>EXP(-LN(2)/2)*CM117+(1-EXP(-LN(2)/2))/(LN(2)/2)*CG118*CJ118*VLOOKUP('Données projet'!$B$12,Paramètres!$A$1:$I$89,3,0)*0.475*44/12</f>
        <v>8.6912672755830137E-6</v>
      </c>
      <c r="CN118" s="22">
        <f t="shared" si="66"/>
        <v>29.379324661601178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-2.8421709430404007E-13</v>
      </c>
      <c r="CU118" s="17">
        <f>CT118*VLOOKUP('Données projet'!$B$13,Paramètres!$A$1:$I$89,3,0)*VLOOKUP('Données projet'!$B$13,Paramètres!$A$1:$I$89,5,0)</f>
        <v>-1.8621904018800707E-13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340.49092994349405</v>
      </c>
      <c r="CZ118" s="59">
        <f t="shared" si="96"/>
        <v>331.54434271908832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49.786499450816315</v>
      </c>
      <c r="DG118" s="21">
        <f>EXP(-LN(2)/25)*DG117+(1-EXP(-LN(2)/25))/(LN(2)/25)*Calculateur!DB118*Calculateur!DD118*VLOOKUP('Données projet'!$B$13,Paramètres!$A$1:$I$89,3,0)*0.475*44/12</f>
        <v>1.2774334804054344</v>
      </c>
      <c r="DH118" s="21">
        <f>EXP(-LN(2)/2)*DH117+(1-EXP(-LN(2)/2))/(LN(2)/2)*DB118*DE118*VLOOKUP('Données projet'!$B$13,Paramètres!$A$1:$I$89,3,0)*0.475*44/12</f>
        <v>2.5616770343636169E-4</v>
      </c>
      <c r="DI118" s="22">
        <f t="shared" si="69"/>
        <v>51.064189098925183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6.8888888888888893</v>
      </c>
      <c r="DO118" s="12">
        <f>IF('Données projet'!$A$166&gt;35,DO117+DN118-DW117,IF(A118&lt;'Données projet'!$A$166,$DL$205^A118,IF(A118='Données projet'!$A$166,'Données projet'!$B$166,DO117+DN118-DW117)))</f>
        <v>341.88888888888835</v>
      </c>
      <c r="DP118" s="17">
        <f>DO118*VLOOKUP('Données projet'!$B$14,Paramètres!$A$1:$I$89,3,0)*VLOOKUP('Données projet'!$B$14,Paramètres!$A$1:$I$89,5,0)</f>
        <v>346.67533333333279</v>
      </c>
      <c r="DQ118" s="13">
        <f t="shared" si="97"/>
        <v>80.877548030185963</v>
      </c>
      <c r="DR118" s="20">
        <f t="shared" si="70"/>
        <v>744.65460170812833</v>
      </c>
      <c r="DS118" s="59">
        <f t="shared" si="71"/>
        <v>1037.9879350414617</v>
      </c>
      <c r="DT118" s="59">
        <f ca="1">AVERAGE(OFFSET($DS$3,0,0,'Données projet'!$E$14+1,1))-AVERAGE(OFFSET($H$3,0,0,'Données projet'!$E$14+1,1))</f>
        <v>586.50020405958992</v>
      </c>
      <c r="DU118" s="59">
        <f t="shared" si="98"/>
        <v>304.44184537595294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36.821127665162003</v>
      </c>
      <c r="EB118" s="21">
        <f>EXP(-LN(2)/25)*EB117+(1-EXP(-LN(2)/25))/(LN(2)/25)*Calculateur!DW118*Calculateur!DY118*VLOOKUP('Données projet'!$B$14,Paramètres!$A$1:$I$89,3,0)*0.475*44/12</f>
        <v>25.43049806306437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62.251625728226372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-4.8771653382573282E-14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536.21423347711345</v>
      </c>
      <c r="T119" s="59">
        <f t="shared" si="88"/>
        <v>312.14361830038712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200.68237794985868</v>
      </c>
      <c r="AA119" s="21">
        <f>EXP(-LN(2)/25)*AA118+(1-EXP(-LN(2)/25))/(LN(2)/25)*Calculateur!V119*Calculateur!X119*VLOOKUP('Données projet'!$B$9,Paramètres!$A$1:$I$89,3,0)*0.475*44/12</f>
        <v>54.319727039291351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255.00210498915004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6.8888888888888893</v>
      </c>
      <c r="AI119" s="13">
        <f>IF('Données projet'!$A$62&gt;35,AI118+AH119-AQ118,IF(A119&lt;'Données projet'!$A$62,$AF$205^A119,IF(A119='Données projet'!$A$62,'Données projet'!$B$62,AI118+AH119-AQ118)))</f>
        <v>348.77777777777726</v>
      </c>
      <c r="AJ119" s="13">
        <f>AI119*VLOOKUP('Données projet'!$B$10,Paramètres!$A$1:$I$89,3,0)*VLOOKUP('Données projet'!$B$10,Paramètres!$A$1:$I$89,5,0)</f>
        <v>315.5741333333329</v>
      </c>
      <c r="AK119" s="13">
        <f t="shared" si="89"/>
        <v>74.431720913378854</v>
      </c>
      <c r="AL119" s="20">
        <f t="shared" si="58"/>
        <v>679.26019614635629</v>
      </c>
      <c r="AM119" s="59">
        <f t="shared" si="59"/>
        <v>972.59352947968955</v>
      </c>
      <c r="AN119" s="59">
        <f ca="1">AVERAGE(OFFSET($AM$3,0,0,'Données projet'!$E$10+1,1))-AVERAGE(OFFSET($H$3,0,0,'Données projet'!$E$10+1,1))</f>
        <v>528.15559695545812</v>
      </c>
      <c r="AO119" s="59">
        <f t="shared" si="90"/>
        <v>276.26988364830532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32.211493738437994</v>
      </c>
      <c r="AV119" s="21">
        <f>EXP(-LN(2)/25)*AV118+(1-EXP(-LN(2)/25))/(LN(2)/25)*Calculateur!AQ119*Calculateur!AS119*VLOOKUP('Données projet'!$B$10,Paramètres!$A$1:$I$89,3,0)*0.475*44/12</f>
        <v>22.071319782453696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54.282813520891693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-4.1677594708744434E-14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464.3681853739115</v>
      </c>
      <c r="BJ119" s="59">
        <f t="shared" si="92"/>
        <v>272.97841038165217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139.13519239679738</v>
      </c>
      <c r="BQ119" s="21">
        <f>EXP(-LN(2)/25)*BQ118+(1-EXP(-LN(2)/25))/(LN(2)/25)*Calculateur!BL119*Calculateur!BN119*VLOOKUP('Données projet'!$B$11,Paramètres!$A$1:$I$89,3,0)*0.475*44/12</f>
        <v>37.660435110259982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176.79562750705736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4.4337866711430253E-14</v>
      </c>
      <c r="CA119" s="13">
        <f t="shared" si="93"/>
        <v>7.3222115536967035E-13</v>
      </c>
      <c r="CB119" s="20">
        <f t="shared" si="64"/>
        <v>1.3525069634579169E-12</v>
      </c>
      <c r="CC119" s="59">
        <f t="shared" si="65"/>
        <v>293.33333333333468</v>
      </c>
      <c r="CD119" s="59">
        <f ca="1">AVERAGE(OFFSET($CC$3,0,0,'Données projet'!$E$12+1,1))-AVERAGE(OFFSET($H$3,0,0,'Données projet'!$E$12+1,1))</f>
        <v>288.82868507674738</v>
      </c>
      <c r="CE119" s="59">
        <f t="shared" si="94"/>
        <v>283.48738729114024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26.198162308132755</v>
      </c>
      <c r="CL119" s="21">
        <f>EXP(-LN(2)/25)*CL118+(1-EXP(-LN(2)/25))/(LN(2)/25)*Calculateur!CG119*Calculateur!CI119*VLOOKUP('Données projet'!$B$12,Paramètres!$A$1:$I$89,3,0)*0.475*44/12</f>
        <v>2.584488393472006</v>
      </c>
      <c r="CM119" s="21">
        <f>EXP(-LN(2)/2)*CM118+(1-EXP(-LN(2)/2))/(LN(2)/2)*CG119*CJ119*VLOOKUP('Données projet'!$B$12,Paramètres!$A$1:$I$89,3,0)*0.475*44/12</f>
        <v>6.1456540276694793E-6</v>
      </c>
      <c r="CN119" s="22">
        <f t="shared" si="66"/>
        <v>28.782656847258789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-2.8421709430404007E-13</v>
      </c>
      <c r="CU119" s="17">
        <f>CT119*VLOOKUP('Données projet'!$B$13,Paramètres!$A$1:$I$89,3,0)*VLOOKUP('Données projet'!$B$13,Paramètres!$A$1:$I$89,5,0)</f>
        <v>-1.8621904018800707E-13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340.49092994349405</v>
      </c>
      <c r="CZ119" s="59">
        <f t="shared" si="96"/>
        <v>331.54434271908832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48.810216563352</v>
      </c>
      <c r="DG119" s="21">
        <f>EXP(-LN(2)/25)*DG118+(1-EXP(-LN(2)/25))/(LN(2)/25)*Calculateur!DB119*Calculateur!DD119*VLOOKUP('Données projet'!$B$13,Paramètres!$A$1:$I$89,3,0)*0.475*44/12</f>
        <v>1.2425019947064406</v>
      </c>
      <c r="DH119" s="21">
        <f>EXP(-LN(2)/2)*DH118+(1-EXP(-LN(2)/2))/(LN(2)/2)*DB119*DE119*VLOOKUP('Données projet'!$B$13,Paramètres!$A$1:$I$89,3,0)*0.475*44/12</f>
        <v>1.8113792022083581E-4</v>
      </c>
      <c r="DI119" s="22">
        <f t="shared" si="69"/>
        <v>50.052899695978667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6.8888888888888893</v>
      </c>
      <c r="DO119" s="12">
        <f>IF('Données projet'!$A$166&gt;35,DO118+DN119-DW118,IF(A119&lt;'Données projet'!$A$166,$DL$205^A119,IF(A119='Données projet'!$A$166,'Données projet'!$B$166,DO118+DN119-DW118)))</f>
        <v>348.77777777777726</v>
      </c>
      <c r="DP119" s="17">
        <f>DO119*VLOOKUP('Données projet'!$B$14,Paramètres!$A$1:$I$89,3,0)*VLOOKUP('Données projet'!$B$14,Paramètres!$A$1:$I$89,5,0)</f>
        <v>353.6606666666662</v>
      </c>
      <c r="DQ119" s="13">
        <f t="shared" si="97"/>
        <v>82.315823466800779</v>
      </c>
      <c r="DR119" s="20">
        <f t="shared" si="70"/>
        <v>759.32572031578832</v>
      </c>
      <c r="DS119" s="59">
        <f t="shared" si="71"/>
        <v>1052.6590536491217</v>
      </c>
      <c r="DT119" s="59">
        <f ca="1">AVERAGE(OFFSET($DS$3,0,0,'Données projet'!$E$14+1,1))-AVERAGE(OFFSET($H$3,0,0,'Données projet'!$E$14+1,1))</f>
        <v>586.50020405958992</v>
      </c>
      <c r="DU119" s="59">
        <f t="shared" si="98"/>
        <v>304.44184537595294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36.099087810318444</v>
      </c>
      <c r="EB119" s="21">
        <f>EXP(-LN(2)/25)*EB118+(1-EXP(-LN(2)/25))/(LN(2)/25)*Calculateur!DW119*Calculateur!DY119*VLOOKUP('Données projet'!$B$14,Paramètres!$A$1:$I$89,3,0)*0.475*44/12</f>
        <v>24.735099756198103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60.834187566516547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-4.8771653382573282E-14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536.21423347711345</v>
      </c>
      <c r="T120" s="59">
        <f t="shared" si="88"/>
        <v>312.14361830038712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196.7471189224261</v>
      </c>
      <c r="AA120" s="21">
        <f>EXP(-LN(2)/25)*AA119+(1-EXP(-LN(2)/25))/(LN(2)/25)*Calculateur!V120*Calculateur!X120*VLOOKUP('Données projet'!$B$9,Paramètres!$A$1:$I$89,3,0)*0.475*44/12</f>
        <v>52.834351246851632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249.58147016927774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6.8888888888888893</v>
      </c>
      <c r="AI120" s="13">
        <f>IF('Données projet'!$A$62&gt;35,AI119+AH120-AQ119,IF(A120&lt;'Données projet'!$A$62,$AF$205^A120,IF(A120='Données projet'!$A$62,'Données projet'!$B$62,AI119+AH120-AQ119)))</f>
        <v>355.66666666666617</v>
      </c>
      <c r="AJ120" s="13">
        <f>AI120*VLOOKUP('Données projet'!$B$10,Paramètres!$A$1:$I$89,3,0)*VLOOKUP('Données projet'!$B$10,Paramètres!$A$1:$I$89,5,0)</f>
        <v>321.80719999999957</v>
      </c>
      <c r="AK120" s="13">
        <f t="shared" si="89"/>
        <v>75.729253434901665</v>
      </c>
      <c r="AL120" s="20">
        <f t="shared" si="58"/>
        <v>692.37598973245292</v>
      </c>
      <c r="AM120" s="59">
        <f t="shared" si="59"/>
        <v>985.70932306578629</v>
      </c>
      <c r="AN120" s="59">
        <f ca="1">AVERAGE(OFFSET($AM$3,0,0,'Données projet'!$E$10+1,1))-AVERAGE(OFFSET($H$3,0,0,'Données projet'!$E$10+1,1))</f>
        <v>528.15559695545812</v>
      </c>
      <c r="AO120" s="59">
        <f t="shared" si="90"/>
        <v>276.26988364830532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31.57984599329842</v>
      </c>
      <c r="AV120" s="21">
        <f>EXP(-LN(2)/25)*AV119+(1-EXP(-LN(2)/25))/(LN(2)/25)*Calculateur!AQ120*Calculateur!AS120*VLOOKUP('Données projet'!$B$10,Paramètres!$A$1:$I$89,3,0)*0.475*44/12</f>
        <v>21.467778382322237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53.047624375620657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-4.1677594708744434E-14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464.3681853739115</v>
      </c>
      <c r="BJ120" s="59">
        <f t="shared" si="92"/>
        <v>272.97841038165217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136.4068361379839</v>
      </c>
      <c r="BQ120" s="21">
        <f>EXP(-LN(2)/25)*BQ119+(1-EXP(-LN(2)/25))/(LN(2)/25)*Calculateur!BL120*Calculateur!BN120*VLOOKUP('Données projet'!$B$11,Paramètres!$A$1:$I$89,3,0)*0.475*44/12</f>
        <v>36.630608531693717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173.03744466967763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4.4337866711430253E-14</v>
      </c>
      <c r="CA120" s="13">
        <f t="shared" si="93"/>
        <v>7.3222115536967035E-13</v>
      </c>
      <c r="CB120" s="20">
        <f t="shared" si="64"/>
        <v>1.3525069634579169E-12</v>
      </c>
      <c r="CC120" s="59">
        <f t="shared" si="65"/>
        <v>293.33333333333468</v>
      </c>
      <c r="CD120" s="59">
        <f ca="1">AVERAGE(OFFSET($CC$3,0,0,'Données projet'!$E$12+1,1))-AVERAGE(OFFSET($H$3,0,0,'Données projet'!$E$12+1,1))</f>
        <v>288.82868507674738</v>
      </c>
      <c r="CE120" s="59">
        <f t="shared" si="94"/>
        <v>283.48738729114024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25.684432324571453</v>
      </c>
      <c r="CL120" s="21">
        <f>EXP(-LN(2)/25)*CL119+(1-EXP(-LN(2)/25))/(LN(2)/25)*Calculateur!CG120*Calculateur!CI120*VLOOKUP('Données projet'!$B$12,Paramètres!$A$1:$I$89,3,0)*0.475*44/12</f>
        <v>2.5138154224401763</v>
      </c>
      <c r="CM120" s="21">
        <f>EXP(-LN(2)/2)*CM119+(1-EXP(-LN(2)/2))/(LN(2)/2)*CG120*CJ120*VLOOKUP('Données projet'!$B$12,Paramètres!$A$1:$I$89,3,0)*0.475*44/12</f>
        <v>4.3456336377915069E-6</v>
      </c>
      <c r="CN120" s="22">
        <f t="shared" si="66"/>
        <v>28.198252092645266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-2.8421709430404007E-13</v>
      </c>
      <c r="CU120" s="17">
        <f>CT120*VLOOKUP('Données projet'!$B$13,Paramètres!$A$1:$I$89,3,0)*VLOOKUP('Données projet'!$B$13,Paramètres!$A$1:$I$89,5,0)</f>
        <v>-1.8621904018800707E-13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340.49092994349405</v>
      </c>
      <c r="CZ120" s="59">
        <f t="shared" si="96"/>
        <v>331.54434271908832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47.853077987837104</v>
      </c>
      <c r="DG120" s="21">
        <f>EXP(-LN(2)/25)*DG119+(1-EXP(-LN(2)/25))/(LN(2)/25)*Calculateur!DB120*Calculateur!DD120*VLOOKUP('Données projet'!$B$13,Paramètres!$A$1:$I$89,3,0)*0.475*44/12</f>
        <v>1.2085257123208528</v>
      </c>
      <c r="DH120" s="21">
        <f>EXP(-LN(2)/2)*DH119+(1-EXP(-LN(2)/2))/(LN(2)/2)*DB120*DE120*VLOOKUP('Données projet'!$B$13,Paramètres!$A$1:$I$89,3,0)*0.475*44/12</f>
        <v>1.2808385171818085E-4</v>
      </c>
      <c r="DI120" s="22">
        <f t="shared" si="69"/>
        <v>49.06173178400968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6.8888888888888893</v>
      </c>
      <c r="DO120" s="12">
        <f>IF('Données projet'!$A$166&gt;35,DO119+DN120-DW119,IF(A120&lt;'Données projet'!$A$166,$DL$205^A120,IF(A120='Données projet'!$A$166,'Données projet'!$B$166,DO119+DN120-DW119)))</f>
        <v>355.66666666666617</v>
      </c>
      <c r="DP120" s="17">
        <f>DO120*VLOOKUP('Données projet'!$B$14,Paramètres!$A$1:$I$89,3,0)*VLOOKUP('Données projet'!$B$14,Paramètres!$A$1:$I$89,5,0)</f>
        <v>360.6459999999995</v>
      </c>
      <c r="DQ120" s="13">
        <f t="shared" si="97"/>
        <v>83.750795769918682</v>
      </c>
      <c r="DR120" s="20">
        <f t="shared" si="70"/>
        <v>773.99108596594078</v>
      </c>
      <c r="DS120" s="59">
        <f t="shared" si="71"/>
        <v>1067.324419299274</v>
      </c>
      <c r="DT120" s="59">
        <f ca="1">AVERAGE(OFFSET($DS$3,0,0,'Données projet'!$E$14+1,1))-AVERAGE(OFFSET($H$3,0,0,'Données projet'!$E$14+1,1))</f>
        <v>586.50020405958992</v>
      </c>
      <c r="DU120" s="59">
        <f t="shared" si="98"/>
        <v>304.44184537595294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35.391206716627543</v>
      </c>
      <c r="EB120" s="21">
        <f>EXP(-LN(2)/25)*EB119+(1-EXP(-LN(2)/25))/(LN(2)/25)*Calculateur!DW120*Calculateur!DY120*VLOOKUP('Données projet'!$B$14,Paramètres!$A$1:$I$89,3,0)*0.475*44/12</f>
        <v>24.058717152602501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59.449923869230048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-4.8771653382573282E-14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536.21423347711345</v>
      </c>
      <c r="T121" s="59">
        <f t="shared" si="88"/>
        <v>312.14361830038712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192.88902792425046</v>
      </c>
      <c r="AA121" s="21">
        <f>EXP(-LN(2)/25)*AA120+(1-EXP(-LN(2)/25))/(LN(2)/25)*Calculateur!V121*Calculateur!X121*VLOOKUP('Données projet'!$B$9,Paramètres!$A$1:$I$89,3,0)*0.475*44/12</f>
        <v>51.389593133568695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244.27862105781915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6.8888888888888893</v>
      </c>
      <c r="AI121" s="13">
        <f>IF('Données projet'!$A$62&gt;35,AI120+AH121-AQ120,IF(A121&lt;'Données projet'!$A$62,$AF$205^A121,IF(A121='Données projet'!$A$62,'Données projet'!$B$62,AI120+AH121-AQ120)))</f>
        <v>362.55555555555509</v>
      </c>
      <c r="AJ121" s="13">
        <f>AI121*VLOOKUP('Données projet'!$B$10,Paramètres!$A$1:$I$89,3,0)*VLOOKUP('Données projet'!$B$10,Paramètres!$A$1:$I$89,5,0)</f>
        <v>328.04026666666624</v>
      </c>
      <c r="AK121" s="13">
        <f t="shared" si="89"/>
        <v>77.023863712411838</v>
      </c>
      <c r="AL121" s="20">
        <f t="shared" si="58"/>
        <v>705.48669374356086</v>
      </c>
      <c r="AM121" s="59">
        <f t="shared" si="59"/>
        <v>998.82002707689412</v>
      </c>
      <c r="AN121" s="59">
        <f ca="1">AVERAGE(OFFSET($AM$3,0,0,'Données projet'!$E$10+1,1))-AVERAGE(OFFSET($H$3,0,0,'Données projet'!$E$10+1,1))</f>
        <v>528.15559695545812</v>
      </c>
      <c r="AO121" s="59">
        <f t="shared" si="90"/>
        <v>276.26988364830532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30.960584475173949</v>
      </c>
      <c r="AV121" s="21">
        <f>EXP(-LN(2)/25)*AV120+(1-EXP(-LN(2)/25))/(LN(2)/25)*Calculateur!AQ121*Calculateur!AS121*VLOOKUP('Données projet'!$B$10,Paramètres!$A$1:$I$89,3,0)*0.475*44/12</f>
        <v>20.880740853516237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51.841325328690189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-4.1677594708744434E-14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464.3681853739115</v>
      </c>
      <c r="BJ121" s="59">
        <f t="shared" si="92"/>
        <v>272.97841038165217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133.73198128127277</v>
      </c>
      <c r="BQ121" s="21">
        <f>EXP(-LN(2)/25)*BQ120+(1-EXP(-LN(2)/25))/(LN(2)/25)*Calculateur!BL121*Calculateur!BN121*VLOOKUP('Données projet'!$B$11,Paramètres!$A$1:$I$89,3,0)*0.475*44/12</f>
        <v>35.628942615074571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169.36092389634734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4.4337866711430253E-14</v>
      </c>
      <c r="CA121" s="13">
        <f t="shared" si="93"/>
        <v>7.3222115536967035E-13</v>
      </c>
      <c r="CB121" s="20">
        <f t="shared" si="64"/>
        <v>1.3525069634579169E-12</v>
      </c>
      <c r="CC121" s="59">
        <f t="shared" si="65"/>
        <v>293.33333333333468</v>
      </c>
      <c r="CD121" s="59">
        <f ca="1">AVERAGE(OFFSET($CC$3,0,0,'Données projet'!$E$12+1,1))-AVERAGE(OFFSET($H$3,0,0,'Données projet'!$E$12+1,1))</f>
        <v>288.82868507674738</v>
      </c>
      <c r="CE121" s="59">
        <f t="shared" si="94"/>
        <v>283.48738729114024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25.180776272643442</v>
      </c>
      <c r="CL121" s="21">
        <f>EXP(-LN(2)/25)*CL120+(1-EXP(-LN(2)/25))/(LN(2)/25)*Calculateur!CG121*Calculateur!CI121*VLOOKUP('Données projet'!$B$12,Paramètres!$A$1:$I$89,3,0)*0.475*44/12</f>
        <v>2.4450750075177421</v>
      </c>
      <c r="CM121" s="21">
        <f>EXP(-LN(2)/2)*CM120+(1-EXP(-LN(2)/2))/(LN(2)/2)*CG121*CJ121*VLOOKUP('Données projet'!$B$12,Paramètres!$A$1:$I$89,3,0)*0.475*44/12</f>
        <v>3.0728270138347396E-6</v>
      </c>
      <c r="CN121" s="22">
        <f t="shared" si="66"/>
        <v>27.625854352988199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-2.8421709430404007E-13</v>
      </c>
      <c r="CU121" s="17">
        <f>CT121*VLOOKUP('Données projet'!$B$13,Paramètres!$A$1:$I$89,3,0)*VLOOKUP('Données projet'!$B$13,Paramètres!$A$1:$I$89,5,0)</f>
        <v>-1.8621904018800707E-13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340.49092994349405</v>
      </c>
      <c r="CZ121" s="59">
        <f t="shared" si="96"/>
        <v>331.54434271908832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46.914708315991163</v>
      </c>
      <c r="DG121" s="21">
        <f>EXP(-LN(2)/25)*DG120+(1-EXP(-LN(2)/25))/(LN(2)/25)*Calculateur!DB121*Calculateur!DD121*VLOOKUP('Données projet'!$B$13,Paramètres!$A$1:$I$89,3,0)*0.475*44/12</f>
        <v>1.1754785131638341</v>
      </c>
      <c r="DH121" s="21">
        <f>EXP(-LN(2)/2)*DH120+(1-EXP(-LN(2)/2))/(LN(2)/2)*DB121*DE121*VLOOKUP('Données projet'!$B$13,Paramètres!$A$1:$I$89,3,0)*0.475*44/12</f>
        <v>9.0568960110417904E-5</v>
      </c>
      <c r="DI121" s="22">
        <f t="shared" si="69"/>
        <v>48.090277398115106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6.8888888888888893</v>
      </c>
      <c r="DO121" s="12">
        <f>IF('Données projet'!$A$166&gt;35,DO120+DN121-DW120,IF(A121&lt;'Données projet'!$A$166,$DL$205^A121,IF(A121='Données projet'!$A$166,'Données projet'!$B$166,DO120+DN121-DW120)))</f>
        <v>362.55555555555509</v>
      </c>
      <c r="DP121" s="17">
        <f>DO121*VLOOKUP('Données projet'!$B$14,Paramètres!$A$1:$I$89,3,0)*VLOOKUP('Données projet'!$B$14,Paramètres!$A$1:$I$89,5,0)</f>
        <v>367.63133333333286</v>
      </c>
      <c r="DQ121" s="13">
        <f t="shared" si="97"/>
        <v>85.182536293369054</v>
      </c>
      <c r="DR121" s="20">
        <f t="shared" si="70"/>
        <v>788.65082293317255</v>
      </c>
      <c r="DS121" s="59">
        <f t="shared" si="71"/>
        <v>1081.9841562665058</v>
      </c>
      <c r="DT121" s="59">
        <f ca="1">AVERAGE(OFFSET($DS$3,0,0,'Données projet'!$E$14+1,1))-AVERAGE(OFFSET($H$3,0,0,'Données projet'!$E$14+1,1))</f>
        <v>586.50020405958992</v>
      </c>
      <c r="DU121" s="59">
        <f t="shared" si="98"/>
        <v>304.44184537595294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34.697206739419087</v>
      </c>
      <c r="EB121" s="21">
        <f>EXP(-LN(2)/25)*EB120+(1-EXP(-LN(2)/25))/(LN(2)/25)*Calculateur!DW121*Calculateur!DY121*VLOOKUP('Données projet'!$B$14,Paramètres!$A$1:$I$89,3,0)*0.475*44/12</f>
        <v>23.400830266871637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58.098037006290724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-4.8771653382573282E-14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536.21423347711345</v>
      </c>
      <c r="T122" s="59">
        <f t="shared" si="88"/>
        <v>312.14361830038712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189.10659173734589</v>
      </c>
      <c r="AA122" s="21">
        <f>EXP(-LN(2)/25)*AA121+(1-EXP(-LN(2)/25))/(LN(2)/25)*Calculateur!V122*Calculateur!X122*VLOOKUP('Données projet'!$B$9,Paramètres!$A$1:$I$89,3,0)*0.475*44/12</f>
        <v>49.984342006870008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239.0909337442159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6.8888888888888893</v>
      </c>
      <c r="AI122" s="13">
        <f>IF('Données projet'!$A$62&gt;35,AI121+AH122-AQ121,IF(A122&lt;'Données projet'!$A$62,$AF$205^A122,IF(A122='Données projet'!$A$62,'Données projet'!$B$62,AI121+AH122-AQ121)))</f>
        <v>369.444444444444</v>
      </c>
      <c r="AJ122" s="13">
        <f>AI122*VLOOKUP('Données projet'!$B$10,Paramètres!$A$1:$I$89,3,0)*VLOOKUP('Données projet'!$B$10,Paramètres!$A$1:$I$89,5,0)</f>
        <v>334.27333333333291</v>
      </c>
      <c r="AK122" s="13">
        <f t="shared" si="89"/>
        <v>78.315613673397451</v>
      </c>
      <c r="AL122" s="20">
        <f t="shared" si="58"/>
        <v>718.59241603672206</v>
      </c>
      <c r="AM122" s="59">
        <f t="shared" si="59"/>
        <v>1011.9257493700554</v>
      </c>
      <c r="AN122" s="59">
        <f ca="1">AVERAGE(OFFSET($AM$3,0,0,'Données projet'!$E$10+1,1))-AVERAGE(OFFSET($H$3,0,0,'Données projet'!$E$10+1,1))</f>
        <v>528.15559695545812</v>
      </c>
      <c r="AO122" s="59">
        <f t="shared" si="90"/>
        <v>276.26988364830532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30.353466297707669</v>
      </c>
      <c r="AV122" s="21">
        <f>EXP(-LN(2)/25)*AV121+(1-EXP(-LN(2)/25))/(LN(2)/25)*Calculateur!AQ122*Calculateur!AS122*VLOOKUP('Données projet'!$B$10,Paramètres!$A$1:$I$89,3,0)*0.475*44/12</f>
        <v>20.309755896806397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50.663222194514063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-4.1677594708744434E-14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464.3681853739115</v>
      </c>
      <c r="BJ122" s="59">
        <f t="shared" si="92"/>
        <v>272.97841038165217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131.10957869680138</v>
      </c>
      <c r="BQ122" s="21">
        <f>EXP(-LN(2)/25)*BQ121+(1-EXP(-LN(2)/25))/(LN(2)/25)*Calculateur!BL122*Calculateur!BN122*VLOOKUP('Données projet'!$B$11,Paramètres!$A$1:$I$89,3,0)*0.475*44/12</f>
        <v>34.654667305620698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165.76424600242208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4.4337866711430253E-14</v>
      </c>
      <c r="CA122" s="13">
        <f t="shared" si="93"/>
        <v>7.3222115536967035E-13</v>
      </c>
      <c r="CB122" s="20">
        <f t="shared" si="64"/>
        <v>1.3525069634579169E-12</v>
      </c>
      <c r="CC122" s="59">
        <f t="shared" si="65"/>
        <v>293.33333333333468</v>
      </c>
      <c r="CD122" s="59">
        <f ca="1">AVERAGE(OFFSET($CC$3,0,0,'Données projet'!$E$12+1,1))-AVERAGE(OFFSET($H$3,0,0,'Données projet'!$E$12+1,1))</f>
        <v>288.82868507674738</v>
      </c>
      <c r="CE122" s="59">
        <f t="shared" si="94"/>
        <v>283.48738729114024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24.686996608693878</v>
      </c>
      <c r="CL122" s="21">
        <f>EXP(-LN(2)/25)*CL121+(1-EXP(-LN(2)/25))/(LN(2)/25)*Calculateur!CG122*Calculateur!CI122*VLOOKUP('Données projet'!$B$12,Paramètres!$A$1:$I$89,3,0)*0.475*44/12</f>
        <v>2.378214302856263</v>
      </c>
      <c r="CM122" s="21">
        <f>EXP(-LN(2)/2)*CM121+(1-EXP(-LN(2)/2))/(LN(2)/2)*CG122*CJ122*VLOOKUP('Données projet'!$B$12,Paramètres!$A$1:$I$89,3,0)*0.475*44/12</f>
        <v>2.1728168188957534E-6</v>
      </c>
      <c r="CN122" s="22">
        <f t="shared" si="66"/>
        <v>27.06521308436696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-2.8421709430404007E-13</v>
      </c>
      <c r="CU122" s="17">
        <f>CT122*VLOOKUP('Données projet'!$B$13,Paramètres!$A$1:$I$89,3,0)*VLOOKUP('Données projet'!$B$13,Paramètres!$A$1:$I$89,5,0)</f>
        <v>-1.8621904018800707E-13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340.49092994349405</v>
      </c>
      <c r="CZ122" s="59">
        <f t="shared" si="96"/>
        <v>331.54434271908832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45.99473950106114</v>
      </c>
      <c r="DG122" s="21">
        <f>EXP(-LN(2)/25)*DG121+(1-EXP(-LN(2)/25))/(LN(2)/25)*Calculateur!DB122*Calculateur!DD122*VLOOKUP('Données projet'!$B$13,Paramètres!$A$1:$I$89,3,0)*0.475*44/12</f>
        <v>1.1433349914056408</v>
      </c>
      <c r="DH122" s="21">
        <f>EXP(-LN(2)/2)*DH121+(1-EXP(-LN(2)/2))/(LN(2)/2)*DB122*DE122*VLOOKUP('Données projet'!$B$13,Paramètres!$A$1:$I$89,3,0)*0.475*44/12</f>
        <v>6.4041925859090423E-5</v>
      </c>
      <c r="DI122" s="22">
        <f t="shared" si="69"/>
        <v>47.138138534392638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6.8888888888888893</v>
      </c>
      <c r="DO122" s="12">
        <f>IF('Données projet'!$A$166&gt;35,DO121+DN122-DW121,IF(A122&lt;'Données projet'!$A$166,$DL$205^A122,IF(A122='Données projet'!$A$166,'Données projet'!$B$166,DO121+DN122-DW121)))</f>
        <v>369.444444444444</v>
      </c>
      <c r="DP122" s="17">
        <f>DO122*VLOOKUP('Données projet'!$B$14,Paramètres!$A$1:$I$89,3,0)*VLOOKUP('Données projet'!$B$14,Paramètres!$A$1:$I$89,5,0)</f>
        <v>374.61666666666622</v>
      </c>
      <c r="DQ122" s="13">
        <f t="shared" si="97"/>
        <v>86.611113524244615</v>
      </c>
      <c r="DR122" s="20">
        <f t="shared" si="70"/>
        <v>803.30505049916974</v>
      </c>
      <c r="DS122" s="59">
        <f t="shared" si="71"/>
        <v>1096.638383832503</v>
      </c>
      <c r="DT122" s="59">
        <f ca="1">AVERAGE(OFFSET($DS$3,0,0,'Données projet'!$E$14+1,1))-AVERAGE(OFFSET($H$3,0,0,'Données projet'!$E$14+1,1))</f>
        <v>586.50020405958992</v>
      </c>
      <c r="DU122" s="59">
        <f t="shared" si="98"/>
        <v>304.44184537595294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34.016815678465498</v>
      </c>
      <c r="EB122" s="21">
        <f>EXP(-LN(2)/25)*EB121+(1-EXP(-LN(2)/25))/(LN(2)/25)*Calculateur!DW122*Calculateur!DY122*VLOOKUP('Données projet'!$B$14,Paramètres!$A$1:$I$89,3,0)*0.475*44/12</f>
        <v>22.76093333262785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56.777749011093348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-4.8771653382573282E-14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536.21423347711345</v>
      </c>
      <c r="T123" s="59">
        <f t="shared" si="88"/>
        <v>312.14361830038712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185.39832681700827</v>
      </c>
      <c r="AA123" s="21">
        <f>EXP(-LN(2)/25)*AA122+(1-EXP(-LN(2)/25))/(LN(2)/25)*Calculateur!V123*Calculateur!X123*VLOOKUP('Données projet'!$B$9,Paramètres!$A$1:$I$89,3,0)*0.475*44/12</f>
        <v>48.617517546129839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234.01584436313811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6.8888888888888893</v>
      </c>
      <c r="AI123" s="13">
        <f>IF('Données projet'!$A$62&gt;35,AI122+AH123-AQ122,IF(A123&lt;'Données projet'!$A$62,$AF$205^A123,IF(A123='Données projet'!$A$62,'Données projet'!$B$62,AI122+AH123-AQ122)))</f>
        <v>376.33333333333292</v>
      </c>
      <c r="AJ123" s="13">
        <f>AI123*VLOOKUP('Données projet'!$B$10,Paramètres!$A$1:$I$89,3,0)*VLOOKUP('Données projet'!$B$10,Paramètres!$A$1:$I$89,5,0)</f>
        <v>340.50639999999964</v>
      </c>
      <c r="AK123" s="13">
        <f t="shared" si="89"/>
        <v>79.604562803685241</v>
      </c>
      <c r="AL123" s="20">
        <f t="shared" si="58"/>
        <v>731.6932602164178</v>
      </c>
      <c r="AM123" s="59">
        <f t="shared" si="59"/>
        <v>1025.0265935497512</v>
      </c>
      <c r="AN123" s="59">
        <f ca="1">AVERAGE(OFFSET($AM$3,0,0,'Données projet'!$E$10+1,1))-AVERAGE(OFFSET($H$3,0,0,'Données projet'!$E$10+1,1))</f>
        <v>528.15559695545812</v>
      </c>
      <c r="AO123" s="59">
        <f t="shared" si="90"/>
        <v>276.26988364830532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29.758253337395978</v>
      </c>
      <c r="AV123" s="21">
        <f>EXP(-LN(2)/25)*AV122+(1-EXP(-LN(2)/25))/(LN(2)/25)*Calculateur!AQ123*Calculateur!AS123*VLOOKUP('Données projet'!$B$10,Paramètres!$A$1:$I$89,3,0)*0.475*44/12</f>
        <v>19.754384553764581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49.512637891160558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-4.1677594708744434E-14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464.3681853739115</v>
      </c>
      <c r="BJ123" s="59">
        <f t="shared" si="92"/>
        <v>272.97841038165217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128.53859982750384</v>
      </c>
      <c r="BQ123" s="21">
        <f>EXP(-LN(2)/25)*BQ122+(1-EXP(-LN(2)/25))/(LN(2)/25)*Calculateur!BL123*Calculateur!BN123*VLOOKUP('Données projet'!$B$11,Paramètres!$A$1:$I$89,3,0)*0.475*44/12</f>
        <v>33.707033605738751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162.2456334332426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4.4337866711430253E-14</v>
      </c>
      <c r="CA123" s="13">
        <f t="shared" si="93"/>
        <v>7.3222115536967035E-13</v>
      </c>
      <c r="CB123" s="20">
        <f t="shared" si="64"/>
        <v>1.3525069634579169E-12</v>
      </c>
      <c r="CC123" s="59">
        <f t="shared" si="65"/>
        <v>293.33333333333468</v>
      </c>
      <c r="CD123" s="59">
        <f ca="1">AVERAGE(OFFSET($CC$3,0,0,'Données projet'!$E$12+1,1))-AVERAGE(OFFSET($H$3,0,0,'Données projet'!$E$12+1,1))</f>
        <v>288.82868507674738</v>
      </c>
      <c r="CE123" s="59">
        <f t="shared" si="94"/>
        <v>283.48738729114024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24.20289966277851</v>
      </c>
      <c r="CL123" s="21">
        <f>EXP(-LN(2)/25)*CL122+(1-EXP(-LN(2)/25))/(LN(2)/25)*Calculateur!CG123*Calculateur!CI123*VLOOKUP('Données projet'!$B$12,Paramètres!$A$1:$I$89,3,0)*0.475*44/12</f>
        <v>2.3131819076798039</v>
      </c>
      <c r="CM123" s="21">
        <f>EXP(-LN(2)/2)*CM122+(1-EXP(-LN(2)/2))/(LN(2)/2)*CG123*CJ123*VLOOKUP('Données projet'!$B$12,Paramètres!$A$1:$I$89,3,0)*0.475*44/12</f>
        <v>1.5364135069173698E-6</v>
      </c>
      <c r="CN123" s="22">
        <f t="shared" si="66"/>
        <v>26.516083106871822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-2.8421709430404007E-13</v>
      </c>
      <c r="CU123" s="17">
        <f>CT123*VLOOKUP('Données projet'!$B$13,Paramètres!$A$1:$I$89,3,0)*VLOOKUP('Données projet'!$B$13,Paramètres!$A$1:$I$89,5,0)</f>
        <v>-1.8621904018800707E-13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340.49092994349405</v>
      </c>
      <c r="CZ123" s="59">
        <f t="shared" si="96"/>
        <v>331.54434271908832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45.092810713466321</v>
      </c>
      <c r="DG123" s="21">
        <f>EXP(-LN(2)/25)*DG122+(1-EXP(-LN(2)/25))/(LN(2)/25)*Calculateur!DB123*Calculateur!DD123*VLOOKUP('Données projet'!$B$13,Paramètres!$A$1:$I$89,3,0)*0.475*44/12</f>
        <v>1.1120704359402795</v>
      </c>
      <c r="DH123" s="21">
        <f>EXP(-LN(2)/2)*DH122+(1-EXP(-LN(2)/2))/(LN(2)/2)*DB123*DE123*VLOOKUP('Données projet'!$B$13,Paramètres!$A$1:$I$89,3,0)*0.475*44/12</f>
        <v>4.5284480055208952E-5</v>
      </c>
      <c r="DI123" s="22">
        <f t="shared" si="69"/>
        <v>46.204926433886655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6.8888888888888893</v>
      </c>
      <c r="DO123" s="12">
        <f>IF('Données projet'!$A$166&gt;35,DO122+DN123-DW122,IF(A123&lt;'Données projet'!$A$166,$DL$205^A123,IF(A123='Données projet'!$A$166,'Données projet'!$B$166,DO122+DN123-DW122)))</f>
        <v>376.33333333333292</v>
      </c>
      <c r="DP123" s="17">
        <f>DO123*VLOOKUP('Données projet'!$B$14,Paramètres!$A$1:$I$89,3,0)*VLOOKUP('Données projet'!$B$14,Paramètres!$A$1:$I$89,5,0)</f>
        <v>381.60199999999958</v>
      </c>
      <c r="DQ123" s="13">
        <f t="shared" si="97"/>
        <v>88.03659324934641</v>
      </c>
      <c r="DR123" s="20">
        <f t="shared" si="70"/>
        <v>817.95388324261091</v>
      </c>
      <c r="DS123" s="59">
        <f t="shared" si="71"/>
        <v>1111.2872165759443</v>
      </c>
      <c r="DT123" s="59">
        <f ca="1">AVERAGE(OFFSET($DS$3,0,0,'Données projet'!$E$14+1,1))-AVERAGE(OFFSET($H$3,0,0,'Données projet'!$E$14+1,1))</f>
        <v>586.50020405958992</v>
      </c>
      <c r="DU123" s="59">
        <f t="shared" si="98"/>
        <v>304.44184537595294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33.349766671219641</v>
      </c>
      <c r="EB123" s="21">
        <f>EXP(-LN(2)/25)*EB122+(1-EXP(-LN(2)/25))/(LN(2)/25)*Calculateur!DW123*Calculateur!DY123*VLOOKUP('Données projet'!$B$14,Paramètres!$A$1:$I$89,3,0)*0.475*44/12</f>
        <v>22.138534413701677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55.488301084921318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-4.8771653382573282E-14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536.21423347711345</v>
      </c>
      <c r="T124" s="59">
        <f t="shared" si="88"/>
        <v>312.14361830038712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181.76277870994019</v>
      </c>
      <c r="AA124" s="21">
        <f>EXP(-LN(2)/25)*AA123+(1-EXP(-LN(2)/25))/(LN(2)/25)*Calculateur!V124*Calculateur!X124*VLOOKUP('Données projet'!$B$9,Paramètres!$A$1:$I$89,3,0)*0.475*44/12</f>
        <v>47.288068972146789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229.05084768208698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6.8888888888888893</v>
      </c>
      <c r="AI124" s="13">
        <f>IF('Données projet'!$A$62&gt;35,AI123+AH124-AQ123,IF(A124&lt;'Données projet'!$A$62,$AF$205^A124,IF(A124='Données projet'!$A$62,'Données projet'!$B$62,AI123+AH124-AQ123)))</f>
        <v>383.22222222222183</v>
      </c>
      <c r="AJ124" s="13">
        <f>AI124*VLOOKUP('Données projet'!$B$10,Paramètres!$A$1:$I$89,3,0)*VLOOKUP('Données projet'!$B$10,Paramètres!$A$1:$I$89,5,0)</f>
        <v>346.73946666666632</v>
      </c>
      <c r="AK124" s="13">
        <f t="shared" si="89"/>
        <v>80.890768286611575</v>
      </c>
      <c r="AL124" s="20">
        <f t="shared" si="58"/>
        <v>744.78932587695897</v>
      </c>
      <c r="AM124" s="59">
        <f t="shared" si="59"/>
        <v>1038.1226592102923</v>
      </c>
      <c r="AN124" s="59">
        <f ca="1">AVERAGE(OFFSET($AM$3,0,0,'Données projet'!$E$10+1,1))-AVERAGE(OFFSET($H$3,0,0,'Données projet'!$E$10+1,1))</f>
        <v>528.15559695545812</v>
      </c>
      <c r="AO124" s="59">
        <f t="shared" si="90"/>
        <v>276.26988364830532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29.174712140191943</v>
      </c>
      <c r="AV124" s="21">
        <f>EXP(-LN(2)/25)*AV123+(1-EXP(-LN(2)/25))/(LN(2)/25)*Calculateur!AQ124*Calculateur!AS124*VLOOKUP('Données projet'!$B$10,Paramètres!$A$1:$I$89,3,0)*0.475*44/12</f>
        <v>19.214199869303954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48.388912009495897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-4.1677594708744434E-14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464.3681853739115</v>
      </c>
      <c r="BJ124" s="59">
        <f t="shared" si="92"/>
        <v>272.97841038165217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126.01803628569095</v>
      </c>
      <c r="BQ124" s="21">
        <f>EXP(-LN(2)/25)*BQ123+(1-EXP(-LN(2)/25))/(LN(2)/25)*Calculateur!BL124*Calculateur!BN124*VLOOKUP('Données projet'!$B$11,Paramètres!$A$1:$I$89,3,0)*0.475*44/12</f>
        <v>32.785312999213964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158.80334928490493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4.4337866711430253E-14</v>
      </c>
      <c r="CA124" s="13">
        <f t="shared" si="93"/>
        <v>7.3222115536967035E-13</v>
      </c>
      <c r="CB124" s="20">
        <f t="shared" si="64"/>
        <v>1.3525069634579169E-12</v>
      </c>
      <c r="CC124" s="59">
        <f t="shared" si="65"/>
        <v>293.33333333333468</v>
      </c>
      <c r="CD124" s="59">
        <f ca="1">AVERAGE(OFFSET($CC$3,0,0,'Données projet'!$E$12+1,1))-AVERAGE(OFFSET($H$3,0,0,'Données projet'!$E$12+1,1))</f>
        <v>288.82868507674738</v>
      </c>
      <c r="CE124" s="59">
        <f t="shared" si="94"/>
        <v>283.48738729114024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23.728295562702559</v>
      </c>
      <c r="CL124" s="21">
        <f>EXP(-LN(2)/25)*CL123+(1-EXP(-LN(2)/25))/(LN(2)/25)*Calculateur!CG124*Calculateur!CI124*VLOOKUP('Données projet'!$B$12,Paramètres!$A$1:$I$89,3,0)*0.475*44/12</f>
        <v>2.2499278267693499</v>
      </c>
      <c r="CM124" s="21">
        <f>EXP(-LN(2)/2)*CM123+(1-EXP(-LN(2)/2))/(LN(2)/2)*CG124*CJ124*VLOOKUP('Données projet'!$B$12,Paramètres!$A$1:$I$89,3,0)*0.475*44/12</f>
        <v>1.0864084094478767E-6</v>
      </c>
      <c r="CN124" s="22">
        <f t="shared" si="66"/>
        <v>25.978224475880321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-2.8421709430404007E-13</v>
      </c>
      <c r="CU124" s="17">
        <f>CT124*VLOOKUP('Données projet'!$B$13,Paramètres!$A$1:$I$89,3,0)*VLOOKUP('Données projet'!$B$13,Paramètres!$A$1:$I$89,5,0)</f>
        <v>-1.8621904018800707E-13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340.49092994349405</v>
      </c>
      <c r="CZ124" s="59">
        <f t="shared" si="96"/>
        <v>331.54434271908832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44.208568199273998</v>
      </c>
      <c r="DG124" s="21">
        <f>EXP(-LN(2)/25)*DG123+(1-EXP(-LN(2)/25))/(LN(2)/25)*Calculateur!DB124*Calculateur!DD124*VLOOKUP('Données projet'!$B$13,Paramètres!$A$1:$I$89,3,0)*0.475*44/12</f>
        <v>1.08166081138825</v>
      </c>
      <c r="DH124" s="21">
        <f>EXP(-LN(2)/2)*DH123+(1-EXP(-LN(2)/2))/(LN(2)/2)*DB124*DE124*VLOOKUP('Données projet'!$B$13,Paramètres!$A$1:$I$89,3,0)*0.475*44/12</f>
        <v>3.2020962929545212E-5</v>
      </c>
      <c r="DI124" s="22">
        <f t="shared" si="69"/>
        <v>45.290261031625171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6.8888888888888893</v>
      </c>
      <c r="DO124" s="12">
        <f>IF('Données projet'!$A$166&gt;35,DO123+DN124-DW123,IF(A124&lt;'Données projet'!$A$166,$DL$205^A124,IF(A124='Données projet'!$A$166,'Données projet'!$B$166,DO123+DN124-DW123)))</f>
        <v>383.22222222222183</v>
      </c>
      <c r="DP124" s="17">
        <f>DO124*VLOOKUP('Données projet'!$B$14,Paramètres!$A$1:$I$89,3,0)*VLOOKUP('Données projet'!$B$14,Paramètres!$A$1:$I$89,5,0)</f>
        <v>388.58733333333299</v>
      </c>
      <c r="DQ124" s="13">
        <f t="shared" si="97"/>
        <v>89.459038709096291</v>
      </c>
      <c r="DR124" s="20">
        <f t="shared" si="70"/>
        <v>832.59743130723098</v>
      </c>
      <c r="DS124" s="59">
        <f t="shared" si="71"/>
        <v>1125.9307646405643</v>
      </c>
      <c r="DT124" s="59">
        <f ca="1">AVERAGE(OFFSET($DS$3,0,0,'Données projet'!$E$14+1,1))-AVERAGE(OFFSET($H$3,0,0,'Données projet'!$E$14+1,1))</f>
        <v>586.50020405958992</v>
      </c>
      <c r="DU124" s="59">
        <f t="shared" si="98"/>
        <v>304.44184537595294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32.695798088146148</v>
      </c>
      <c r="EB124" s="21">
        <f>EXP(-LN(2)/25)*EB123+(1-EXP(-LN(2)/25))/(LN(2)/25)*Calculateur!DW124*Calculateur!DY124*VLOOKUP('Données projet'!$B$14,Paramètres!$A$1:$I$89,3,0)*0.475*44/12</f>
        <v>21.53315502594408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54.228953114090231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-4.8771653382573282E-14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536.21423347711345</v>
      </c>
      <c r="T125" s="59">
        <f t="shared" si="88"/>
        <v>312.14361830038712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178.19852148378632</v>
      </c>
      <c r="AA125" s="21">
        <f>EXP(-LN(2)/25)*AA124+(1-EXP(-LN(2)/25))/(LN(2)/25)*Calculateur!V125*Calculateur!X125*VLOOKUP('Données projet'!$B$9,Paramètres!$A$1:$I$89,3,0)*0.475*44/12</f>
        <v>45.994974239331967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224.1934957231183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6.8888888888888893</v>
      </c>
      <c r="AI125" s="13">
        <f>IF('Données projet'!$A$62&gt;35,AI124+AH125-AQ124,IF(A125&lt;'Données projet'!$A$62,$AF$205^A125,IF(A125='Données projet'!$A$62,'Données projet'!$B$62,AI124+AH125-AQ124)))</f>
        <v>390.11111111111074</v>
      </c>
      <c r="AJ125" s="13">
        <f>AI125*VLOOKUP('Données projet'!$B$10,Paramètres!$A$1:$I$89,3,0)*VLOOKUP('Données projet'!$B$10,Paramètres!$A$1:$I$89,5,0)</f>
        <v>352.97253333333299</v>
      </c>
      <c r="AK125" s="13">
        <f t="shared" si="89"/>
        <v>82.174285131904085</v>
      </c>
      <c r="AL125" s="20">
        <f t="shared" si="58"/>
        <v>757.88070882695445</v>
      </c>
      <c r="AM125" s="59">
        <f t="shared" si="59"/>
        <v>1051.2140421602878</v>
      </c>
      <c r="AN125" s="59">
        <f ca="1">AVERAGE(OFFSET($AM$3,0,0,'Données projet'!$E$10+1,1))-AVERAGE(OFFSET($H$3,0,0,'Données projet'!$E$10+1,1))</f>
        <v>528.15559695545812</v>
      </c>
      <c r="AO125" s="59">
        <f t="shared" si="90"/>
        <v>276.26988364830532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28.602613829940093</v>
      </c>
      <c r="AV125" s="21">
        <f>EXP(-LN(2)/25)*AV124+(1-EXP(-LN(2)/25))/(LN(2)/25)*Calculateur!AQ125*Calculateur!AS125*VLOOKUP('Données projet'!$B$10,Paramètres!$A$1:$I$89,3,0)*0.475*44/12</f>
        <v>18.688786563446982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47.291400393387079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-4.1677594708744434E-14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464.3681853739115</v>
      </c>
      <c r="BJ125" s="59">
        <f t="shared" si="92"/>
        <v>272.97841038165217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123.54689945754106</v>
      </c>
      <c r="BQ125" s="21">
        <f>EXP(-LN(2)/25)*BQ124+(1-EXP(-LN(2)/25))/(LN(2)/25)*Calculateur!BL125*Calculateur!BN125*VLOOKUP('Données projet'!$B$11,Paramètres!$A$1:$I$89,3,0)*0.475*44/12</f>
        <v>31.88879689114578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155.43569634868683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4.4337866711430253E-14</v>
      </c>
      <c r="CA125" s="13">
        <f t="shared" si="93"/>
        <v>7.3222115536967035E-13</v>
      </c>
      <c r="CB125" s="20">
        <f t="shared" si="64"/>
        <v>1.3525069634579169E-12</v>
      </c>
      <c r="CC125" s="59">
        <f t="shared" si="65"/>
        <v>293.33333333333468</v>
      </c>
      <c r="CD125" s="59">
        <f ca="1">AVERAGE(OFFSET($CC$3,0,0,'Données projet'!$E$12+1,1))-AVERAGE(OFFSET($H$3,0,0,'Données projet'!$E$12+1,1))</f>
        <v>288.82868507674738</v>
      </c>
      <c r="CE125" s="59">
        <f t="shared" si="94"/>
        <v>283.48738729114024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23.262998159549181</v>
      </c>
      <c r="CL125" s="21">
        <f>EXP(-LN(2)/25)*CL124+(1-EXP(-LN(2)/25))/(LN(2)/25)*Calculateur!CG125*Calculateur!CI125*VLOOKUP('Données projet'!$B$12,Paramètres!$A$1:$I$89,3,0)*0.475*44/12</f>
        <v>2.1884034320277799</v>
      </c>
      <c r="CM125" s="21">
        <f>EXP(-LN(2)/2)*CM124+(1-EXP(-LN(2)/2))/(LN(2)/2)*CG125*CJ125*VLOOKUP('Données projet'!$B$12,Paramètres!$A$1:$I$89,3,0)*0.475*44/12</f>
        <v>7.6820675345868491E-7</v>
      </c>
      <c r="CN125" s="22">
        <f t="shared" si="66"/>
        <v>25.451402359783714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-2.8421709430404007E-13</v>
      </c>
      <c r="CU125" s="17">
        <f>CT125*VLOOKUP('Données projet'!$B$13,Paramètres!$A$1:$I$89,3,0)*VLOOKUP('Données projet'!$B$13,Paramètres!$A$1:$I$89,5,0)</f>
        <v>-1.8621904018800707E-13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340.49092994349405</v>
      </c>
      <c r="CZ125" s="59">
        <f t="shared" si="96"/>
        <v>331.54434271908832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43.341665141450306</v>
      </c>
      <c r="DG125" s="21">
        <f>EXP(-LN(2)/25)*DG124+(1-EXP(-LN(2)/25))/(LN(2)/25)*Calculateur!DB125*Calculateur!DD125*VLOOKUP('Données projet'!$B$13,Paramètres!$A$1:$I$89,3,0)*0.475*44/12</f>
        <v>1.0520827396187684</v>
      </c>
      <c r="DH125" s="21">
        <f>EXP(-LN(2)/2)*DH124+(1-EXP(-LN(2)/2))/(LN(2)/2)*DB125*DE125*VLOOKUP('Données projet'!$B$13,Paramètres!$A$1:$I$89,3,0)*0.475*44/12</f>
        <v>2.2642240027604476E-5</v>
      </c>
      <c r="DI125" s="22">
        <f t="shared" si="69"/>
        <v>44.393770523309101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6.8888888888888893</v>
      </c>
      <c r="DO125" s="12">
        <f>IF('Données projet'!$A$166&gt;35,DO124+DN125-DW124,IF(A125&lt;'Données projet'!$A$166,$DL$205^A125,IF(A125='Données projet'!$A$166,'Données projet'!$B$166,DO124+DN125-DW124)))</f>
        <v>390.11111111111074</v>
      </c>
      <c r="DP125" s="17">
        <f>DO125*VLOOKUP('Données projet'!$B$14,Paramètres!$A$1:$I$89,3,0)*VLOOKUP('Données projet'!$B$14,Paramètres!$A$1:$I$89,5,0)</f>
        <v>395.57266666666635</v>
      </c>
      <c r="DQ125" s="13">
        <f t="shared" si="97"/>
        <v>90.878510740069586</v>
      </c>
      <c r="DR125" s="20">
        <f t="shared" si="70"/>
        <v>847.23580065006502</v>
      </c>
      <c r="DS125" s="59">
        <f t="shared" si="71"/>
        <v>1140.5691339833984</v>
      </c>
      <c r="DT125" s="59">
        <f ca="1">AVERAGE(OFFSET($DS$3,0,0,'Données projet'!$E$14+1,1))-AVERAGE(OFFSET($H$3,0,0,'Données projet'!$E$14+1,1))</f>
        <v>586.50020405958992</v>
      </c>
      <c r="DU125" s="59">
        <f t="shared" si="98"/>
        <v>304.44184537595294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32.054653430105283</v>
      </c>
      <c r="EB125" s="21">
        <f>EXP(-LN(2)/25)*EB124+(1-EXP(-LN(2)/25))/(LN(2)/25)*Calculateur!DW125*Calculateur!DY125*VLOOKUP('Données projet'!$B$14,Paramètres!$A$1:$I$89,3,0)*0.475*44/12</f>
        <v>20.944329769380232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52.998983199485515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-4.8771653382573282E-14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536.21423347711345</v>
      </c>
      <c r="T126" s="59">
        <f t="shared" si="88"/>
        <v>312.14361830038712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174.7041571678551</v>
      </c>
      <c r="AA126" s="21">
        <f>EXP(-LN(2)/25)*AA125+(1-EXP(-LN(2)/25))/(LN(2)/25)*Calculateur!V126*Calculateur!X126*VLOOKUP('Données projet'!$B$9,Paramètres!$A$1:$I$89,3,0)*0.475*44/12</f>
        <v>44.737239249986864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219.44139641784196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397</v>
      </c>
      <c r="AG126" s="12">
        <f>VLOOKUP(A126,'Données projet'!$A$61:$I$81,9,0)</f>
        <v>6.8888888888888893</v>
      </c>
      <c r="AH126" s="12">
        <f t="array" ref="AH126">INDEX(AG:AG,MIN(IF(ISNUMBER(AG126:AG322),ROW(AG126:AG322),"")))</f>
        <v>6.8888888888888893</v>
      </c>
      <c r="AI126" s="13">
        <f>IF('Données projet'!$A$62&gt;35,AI125+AH126-AQ125,IF(A126&lt;'Données projet'!$A$62,$AF$205^A126,IF(A126='Données projet'!$A$62,'Données projet'!$B$62,AI125+AH126-AQ125)))</f>
        <v>396.99999999999966</v>
      </c>
      <c r="AJ126" s="13">
        <f>AI126*VLOOKUP('Données projet'!$B$10,Paramètres!$A$1:$I$89,3,0)*VLOOKUP('Données projet'!$B$10,Paramètres!$A$1:$I$89,5,0)</f>
        <v>359.20559999999966</v>
      </c>
      <c r="AK126" s="13">
        <f t="shared" si="89"/>
        <v>83.455166295200186</v>
      </c>
      <c r="AL126" s="20">
        <f t="shared" si="58"/>
        <v>770.96750129747295</v>
      </c>
      <c r="AM126" s="59">
        <f t="shared" si="59"/>
        <v>1064.3008346308063</v>
      </c>
      <c r="AN126" s="59">
        <f ca="1">AVERAGE(OFFSET($AM$3,0,0,'Données projet'!$E$10+1,1))-AVERAGE(OFFSET($H$3,0,0,'Données projet'!$E$10+1,1))</f>
        <v>528.15559695545812</v>
      </c>
      <c r="AO126" s="59">
        <f t="shared" si="90"/>
        <v>276.26988364830532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41</v>
      </c>
      <c r="AR126" s="16">
        <f>IF(ISNA(VLOOKUP(A126,'Données projet'!$A$61:$I$81,5,0)),0%,VLOOKUP(A126,'Données projet'!$A$61:$I$81,5,0)*VLOOKUP('Données projet'!$B$10,Paramètres!$A$1:$I$89,7,0))</f>
        <v>0.30099999999999999</v>
      </c>
      <c r="AS126" s="16">
        <f>IF(ISNA(VLOOKUP(A126,'Données projet'!$A$61:$I$81,6,0)),0%,VLOOKUP(A126,'Données projet'!$A$61:$I$81,6,0)*VLOOKUP('Données projet'!$B$10,Paramètres!$A$1:$I$89,7,0))</f>
        <v>4.3000000000000003E-2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40.385567504819605</v>
      </c>
      <c r="AV126" s="21">
        <f>EXP(-LN(2)/25)*AV125+(1-EXP(-LN(2)/25))/(LN(2)/25)*Calculateur!AQ126*Calculateur!AS126*VLOOKUP('Données projet'!$B$10,Paramètres!$A$1:$I$89,3,0)*0.475*44/12</f>
        <v>19.934202299270144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60.319769804089745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-4.1677594708744434E-14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464.3681853739115</v>
      </c>
      <c r="BJ126" s="59">
        <f t="shared" si="92"/>
        <v>272.97841038165217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121.12422011534655</v>
      </c>
      <c r="BQ126" s="21">
        <f>EXP(-LN(2)/25)*BQ125+(1-EXP(-LN(2)/25))/(LN(2)/25)*Calculateur!BL126*Calculateur!BN126*VLOOKUP('Données projet'!$B$11,Paramètres!$A$1:$I$89,3,0)*0.475*44/12</f>
        <v>31.016796063198452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152.14101617854499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4.4337866711430253E-14</v>
      </c>
      <c r="CA126" s="13">
        <f t="shared" si="93"/>
        <v>7.3222115536967035E-13</v>
      </c>
      <c r="CB126" s="20">
        <f t="shared" si="64"/>
        <v>1.3525069634579169E-12</v>
      </c>
      <c r="CC126" s="59">
        <f t="shared" si="65"/>
        <v>293.33333333333468</v>
      </c>
      <c r="CD126" s="59">
        <f ca="1">AVERAGE(OFFSET($CC$3,0,0,'Données projet'!$E$12+1,1))-AVERAGE(OFFSET($H$3,0,0,'Données projet'!$E$12+1,1))</f>
        <v>288.82868507674738</v>
      </c>
      <c r="CE126" s="59">
        <f t="shared" si="94"/>
        <v>283.48738729114024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22.806824954668247</v>
      </c>
      <c r="CL126" s="21">
        <f>EXP(-LN(2)/25)*CL125+(1-EXP(-LN(2)/25))/(LN(2)/25)*Calculateur!CG126*Calculateur!CI126*VLOOKUP('Données projet'!$B$12,Paramètres!$A$1:$I$89,3,0)*0.475*44/12</f>
        <v>2.1285614250958456</v>
      </c>
      <c r="CM126" s="21">
        <f>EXP(-LN(2)/2)*CM125+(1-EXP(-LN(2)/2))/(LN(2)/2)*CG126*CJ126*VLOOKUP('Données projet'!$B$12,Paramètres!$A$1:$I$89,3,0)*0.475*44/12</f>
        <v>5.4320420472393836E-7</v>
      </c>
      <c r="CN126" s="22">
        <f t="shared" si="66"/>
        <v>24.935386922968299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-2.8421709430404007E-13</v>
      </c>
      <c r="CU126" s="17">
        <f>CT126*VLOOKUP('Données projet'!$B$13,Paramètres!$A$1:$I$89,3,0)*VLOOKUP('Données projet'!$B$13,Paramètres!$A$1:$I$89,5,0)</f>
        <v>-1.8621904018800707E-13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340.49092994349405</v>
      </c>
      <c r="CZ126" s="59">
        <f t="shared" si="96"/>
        <v>331.54434271908832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42.491761523831883</v>
      </c>
      <c r="DG126" s="21">
        <f>EXP(-LN(2)/25)*DG125+(1-EXP(-LN(2)/25))/(LN(2)/25)*Calculateur!DB126*Calculateur!DD126*VLOOKUP('Données projet'!$B$13,Paramètres!$A$1:$I$89,3,0)*0.475*44/12</f>
        <v>1.0233134817772664</v>
      </c>
      <c r="DH126" s="21">
        <f>EXP(-LN(2)/2)*DH125+(1-EXP(-LN(2)/2))/(LN(2)/2)*DB126*DE126*VLOOKUP('Données projet'!$B$13,Paramètres!$A$1:$I$89,3,0)*0.475*44/12</f>
        <v>1.6010481464772606E-5</v>
      </c>
      <c r="DI126" s="22">
        <f t="shared" si="69"/>
        <v>43.515091016090615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397</v>
      </c>
      <c r="DM126" s="12">
        <f>VLOOKUP(A126,'Données projet'!$A$165:$I$185,9,0)</f>
        <v>6.8888888888888893</v>
      </c>
      <c r="DN126" s="12">
        <f t="array" ref="DN126">INDEX(DM:DM,MIN(IF(ISNUMBER(DM126:DM322),ROW(DM126:DM322),"")))</f>
        <v>6.8888888888888893</v>
      </c>
      <c r="DO126" s="12">
        <f>IF('Données projet'!$A$166&gt;35,DO125+DN126-DW125,IF(A126&lt;'Données projet'!$A$166,$DL$205^A126,IF(A126='Données projet'!$A$166,'Données projet'!$B$166,DO125+DN126-DW125)))</f>
        <v>396.99999999999966</v>
      </c>
      <c r="DP126" s="17">
        <f>DO126*VLOOKUP('Données projet'!$B$14,Paramètres!$A$1:$I$89,3,0)*VLOOKUP('Données projet'!$B$14,Paramètres!$A$1:$I$89,5,0)</f>
        <v>402.55799999999965</v>
      </c>
      <c r="DQ126" s="13">
        <f t="shared" si="97"/>
        <v>92.295067907174953</v>
      </c>
      <c r="DR126" s="20">
        <f t="shared" si="70"/>
        <v>861.86909327166234</v>
      </c>
      <c r="DS126" s="59">
        <f t="shared" si="71"/>
        <v>1155.2024266049957</v>
      </c>
      <c r="DT126" s="59">
        <f ca="1">AVERAGE(OFFSET($DS$3,0,0,'Données projet'!$E$14+1,1))-AVERAGE(OFFSET($H$3,0,0,'Données projet'!$E$14+1,1))</f>
        <v>586.50020405958992</v>
      </c>
      <c r="DU126" s="59">
        <f t="shared" si="98"/>
        <v>304.44184537595294</v>
      </c>
      <c r="DV126" s="15">
        <f>IF(ISNA(VLOOKUP(A126,'Données projet'!$A$165:$I$185,3,0)),0,VLOOKUP(A126,'Données projet'!$A$165:$I$185,3,0))</f>
        <v>11</v>
      </c>
      <c r="DW126" s="15">
        <f>IF(ISNA(VLOOKUP(A126,'Données projet'!$A$165:$I$185,4,0)),0,VLOOKUP(A126,'Données projet'!$A$165:$I$185,4,0))</f>
        <v>41</v>
      </c>
      <c r="DX126" s="16">
        <f>IF(ISNA(VLOOKUP(A126,'Données projet'!$A$165:$I$185,5,0)),0%,VLOOKUP(A126,'Données projet'!$A$165:$I$185,5,0)*VLOOKUP('Données projet'!$B$14,Paramètres!$A$1:$I$89,7,0))</f>
        <v>0.30099999999999999</v>
      </c>
      <c r="DY126" s="16">
        <f>IF(ISNA(VLOOKUP(A126,'Données projet'!$A$165:$I$185,6,0)),0%,VLOOKUP(A126,'Données projet'!$A$165:$I$185,6,0)*VLOOKUP('Données projet'!$B$14,Paramètres!$A$1:$I$89,7,0))</f>
        <v>4.3000000000000003E-2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45.259687720918535</v>
      </c>
      <c r="EB126" s="21">
        <f>EXP(-LN(2)/25)*EB125+(1-EXP(-LN(2)/25))/(LN(2)/25)*Calculateur!DW126*Calculateur!DY126*VLOOKUP('Données projet'!$B$14,Paramètres!$A$1:$I$89,3,0)*0.475*44/12</f>
        <v>22.340054300906189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67.599742021824724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-4.8771653382573282E-14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536.21423347711345</v>
      </c>
      <c r="T127" s="59">
        <f t="shared" si="88"/>
        <v>312.14361830038712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171.27831520480751</v>
      </c>
      <c r="AA127" s="21">
        <f>EXP(-LN(2)/25)*AA126+(1-EXP(-LN(2)/25))/(LN(2)/25)*Calculateur!V127*Calculateur!X127*VLOOKUP('Données projet'!$B$9,Paramètres!$A$1:$I$89,3,0)*0.475*44/12</f>
        <v>43.513897090066813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214.79221229487433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</v>
      </c>
      <c r="AI127" s="13">
        <f>IF('Données projet'!$A$62&gt;35,AI126+AH127-AQ126,IF(A127&lt;'Données projet'!$A$62,$AF$205^A127,IF(A127='Données projet'!$A$62,'Données projet'!$B$62,AI126+AH127-AQ126)))</f>
        <v>362.99999999999966</v>
      </c>
      <c r="AJ127" s="13">
        <f>AI127*VLOOKUP('Données projet'!$B$10,Paramètres!$A$1:$I$89,3,0)*VLOOKUP('Données projet'!$B$10,Paramètres!$A$1:$I$89,5,0)</f>
        <v>328.44239999999968</v>
      </c>
      <c r="AK127" s="13">
        <f t="shared" si="89"/>
        <v>77.107288085743335</v>
      </c>
      <c r="AL127" s="20">
        <f t="shared" si="58"/>
        <v>706.33237341600227</v>
      </c>
      <c r="AM127" s="59">
        <f t="shared" si="59"/>
        <v>999.66570674933564</v>
      </c>
      <c r="AN127" s="59">
        <f ca="1">AVERAGE(OFFSET($AM$3,0,0,'Données projet'!$E$10+1,1))-AVERAGE(OFFSET($H$3,0,0,'Données projet'!$E$10+1,1))</f>
        <v>528.15559695545812</v>
      </c>
      <c r="AO127" s="59">
        <f t="shared" si="90"/>
        <v>276.26988364830532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39.593631158813984</v>
      </c>
      <c r="AV127" s="21">
        <f>EXP(-LN(2)/25)*AV126+(1-EXP(-LN(2)/25))/(LN(2)/25)*Calculateur!AQ127*Calculateur!AS127*VLOOKUP('Données projet'!$B$10,Paramètres!$A$1:$I$89,3,0)*0.475*44/12</f>
        <v>19.389100489102464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58.982731647916452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-4.1677594708744434E-14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464.3681853739115</v>
      </c>
      <c r="BJ127" s="59">
        <f t="shared" si="92"/>
        <v>272.97841038165217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118.74904803736398</v>
      </c>
      <c r="BQ127" s="21">
        <f>EXP(-LN(2)/25)*BQ126+(1-EXP(-LN(2)/25))/(LN(2)/25)*Calculateur!BL127*Calculateur!BN127*VLOOKUP('Données projet'!$B$11,Paramètres!$A$1:$I$89,3,0)*0.475*44/12</f>
        <v>30.168640143747876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148.91768818111186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4.4337866711430253E-14</v>
      </c>
      <c r="CA127" s="13">
        <f t="shared" si="93"/>
        <v>7.3222115536967035E-13</v>
      </c>
      <c r="CB127" s="20">
        <f t="shared" si="64"/>
        <v>1.3525069634579169E-12</v>
      </c>
      <c r="CC127" s="59">
        <f t="shared" si="65"/>
        <v>293.33333333333468</v>
      </c>
      <c r="CD127" s="59">
        <f ca="1">AVERAGE(OFFSET($CC$3,0,0,'Données projet'!$E$12+1,1))-AVERAGE(OFFSET($H$3,0,0,'Données projet'!$E$12+1,1))</f>
        <v>288.82868507674738</v>
      </c>
      <c r="CE127" s="59">
        <f t="shared" si="94"/>
        <v>283.48738729114024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22.35959702809685</v>
      </c>
      <c r="CL127" s="21">
        <f>EXP(-LN(2)/25)*CL126+(1-EXP(-LN(2)/25))/(LN(2)/25)*Calculateur!CG127*Calculateur!CI127*VLOOKUP('Données projet'!$B$12,Paramètres!$A$1:$I$89,3,0)*0.475*44/12</f>
        <v>2.070355800990419</v>
      </c>
      <c r="CM127" s="21">
        <f>EXP(-LN(2)/2)*CM126+(1-EXP(-LN(2)/2))/(LN(2)/2)*CG127*CJ127*VLOOKUP('Données projet'!$B$12,Paramètres!$A$1:$I$89,3,0)*0.475*44/12</f>
        <v>3.8410337672934245E-7</v>
      </c>
      <c r="CN127" s="22">
        <f t="shared" si="66"/>
        <v>24.429953213190647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-2.8421709430404007E-13</v>
      </c>
      <c r="CU127" s="17">
        <f>CT127*VLOOKUP('Données projet'!$B$13,Paramètres!$A$1:$I$89,3,0)*VLOOKUP('Données projet'!$B$13,Paramètres!$A$1:$I$89,5,0)</f>
        <v>-1.8621904018800707E-13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340.49092994349405</v>
      </c>
      <c r="CZ127" s="59">
        <f t="shared" si="96"/>
        <v>331.54434271908832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41.658523997764938</v>
      </c>
      <c r="DG127" s="21">
        <f>EXP(-LN(2)/25)*DG126+(1-EXP(-LN(2)/25))/(LN(2)/25)*Calculateur!DB127*Calculateur!DD127*VLOOKUP('Données projet'!$B$13,Paramètres!$A$1:$I$89,3,0)*0.475*44/12</f>
        <v>0.99533092080434993</v>
      </c>
      <c r="DH127" s="21">
        <f>EXP(-LN(2)/2)*DH126+(1-EXP(-LN(2)/2))/(LN(2)/2)*DB127*DE127*VLOOKUP('Données projet'!$B$13,Paramètres!$A$1:$I$89,3,0)*0.475*44/12</f>
        <v>1.1321120013802238E-5</v>
      </c>
      <c r="DI127" s="22">
        <f t="shared" si="69"/>
        <v>42.6538662396893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</v>
      </c>
      <c r="DO127" s="12">
        <f>IF('Données projet'!$A$166&gt;35,DO126+DN127-DW126,IF(A127&lt;'Données projet'!$A$166,$DL$205^A127,IF(A127='Données projet'!$A$166,'Données projet'!$B$166,DO126+DN127-DW126)))</f>
        <v>362.99999999999966</v>
      </c>
      <c r="DP127" s="17">
        <f>DO127*VLOOKUP('Données projet'!$B$14,Paramètres!$A$1:$I$89,3,0)*VLOOKUP('Données projet'!$B$14,Paramètres!$A$1:$I$89,5,0)</f>
        <v>368.08199999999971</v>
      </c>
      <c r="DQ127" s="13">
        <f t="shared" si="97"/>
        <v>85.274797306599979</v>
      </c>
      <c r="DR127" s="20">
        <f t="shared" si="70"/>
        <v>789.59642197566109</v>
      </c>
      <c r="DS127" s="59">
        <f t="shared" si="71"/>
        <v>1082.9297553089943</v>
      </c>
      <c r="DT127" s="59">
        <f ca="1">AVERAGE(OFFSET($DS$3,0,0,'Données projet'!$E$14+1,1))-AVERAGE(OFFSET($H$3,0,0,'Données projet'!$E$14+1,1))</f>
        <v>586.50020405958992</v>
      </c>
      <c r="DU127" s="59">
        <f t="shared" si="98"/>
        <v>304.44184537595294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44.372172850394996</v>
      </c>
      <c r="EB127" s="21">
        <f>EXP(-LN(2)/25)*EB126+(1-EXP(-LN(2)/25))/(LN(2)/25)*Calculateur!DW127*Calculateur!DY127*VLOOKUP('Données projet'!$B$14,Paramètres!$A$1:$I$89,3,0)*0.475*44/12</f>
        <v>21.729164341235514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66.101337191630506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-4.8771653382573282E-14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536.21423347711345</v>
      </c>
      <c r="T128" s="59">
        <f t="shared" si="88"/>
        <v>312.14361830038712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167.91965191309802</v>
      </c>
      <c r="AA128" s="21">
        <f>EXP(-LN(2)/25)*AA127+(1-EXP(-LN(2)/25))/(LN(2)/25)*Calculateur!V128*Calculateur!X128*VLOOKUP('Données projet'!$B$9,Paramètres!$A$1:$I$89,3,0)*0.475*44/12</f>
        <v>42.324007285842541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210.24365919894058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7</v>
      </c>
      <c r="AI128" s="13">
        <f>IF('Données projet'!$A$62&gt;35,AI127+AH128-AQ127,IF(A128&lt;'Données projet'!$A$62,$AF$205^A128,IF(A128='Données projet'!$A$62,'Données projet'!$B$62,AI127+AH128-AQ127)))</f>
        <v>369.99999999999966</v>
      </c>
      <c r="AJ128" s="13">
        <f>AI128*VLOOKUP('Données projet'!$B$10,Paramètres!$A$1:$I$89,3,0)*VLOOKUP('Données projet'!$B$10,Paramètres!$A$1:$I$89,5,0)</f>
        <v>334.77599999999967</v>
      </c>
      <c r="AK128" s="13">
        <f t="shared" si="89"/>
        <v>78.419664234834713</v>
      </c>
      <c r="AL128" s="20">
        <f t="shared" si="58"/>
        <v>719.6491152090033</v>
      </c>
      <c r="AM128" s="59">
        <f t="shared" si="59"/>
        <v>1012.9824485423367</v>
      </c>
      <c r="AN128" s="59">
        <f ca="1">AVERAGE(OFFSET($AM$3,0,0,'Données projet'!$E$10+1,1))-AVERAGE(OFFSET($H$3,0,0,'Données projet'!$E$10+1,1))</f>
        <v>528.15559695545812</v>
      </c>
      <c r="AO128" s="59">
        <f t="shared" si="90"/>
        <v>276.26988364830532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38.817224201520062</v>
      </c>
      <c r="AV128" s="21">
        <f>EXP(-LN(2)/25)*AV127+(1-EXP(-LN(2)/25))/(LN(2)/25)*Calculateur!AQ128*Calculateur!AS128*VLOOKUP('Données projet'!$B$10,Paramètres!$A$1:$I$89,3,0)*0.475*44/12</f>
        <v>18.858904516599477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57.676128718119543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-4.1677594708744434E-14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464.3681853739115</v>
      </c>
      <c r="BJ128" s="59">
        <f t="shared" si="92"/>
        <v>272.97841038165217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116.42045163511872</v>
      </c>
      <c r="BQ128" s="21">
        <f>EXP(-LN(2)/25)*BQ127+(1-EXP(-LN(2)/25))/(LN(2)/25)*Calculateur!BL128*Calculateur!BN128*VLOOKUP('Données projet'!$B$11,Paramètres!$A$1:$I$89,3,0)*0.475*44/12</f>
        <v>29.343677092517257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145.76412872763598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4.4337866711430253E-14</v>
      </c>
      <c r="CA128" s="13">
        <f t="shared" si="93"/>
        <v>7.3222115536967035E-13</v>
      </c>
      <c r="CB128" s="20">
        <f t="shared" si="64"/>
        <v>1.3525069634579169E-12</v>
      </c>
      <c r="CC128" s="59">
        <f t="shared" si="65"/>
        <v>293.33333333333468</v>
      </c>
      <c r="CD128" s="59">
        <f ca="1">AVERAGE(OFFSET($CC$3,0,0,'Données projet'!$E$12+1,1))-AVERAGE(OFFSET($H$3,0,0,'Données projet'!$E$12+1,1))</f>
        <v>288.82868507674738</v>
      </c>
      <c r="CE128" s="59">
        <f t="shared" si="94"/>
        <v>283.48738729114024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21.921138968383417</v>
      </c>
      <c r="CL128" s="21">
        <f>EXP(-LN(2)/25)*CL127+(1-EXP(-LN(2)/25))/(LN(2)/25)*Calculateur!CG128*Calculateur!CI128*VLOOKUP('Données projet'!$B$12,Paramètres!$A$1:$I$89,3,0)*0.475*44/12</f>
        <v>2.0137418127370563</v>
      </c>
      <c r="CM128" s="21">
        <f>EXP(-LN(2)/2)*CM127+(1-EXP(-LN(2)/2))/(LN(2)/2)*CG128*CJ128*VLOOKUP('Données projet'!$B$12,Paramètres!$A$1:$I$89,3,0)*0.475*44/12</f>
        <v>2.7160210236196918E-7</v>
      </c>
      <c r="CN128" s="22">
        <f t="shared" si="66"/>
        <v>23.934881052722574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-2.8421709430404007E-13</v>
      </c>
      <c r="CU128" s="17">
        <f>CT128*VLOOKUP('Données projet'!$B$13,Paramètres!$A$1:$I$89,3,0)*VLOOKUP('Données projet'!$B$13,Paramètres!$A$1:$I$89,5,0)</f>
        <v>-1.8621904018800707E-13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340.49092994349405</v>
      </c>
      <c r="CZ128" s="59">
        <f t="shared" si="96"/>
        <v>331.54434271908832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40.841625751359459</v>
      </c>
      <c r="DG128" s="21">
        <f>EXP(-LN(2)/25)*DG127+(1-EXP(-LN(2)/25))/(LN(2)/25)*Calculateur!DB128*Calculateur!DD128*VLOOKUP('Données projet'!$B$13,Paramètres!$A$1:$I$89,3,0)*0.475*44/12</f>
        <v>0.96811354443277675</v>
      </c>
      <c r="DH128" s="21">
        <f>EXP(-LN(2)/2)*DH127+(1-EXP(-LN(2)/2))/(LN(2)/2)*DB128*DE128*VLOOKUP('Données projet'!$B$13,Paramètres!$A$1:$I$89,3,0)*0.475*44/12</f>
        <v>8.0052407323863029E-6</v>
      </c>
      <c r="DI128" s="22">
        <f t="shared" si="69"/>
        <v>41.809747301032964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7</v>
      </c>
      <c r="DO128" s="12">
        <f>IF('Données projet'!$A$166&gt;35,DO127+DN128-DW127,IF(A128&lt;'Données projet'!$A$166,$DL$205^A128,IF(A128='Données projet'!$A$166,'Données projet'!$B$166,DO127+DN128-DW127)))</f>
        <v>369.99999999999966</v>
      </c>
      <c r="DP128" s="17">
        <f>DO128*VLOOKUP('Données projet'!$B$14,Paramètres!$A$1:$I$89,3,0)*VLOOKUP('Données projet'!$B$14,Paramètres!$A$1:$I$89,5,0)</f>
        <v>375.17999999999967</v>
      </c>
      <c r="DQ128" s="13">
        <f t="shared" si="97"/>
        <v>86.726185533084305</v>
      </c>
      <c r="DR128" s="20">
        <f t="shared" si="70"/>
        <v>804.48660647012127</v>
      </c>
      <c r="DS128" s="59">
        <f t="shared" si="71"/>
        <v>1097.8199398034546</v>
      </c>
      <c r="DT128" s="59">
        <f ca="1">AVERAGE(OFFSET($DS$3,0,0,'Données projet'!$E$14+1,1))-AVERAGE(OFFSET($H$3,0,0,'Données projet'!$E$14+1,1))</f>
        <v>586.50020405958992</v>
      </c>
      <c r="DU128" s="59">
        <f t="shared" si="98"/>
        <v>304.44184537595294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43.502061605151809</v>
      </c>
      <c r="EB128" s="21">
        <f>EXP(-LN(2)/25)*EB127+(1-EXP(-LN(2)/25))/(LN(2)/25)*Calculateur!DW128*Calculateur!DY128*VLOOKUP('Données projet'!$B$14,Paramètres!$A$1:$I$89,3,0)*0.475*44/12</f>
        <v>21.134979199637339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64.637040804789152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-4.8771653382573282E-14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536.21423347711345</v>
      </c>
      <c r="T129" s="59">
        <f t="shared" si="88"/>
        <v>312.14361830038712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164.62684995995662</v>
      </c>
      <c r="AA129" s="21">
        <f>EXP(-LN(2)/25)*AA128+(1-EXP(-LN(2)/25))/(LN(2)/25)*Calculateur!V129*Calculateur!X129*VLOOKUP('Données projet'!$B$9,Paramètres!$A$1:$I$89,3,0)*0.475*44/12</f>
        <v>41.166655080888368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205.79350504084499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</v>
      </c>
      <c r="AI129" s="13">
        <f>IF('Données projet'!$A$62&gt;35,AI128+AH129-AQ128,IF(A129&lt;'Données projet'!$A$62,$AF$205^A129,IF(A129='Données projet'!$A$62,'Données projet'!$B$62,AI128+AH129-AQ128)))</f>
        <v>376.99999999999966</v>
      </c>
      <c r="AJ129" s="13">
        <f>AI129*VLOOKUP('Données projet'!$B$10,Paramètres!$A$1:$I$89,3,0)*VLOOKUP('Données projet'!$B$10,Paramètres!$A$1:$I$89,5,0)</f>
        <v>341.10959999999972</v>
      </c>
      <c r="AK129" s="13">
        <f t="shared" si="89"/>
        <v>79.729153316624988</v>
      </c>
      <c r="AL129" s="20">
        <f t="shared" si="58"/>
        <v>732.96082869312124</v>
      </c>
      <c r="AM129" s="59">
        <f t="shared" si="59"/>
        <v>1026.2941620264546</v>
      </c>
      <c r="AN129" s="59">
        <f ca="1">AVERAGE(OFFSET($AM$3,0,0,'Données projet'!$E$10+1,1))-AVERAGE(OFFSET($H$3,0,0,'Données projet'!$E$10+1,1))</f>
        <v>528.15559695545812</v>
      </c>
      <c r="AO129" s="59">
        <f t="shared" si="90"/>
        <v>276.26988364830532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38.056042111097192</v>
      </c>
      <c r="AV129" s="21">
        <f>EXP(-LN(2)/25)*AV128+(1-EXP(-LN(2)/25))/(LN(2)/25)*Calculateur!AQ129*Calculateur!AS129*VLOOKUP('Données projet'!$B$10,Paramètres!$A$1:$I$89,3,0)*0.475*44/12</f>
        <v>18.34320678084638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56.399248891943571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-4.1677594708744434E-14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464.3681853739115</v>
      </c>
      <c r="BJ129" s="59">
        <f t="shared" si="92"/>
        <v>272.97841038165217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114.13751758801794</v>
      </c>
      <c r="BQ129" s="21">
        <f>EXP(-LN(2)/25)*BQ128+(1-EXP(-LN(2)/25))/(LN(2)/25)*Calculateur!BL129*Calculateur!BN129*VLOOKUP('Données projet'!$B$11,Paramètres!$A$1:$I$89,3,0)*0.475*44/12</f>
        <v>28.541272699305459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142.67879028732341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4.4337866711430253E-14</v>
      </c>
      <c r="CA129" s="13">
        <f t="shared" si="93"/>
        <v>7.3222115536967035E-13</v>
      </c>
      <c r="CB129" s="20">
        <f t="shared" si="64"/>
        <v>1.3525069634579169E-12</v>
      </c>
      <c r="CC129" s="59">
        <f t="shared" si="65"/>
        <v>293.33333333333468</v>
      </c>
      <c r="CD129" s="59">
        <f ca="1">AVERAGE(OFFSET($CC$3,0,0,'Données projet'!$E$12+1,1))-AVERAGE(OFFSET($H$3,0,0,'Données projet'!$E$12+1,1))</f>
        <v>288.82868507674738</v>
      </c>
      <c r="CE129" s="59">
        <f t="shared" si="94"/>
        <v>283.48738729114024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21.491278803787953</v>
      </c>
      <c r="CL129" s="21">
        <f>EXP(-LN(2)/25)*CL128+(1-EXP(-LN(2)/25))/(LN(2)/25)*Calculateur!CG129*Calculateur!CI129*VLOOKUP('Données projet'!$B$12,Paramètres!$A$1:$I$89,3,0)*0.475*44/12</f>
        <v>1.958675936969682</v>
      </c>
      <c r="CM129" s="21">
        <f>EXP(-LN(2)/2)*CM128+(1-EXP(-LN(2)/2))/(LN(2)/2)*CG129*CJ129*VLOOKUP('Données projet'!$B$12,Paramètres!$A$1:$I$89,3,0)*0.475*44/12</f>
        <v>1.9205168836467123E-7</v>
      </c>
      <c r="CN129" s="22">
        <f t="shared" si="66"/>
        <v>23.449954932809327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-2.8421709430404007E-13</v>
      </c>
      <c r="CU129" s="17">
        <f>CT129*VLOOKUP('Données projet'!$B$13,Paramètres!$A$1:$I$89,3,0)*VLOOKUP('Données projet'!$B$13,Paramètres!$A$1:$I$89,5,0)</f>
        <v>-1.8621904018800707E-13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340.49092994349405</v>
      </c>
      <c r="CZ129" s="59">
        <f t="shared" si="96"/>
        <v>331.54434271908832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40.040746381307258</v>
      </c>
      <c r="DG129" s="21">
        <f>EXP(-LN(2)/25)*DG128+(1-EXP(-LN(2)/25))/(LN(2)/25)*Calculateur!DB129*Calculateur!DD129*VLOOKUP('Données projet'!$B$13,Paramètres!$A$1:$I$89,3,0)*0.475*44/12</f>
        <v>0.9416404286493838</v>
      </c>
      <c r="DH129" s="21">
        <f>EXP(-LN(2)/2)*DH128+(1-EXP(-LN(2)/2))/(LN(2)/2)*DB129*DE129*VLOOKUP('Données projet'!$B$13,Paramètres!$A$1:$I$89,3,0)*0.475*44/12</f>
        <v>5.660560006901119E-6</v>
      </c>
      <c r="DI129" s="22">
        <f t="shared" si="69"/>
        <v>40.98239247051665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</v>
      </c>
      <c r="DO129" s="12">
        <f>IF('Données projet'!$A$166&gt;35,DO128+DN129-DW128,IF(A129&lt;'Données projet'!$A$166,$DL$205^A129,IF(A129='Données projet'!$A$166,'Données projet'!$B$166,DO128+DN129-DW128)))</f>
        <v>376.99999999999966</v>
      </c>
      <c r="DP129" s="17">
        <f>DO129*VLOOKUP('Données projet'!$B$14,Paramètres!$A$1:$I$89,3,0)*VLOOKUP('Données projet'!$B$14,Paramètres!$A$1:$I$89,5,0)</f>
        <v>382.27799999999968</v>
      </c>
      <c r="DQ129" s="13">
        <f t="shared" si="97"/>
        <v>88.174380882669055</v>
      </c>
      <c r="DR129" s="20">
        <f t="shared" si="70"/>
        <v>819.3712300373146</v>
      </c>
      <c r="DS129" s="59">
        <f t="shared" si="71"/>
        <v>1112.704563370648</v>
      </c>
      <c r="DT129" s="59">
        <f ca="1">AVERAGE(OFFSET($DS$3,0,0,'Données projet'!$E$14+1,1))-AVERAGE(OFFSET($H$3,0,0,'Données projet'!$E$14+1,1))</f>
        <v>586.50020405958992</v>
      </c>
      <c r="DU129" s="59">
        <f t="shared" si="98"/>
        <v>304.44184537595294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42.649012710712384</v>
      </c>
      <c r="EB129" s="21">
        <f>EXP(-LN(2)/25)*EB128+(1-EXP(-LN(2)/25))/(LN(2)/25)*Calculateur!DW129*Calculateur!DY129*VLOOKUP('Données projet'!$B$14,Paramètres!$A$1:$I$89,3,0)*0.475*44/12</f>
        <v>20.557042081983006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63.20605479269539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-4.8771653382573282E-14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536.21423347711345</v>
      </c>
      <c r="T130" s="59">
        <f t="shared" si="88"/>
        <v>312.14361830038712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161.39861784470543</v>
      </c>
      <c r="AA130" s="21">
        <f>EXP(-LN(2)/25)*AA129+(1-EXP(-LN(2)/25))/(LN(2)/25)*Calculateur!V130*Calculateur!X130*VLOOKUP('Données projet'!$B$9,Paramètres!$A$1:$I$89,3,0)*0.475*44/12</f>
        <v>40.040950732841175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201.43956857754659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</v>
      </c>
      <c r="AI130" s="13">
        <f>IF('Données projet'!$A$62&gt;35,AI129+AH130-AQ129,IF(A130&lt;'Données projet'!$A$62,$AF$205^A130,IF(A130='Données projet'!$A$62,'Données projet'!$B$62,AI129+AH130-AQ129)))</f>
        <v>383.99999999999966</v>
      </c>
      <c r="AJ130" s="13">
        <f>AI130*VLOOKUP('Données projet'!$B$10,Paramètres!$A$1:$I$89,3,0)*VLOOKUP('Données projet'!$B$10,Paramètres!$A$1:$I$89,5,0)</f>
        <v>347.44319999999971</v>
      </c>
      <c r="AK130" s="13">
        <f t="shared" si="89"/>
        <v>81.035815119183155</v>
      </c>
      <c r="AL130" s="20">
        <f t="shared" si="58"/>
        <v>746.2676179992435</v>
      </c>
      <c r="AM130" s="59">
        <f t="shared" si="59"/>
        <v>1039.6009513325769</v>
      </c>
      <c r="AN130" s="59">
        <f ca="1">AVERAGE(OFFSET($AM$3,0,0,'Données projet'!$E$10+1,1))-AVERAGE(OFFSET($H$3,0,0,'Données projet'!$E$10+1,1))</f>
        <v>528.15559695545812</v>
      </c>
      <c r="AO130" s="59">
        <f t="shared" si="90"/>
        <v>276.26988364830532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37.309786337192278</v>
      </c>
      <c r="AV130" s="21">
        <f>EXP(-LN(2)/25)*AV129+(1-EXP(-LN(2)/25))/(LN(2)/25)*Calculateur!AQ130*Calculateur!AS130*VLOOKUP('Données projet'!$B$10,Paramètres!$A$1:$I$89,3,0)*0.475*44/12</f>
        <v>17.841610826796813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55.151397163989088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-4.1677594708744434E-14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464.3681853739115</v>
      </c>
      <c r="BJ130" s="59">
        <f t="shared" si="92"/>
        <v>272.97841038165217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111.89935048512854</v>
      </c>
      <c r="BQ130" s="21">
        <f>EXP(-LN(2)/25)*BQ129+(1-EXP(-LN(2)/25))/(LN(2)/25)*Calculateur!BL130*Calculateur!BN130*VLOOKUP('Données projet'!$B$11,Paramètres!$A$1:$I$89,3,0)*0.475*44/12</f>
        <v>27.760810096422652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139.6601605815512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4.4337866711430253E-14</v>
      </c>
      <c r="CA130" s="13">
        <f t="shared" si="93"/>
        <v>7.3222115536967035E-13</v>
      </c>
      <c r="CB130" s="20">
        <f t="shared" si="64"/>
        <v>1.3525069634579169E-12</v>
      </c>
      <c r="CC130" s="59">
        <f t="shared" si="65"/>
        <v>293.33333333333468</v>
      </c>
      <c r="CD130" s="59">
        <f ca="1">AVERAGE(OFFSET($CC$3,0,0,'Données projet'!$E$12+1,1))-AVERAGE(OFFSET($H$3,0,0,'Données projet'!$E$12+1,1))</f>
        <v>288.82868507674738</v>
      </c>
      <c r="CE130" s="59">
        <f t="shared" si="94"/>
        <v>283.48738729114024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21.069847934831397</v>
      </c>
      <c r="CL130" s="21">
        <f>EXP(-LN(2)/25)*CL129+(1-EXP(-LN(2)/25))/(LN(2)/25)*Calculateur!CG130*Calculateur!CI130*VLOOKUP('Données projet'!$B$12,Paramètres!$A$1:$I$89,3,0)*0.475*44/12</f>
        <v>1.9051158404709552</v>
      </c>
      <c r="CM130" s="21">
        <f>EXP(-LN(2)/2)*CM129+(1-EXP(-LN(2)/2))/(LN(2)/2)*CG130*CJ130*VLOOKUP('Données projet'!$B$12,Paramètres!$A$1:$I$89,3,0)*0.475*44/12</f>
        <v>1.3580105118098459E-7</v>
      </c>
      <c r="CN130" s="22">
        <f t="shared" si="66"/>
        <v>22.974963911103405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-2.8421709430404007E-13</v>
      </c>
      <c r="CU130" s="17">
        <f>CT130*VLOOKUP('Données projet'!$B$13,Paramètres!$A$1:$I$89,3,0)*VLOOKUP('Données projet'!$B$13,Paramètres!$A$1:$I$89,5,0)</f>
        <v>-1.8621904018800707E-13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340.49092994349405</v>
      </c>
      <c r="CZ130" s="59">
        <f t="shared" si="96"/>
        <v>331.54434271908832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39.255571767213603</v>
      </c>
      <c r="DG130" s="21">
        <f>EXP(-LN(2)/25)*DG129+(1-EXP(-LN(2)/25))/(LN(2)/25)*Calculateur!DB130*Calculateur!DD130*VLOOKUP('Données projet'!$B$13,Paramètres!$A$1:$I$89,3,0)*0.475*44/12</f>
        <v>0.91589122160924841</v>
      </c>
      <c r="DH130" s="21">
        <f>EXP(-LN(2)/2)*DH129+(1-EXP(-LN(2)/2))/(LN(2)/2)*DB130*DE130*VLOOKUP('Données projet'!$B$13,Paramètres!$A$1:$I$89,3,0)*0.475*44/12</f>
        <v>4.0026203661931515E-6</v>
      </c>
      <c r="DI130" s="22">
        <f t="shared" si="69"/>
        <v>40.171466991443218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</v>
      </c>
      <c r="DO130" s="12">
        <f>IF('Données projet'!$A$166&gt;35,DO129+DN130-DW129,IF(A130&lt;'Données projet'!$A$166,$DL$205^A130,IF(A130='Données projet'!$A$166,'Données projet'!$B$166,DO129+DN130-DW129)))</f>
        <v>383.99999999999966</v>
      </c>
      <c r="DP130" s="17">
        <f>DO130*VLOOKUP('Données projet'!$B$14,Paramètres!$A$1:$I$89,3,0)*VLOOKUP('Données projet'!$B$14,Paramètres!$A$1:$I$89,5,0)</f>
        <v>389.37599999999969</v>
      </c>
      <c r="DQ130" s="13">
        <f t="shared" si="97"/>
        <v>89.619449476412342</v>
      </c>
      <c r="DR130" s="20">
        <f t="shared" si="70"/>
        <v>834.25040783808424</v>
      </c>
      <c r="DS130" s="59">
        <f t="shared" si="71"/>
        <v>1127.5837411714176</v>
      </c>
      <c r="DT130" s="59">
        <f ca="1">AVERAGE(OFFSET($DS$3,0,0,'Données projet'!$E$14+1,1))-AVERAGE(OFFSET($H$3,0,0,'Données projet'!$E$14+1,1))</f>
        <v>586.50020405958992</v>
      </c>
      <c r="DU130" s="59">
        <f t="shared" si="98"/>
        <v>304.44184537595294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41.812691584784467</v>
      </c>
      <c r="EB130" s="21">
        <f>EXP(-LN(2)/25)*EB129+(1-EXP(-LN(2)/25))/(LN(2)/25)*Calculateur!DW130*Calculateur!DY130*VLOOKUP('Données projet'!$B$14,Paramètres!$A$1:$I$89,3,0)*0.475*44/12</f>
        <v>19.99490868520332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61.807600269987788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-4.8771653382573282E-14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536.21423347711345</v>
      </c>
      <c r="T131" s="59">
        <f t="shared" si="88"/>
        <v>312.14361830038712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158.23368939220717</v>
      </c>
      <c r="AA131" s="21">
        <f>EXP(-LN(2)/25)*AA130+(1-EXP(-LN(2)/25))/(LN(2)/25)*Calculateur!V131*Calculateur!X131*VLOOKUP('Données projet'!$B$9,Paramètres!$A$1:$I$89,3,0)*0.475*44/12</f>
        <v>38.946028829389547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197.17971822159672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</v>
      </c>
      <c r="AI131" s="13">
        <f>IF('Données projet'!$A$62&gt;35,AI130+AH131-AQ130,IF(A131&lt;'Données projet'!$A$62,$AF$205^A131,IF(A131='Données projet'!$A$62,'Données projet'!$B$62,AI130+AH131-AQ130)))</f>
        <v>390.99999999999966</v>
      </c>
      <c r="AJ131" s="13">
        <f>AI131*VLOOKUP('Données projet'!$B$10,Paramètres!$A$1:$I$89,3,0)*VLOOKUP('Données projet'!$B$10,Paramètres!$A$1:$I$89,5,0)</f>
        <v>353.77679999999964</v>
      </c>
      <c r="AK131" s="13">
        <f t="shared" si="89"/>
        <v>82.33970712600572</v>
      </c>
      <c r="AL131" s="20">
        <f t="shared" si="58"/>
        <v>759.5695832444593</v>
      </c>
      <c r="AM131" s="59">
        <f t="shared" si="59"/>
        <v>1052.9029165777927</v>
      </c>
      <c r="AN131" s="59">
        <f ca="1">AVERAGE(OFFSET($AM$3,0,0,'Données projet'!$E$10+1,1))-AVERAGE(OFFSET($H$3,0,0,'Données projet'!$E$10+1,1))</f>
        <v>528.15559695545812</v>
      </c>
      <c r="AO131" s="59">
        <f t="shared" si="90"/>
        <v>276.26988364830532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36.578164183842567</v>
      </c>
      <c r="AV131" s="21">
        <f>EXP(-LN(2)/25)*AV130+(1-EXP(-LN(2)/25))/(LN(2)/25)*Calculateur!AQ131*Calculateur!AS131*VLOOKUP('Données projet'!$B$10,Paramètres!$A$1:$I$89,3,0)*0.475*44/12</f>
        <v>17.353731040488519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53.931895224331086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-4.1677594708744434E-14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464.3681853739115</v>
      </c>
      <c r="BJ131" s="59">
        <f t="shared" si="92"/>
        <v>272.97841038165217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109.70507247397966</v>
      </c>
      <c r="BQ131" s="21">
        <f>EXP(-LN(2)/25)*BQ130+(1-EXP(-LN(2)/25))/(LN(2)/25)*Calculateur!BL131*Calculateur!BN131*VLOOKUP('Données projet'!$B$11,Paramètres!$A$1:$I$89,3,0)*0.475*44/12</f>
        <v>27.001689284458418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136.70676175843806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4.4337866711430253E-14</v>
      </c>
      <c r="CA131" s="13">
        <f t="shared" si="93"/>
        <v>7.3222115536967035E-13</v>
      </c>
      <c r="CB131" s="20">
        <f t="shared" si="64"/>
        <v>1.3525069634579169E-12</v>
      </c>
      <c r="CC131" s="59">
        <f t="shared" si="65"/>
        <v>293.33333333333468</v>
      </c>
      <c r="CD131" s="59">
        <f ca="1">AVERAGE(OFFSET($CC$3,0,0,'Données projet'!$E$12+1,1))-AVERAGE(OFFSET($H$3,0,0,'Données projet'!$E$12+1,1))</f>
        <v>288.82868507674738</v>
      </c>
      <c r="CE131" s="59">
        <f t="shared" si="94"/>
        <v>283.48738729114024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20.656681068167629</v>
      </c>
      <c r="CL131" s="21">
        <f>EXP(-LN(2)/25)*CL130+(1-EXP(-LN(2)/25))/(LN(2)/25)*Calculateur!CG131*Calculateur!CI131*VLOOKUP('Données projet'!$B$12,Paramètres!$A$1:$I$89,3,0)*0.475*44/12</f>
        <v>1.853020347627589</v>
      </c>
      <c r="CM131" s="21">
        <f>EXP(-LN(2)/2)*CM130+(1-EXP(-LN(2)/2))/(LN(2)/2)*CG131*CJ131*VLOOKUP('Données projet'!$B$12,Paramètres!$A$1:$I$89,3,0)*0.475*44/12</f>
        <v>9.6025844182335613E-8</v>
      </c>
      <c r="CN131" s="22">
        <f t="shared" si="66"/>
        <v>22.50970151182106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-2.8421709430404007E-13</v>
      </c>
      <c r="CU131" s="17">
        <f>CT131*VLOOKUP('Données projet'!$B$13,Paramètres!$A$1:$I$89,3,0)*VLOOKUP('Données projet'!$B$13,Paramètres!$A$1:$I$89,5,0)</f>
        <v>-1.8621904018800707E-13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340.49092994349405</v>
      </c>
      <c r="CZ131" s="59">
        <f t="shared" si="96"/>
        <v>331.54434271908832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38.485793948393095</v>
      </c>
      <c r="DG131" s="21">
        <f>EXP(-LN(2)/25)*DG130+(1-EXP(-LN(2)/25))/(LN(2)/25)*Calculateur!DB131*Calculateur!DD131*VLOOKUP('Données projet'!$B$13,Paramètres!$A$1:$I$89,3,0)*0.475*44/12</f>
        <v>0.89084612798971752</v>
      </c>
      <c r="DH131" s="21">
        <f>EXP(-LN(2)/2)*DH130+(1-EXP(-LN(2)/2))/(LN(2)/2)*DB131*DE131*VLOOKUP('Données projet'!$B$13,Paramètres!$A$1:$I$89,3,0)*0.475*44/12</f>
        <v>2.8302800034505595E-6</v>
      </c>
      <c r="DI131" s="22">
        <f t="shared" si="69"/>
        <v>39.376642906662816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</v>
      </c>
      <c r="DO131" s="12">
        <f>IF('Données projet'!$A$166&gt;35,DO130+DN131-DW130,IF(A131&lt;'Données projet'!$A$166,$DL$205^A131,IF(A131='Données projet'!$A$166,'Données projet'!$B$166,DO130+DN131-DW130)))</f>
        <v>390.99999999999966</v>
      </c>
      <c r="DP131" s="17">
        <f>DO131*VLOOKUP('Données projet'!$B$14,Paramètres!$A$1:$I$89,3,0)*VLOOKUP('Données projet'!$B$14,Paramètres!$A$1:$I$89,5,0)</f>
        <v>396.47399999999965</v>
      </c>
      <c r="DQ131" s="13">
        <f t="shared" si="97"/>
        <v>91.061454886690129</v>
      </c>
      <c r="DR131" s="20">
        <f t="shared" si="70"/>
        <v>849.12425059431791</v>
      </c>
      <c r="DS131" s="59">
        <f t="shared" si="71"/>
        <v>1142.4575839276513</v>
      </c>
      <c r="DT131" s="59">
        <f ca="1">AVERAGE(OFFSET($DS$3,0,0,'Données projet'!$E$14+1,1))-AVERAGE(OFFSET($H$3,0,0,'Données projet'!$E$14+1,1))</f>
        <v>586.50020405958992</v>
      </c>
      <c r="DU131" s="59">
        <f t="shared" si="98"/>
        <v>304.44184537595294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40.992770206030478</v>
      </c>
      <c r="EB131" s="21">
        <f>EXP(-LN(2)/25)*EB130+(1-EXP(-LN(2)/25))/(LN(2)/25)*Calculateur!DW131*Calculateur!DY131*VLOOKUP('Données projet'!$B$14,Paramètres!$A$1:$I$89,3,0)*0.475*44/12</f>
        <v>19.448146855719887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60.440917061750369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-4.8771653382573282E-14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536.21423347711345</v>
      </c>
      <c r="T132" s="59">
        <f t="shared" si="88"/>
        <v>312.14361830038712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155.13082325624666</v>
      </c>
      <c r="AA132" s="21">
        <f>EXP(-LN(2)/25)*AA131+(1-EXP(-LN(2)/25))/(LN(2)/25)*Calculateur!V132*Calculateur!X132*VLOOKUP('Données projet'!$B$9,Paramètres!$A$1:$I$89,3,0)*0.475*44/12</f>
        <v>37.881047622967245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193.01187087921392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</v>
      </c>
      <c r="AI132" s="13">
        <f>IF('Données projet'!$A$62&gt;35,AI131+AH132-AQ131,IF(A132&lt;'Données projet'!$A$62,$AF$205^A132,IF(A132='Données projet'!$A$62,'Données projet'!$B$62,AI131+AH132-AQ131)))</f>
        <v>397.99999999999966</v>
      </c>
      <c r="AJ132" s="13">
        <f>AI132*VLOOKUP('Données projet'!$B$10,Paramètres!$A$1:$I$89,3,0)*VLOOKUP('Données projet'!$B$10,Paramètres!$A$1:$I$89,5,0)</f>
        <v>360.11039999999969</v>
      </c>
      <c r="AK132" s="13">
        <f t="shared" si="89"/>
        <v>83.640884644487258</v>
      </c>
      <c r="AL132" s="20">
        <f t="shared" ref="AL132:AL153" si="112">(AJ132+AK132)*0.475*44/12</f>
        <v>772.86682075581473</v>
      </c>
      <c r="AM132" s="59">
        <f t="shared" ref="AM132:AM195" si="113">AL132+(AD132+AE132)*44/12</f>
        <v>1066.2001540891481</v>
      </c>
      <c r="AN132" s="59">
        <f ca="1">AVERAGE(OFFSET($AM$3,0,0,'Données projet'!$E$10+1,1))-AVERAGE(OFFSET($H$3,0,0,'Données projet'!$E$10+1,1))</f>
        <v>528.15559695545812</v>
      </c>
      <c r="AO132" s="59">
        <f t="shared" si="90"/>
        <v>276.26988364830532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35.860888694674593</v>
      </c>
      <c r="AV132" s="21">
        <f>EXP(-LN(2)/25)*AV131+(1-EXP(-LN(2)/25))/(LN(2)/25)*Calculateur!AQ132*Calculateur!AS132*VLOOKUP('Données projet'!$B$10,Paramètres!$A$1:$I$89,3,0)*0.475*44/12</f>
        <v>16.879192352593307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52.7400810472679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-4.1677594708744434E-14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464.3681853739115</v>
      </c>
      <c r="BJ132" s="59">
        <f t="shared" si="92"/>
        <v>272.97841038165217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107.55382291625196</v>
      </c>
      <c r="BQ132" s="21">
        <f>EXP(-LN(2)/25)*BQ131+(1-EXP(-LN(2)/25))/(LN(2)/25)*Calculateur!BL132*Calculateur!BN132*VLOOKUP('Données projet'!$B$11,Paramètres!$A$1:$I$89,3,0)*0.475*44/12</f>
        <v>26.263326671017776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133.81714958726974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4.4337866711430253E-14</v>
      </c>
      <c r="CA132" s="13">
        <f t="shared" si="93"/>
        <v>7.3222115536967035E-13</v>
      </c>
      <c r="CB132" s="20">
        <f t="shared" ref="CB132:CB153" si="118">(BZ132+CA132)*0.475*44/12</f>
        <v>1.3525069634579169E-12</v>
      </c>
      <c r="CC132" s="59">
        <f t="shared" ref="CC132:CC195" si="119">CB132+(BT132+BU132)*44/12</f>
        <v>293.33333333333468</v>
      </c>
      <c r="CD132" s="59">
        <f ca="1">AVERAGE(OFFSET($CC$3,0,0,'Données projet'!$E$12+1,1))-AVERAGE(OFFSET($H$3,0,0,'Données projet'!$E$12+1,1))</f>
        <v>288.82868507674738</v>
      </c>
      <c r="CE132" s="59">
        <f t="shared" si="94"/>
        <v>283.48738729114024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20.251616151752234</v>
      </c>
      <c r="CL132" s="21">
        <f>EXP(-LN(2)/25)*CL131+(1-EXP(-LN(2)/25))/(LN(2)/25)*Calculateur!CG132*Calculateur!CI132*VLOOKUP('Données projet'!$B$12,Paramètres!$A$1:$I$89,3,0)*0.475*44/12</f>
        <v>1.8023494087756078</v>
      </c>
      <c r="CM132" s="21">
        <f>EXP(-LN(2)/2)*CM131+(1-EXP(-LN(2)/2))/(LN(2)/2)*CG132*CJ132*VLOOKUP('Données projet'!$B$12,Paramètres!$A$1:$I$89,3,0)*0.475*44/12</f>
        <v>6.7900525590492295E-8</v>
      </c>
      <c r="CN132" s="22">
        <f t="shared" ref="CN132:CN153" si="120">SUM(CK132:CM132)</f>
        <v>22.053965628428369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-2.8421709430404007E-13</v>
      </c>
      <c r="CU132" s="17">
        <f>CT132*VLOOKUP('Données projet'!$B$13,Paramètres!$A$1:$I$89,3,0)*VLOOKUP('Données projet'!$B$13,Paramètres!$A$1:$I$89,5,0)</f>
        <v>-1.8621904018800707E-13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340.49092994349405</v>
      </c>
      <c r="CZ132" s="59">
        <f t="shared" si="96"/>
        <v>331.54434271908832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37.731111003081551</v>
      </c>
      <c r="DG132" s="21">
        <f>EXP(-LN(2)/25)*DG131+(1-EXP(-LN(2)/25))/(LN(2)/25)*Calculateur!DB132*Calculateur!DD132*VLOOKUP('Données projet'!$B$13,Paramètres!$A$1:$I$89,3,0)*0.475*44/12</f>
        <v>0.86648589377227692</v>
      </c>
      <c r="DH132" s="21">
        <f>EXP(-LN(2)/2)*DH131+(1-EXP(-LN(2)/2))/(LN(2)/2)*DB132*DE132*VLOOKUP('Données projet'!$B$13,Paramètres!$A$1:$I$89,3,0)*0.475*44/12</f>
        <v>2.0013101830965757E-6</v>
      </c>
      <c r="DI132" s="22">
        <f t="shared" ref="DI132:DI153" si="123">SUM(DF132:DH132)</f>
        <v>38.597598898164016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</v>
      </c>
      <c r="DO132" s="12">
        <f>IF('Données projet'!$A$166&gt;35,DO131+DN132-DW131,IF(A132&lt;'Données projet'!$A$166,$DL$205^A132,IF(A132='Données projet'!$A$166,'Données projet'!$B$166,DO131+DN132-DW131)))</f>
        <v>397.99999999999966</v>
      </c>
      <c r="DP132" s="17">
        <f>DO132*VLOOKUP('Données projet'!$B$14,Paramètres!$A$1:$I$89,3,0)*VLOOKUP('Données projet'!$B$14,Paramètres!$A$1:$I$89,5,0)</f>
        <v>403.57199999999966</v>
      </c>
      <c r="DQ132" s="13">
        <f t="shared" si="97"/>
        <v>92.500458279275193</v>
      </c>
      <c r="DR132" s="20">
        <f t="shared" ref="DR132:DR153" si="124">(DP132+DQ132)*0.475*44/12</f>
        <v>863.99286483640378</v>
      </c>
      <c r="DS132" s="59">
        <f t="shared" ref="DS132:DS195" si="125">DR132+(DJ132+DK132)*44/12</f>
        <v>1157.3261981697372</v>
      </c>
      <c r="DT132" s="59">
        <f ca="1">AVERAGE(OFFSET($DS$3,0,0,'Données projet'!$E$14+1,1))-AVERAGE(OFFSET($H$3,0,0,'Données projet'!$E$14+1,1))</f>
        <v>586.50020405958992</v>
      </c>
      <c r="DU132" s="59">
        <f t="shared" si="98"/>
        <v>304.44184537595294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40.188926985411193</v>
      </c>
      <c r="EB132" s="21">
        <f>EXP(-LN(2)/25)*EB131+(1-EXP(-LN(2)/25))/(LN(2)/25)*Calculateur!DW132*Calculateur!DY132*VLOOKUP('Données projet'!$B$14,Paramètres!$A$1:$I$89,3,0)*0.475*44/12</f>
        <v>18.916336257216635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59.105263242627828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-4.8771653382573282E-14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536.21423347711345</v>
      </c>
      <c r="T133" s="59">
        <f t="shared" ref="T133:T196" si="142">$T$3</f>
        <v>312.14361830038712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152.08880243265085</v>
      </c>
      <c r="AA133" s="21">
        <f>EXP(-LN(2)/25)*AA132+(1-EXP(-LN(2)/25))/(LN(2)/25)*Calculateur!V133*Calculateur!X133*VLOOKUP('Données projet'!$B$9,Paramètres!$A$1:$I$89,3,0)*0.475*44/12</f>
        <v>36.845188383639488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188.93399081629033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</v>
      </c>
      <c r="AI133" s="13">
        <f>IF('Données projet'!$A$62&gt;35,AI132+AH133-AQ132,IF(A133&lt;'Données projet'!$A$62,$AF$205^A133,IF(A133='Données projet'!$A$62,'Données projet'!$B$62,AI132+AH133-AQ132)))</f>
        <v>404.99999999999966</v>
      </c>
      <c r="AJ133" s="13">
        <f>AI133*VLOOKUP('Données projet'!$B$10,Paramètres!$A$1:$I$89,3,0)*VLOOKUP('Données projet'!$B$10,Paramètres!$A$1:$I$89,5,0)</f>
        <v>366.44399999999968</v>
      </c>
      <c r="AK133" s="13">
        <f t="shared" ref="AK133:AK153" si="143">EXP(-1.0587+0.8836*LN(AJ133)+0.284)</f>
        <v>84.939400925097203</v>
      </c>
      <c r="AL133" s="20">
        <f t="shared" si="112"/>
        <v>786.15942327787707</v>
      </c>
      <c r="AM133" s="59">
        <f t="shared" si="113"/>
        <v>1079.4927566112103</v>
      </c>
      <c r="AN133" s="59">
        <f ca="1">AVERAGE(OFFSET($AM$3,0,0,'Données projet'!$E$10+1,1))-AVERAGE(OFFSET($H$3,0,0,'Données projet'!$E$10+1,1))</f>
        <v>528.15559695545812</v>
      </c>
      <c r="AO133" s="59">
        <f t="shared" ref="AO133:AO196" si="144">$AO$3</f>
        <v>276.26988364830532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35.157678540354347</v>
      </c>
      <c r="AV133" s="21">
        <f>EXP(-LN(2)/25)*AV132+(1-EXP(-LN(2)/25))/(LN(2)/25)*Calculateur!AQ133*Calculateur!AS133*VLOOKUP('Données projet'!$B$10,Paramètres!$A$1:$I$89,3,0)*0.475*44/12</f>
        <v>16.417629950073497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51.575308490427844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-4.1677594708744434E-14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464.3681853739115</v>
      </c>
      <c r="BJ133" s="59">
        <f t="shared" ref="BJ133:BJ196" si="146">$BJ$3</f>
        <v>272.97841038165217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105.44475805021864</v>
      </c>
      <c r="BQ133" s="21">
        <f>EXP(-LN(2)/25)*BQ132+(1-EXP(-LN(2)/25))/(LN(2)/25)*Calculateur!BL133*Calculateur!BN133*VLOOKUP('Données projet'!$B$11,Paramètres!$A$1:$I$89,3,0)*0.475*44/12</f>
        <v>25.54515462207047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130.98991267228911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4.4337866711430253E-14</v>
      </c>
      <c r="CA133" s="13">
        <f t="shared" ref="CA133:CA153" si="147">EXP(-1.0587+0.8836*LN(BZ133)+0.284)</f>
        <v>7.3222115536967035E-13</v>
      </c>
      <c r="CB133" s="20">
        <f t="shared" si="118"/>
        <v>1.3525069634579169E-12</v>
      </c>
      <c r="CC133" s="59">
        <f t="shared" si="119"/>
        <v>293.33333333333468</v>
      </c>
      <c r="CD133" s="59">
        <f ca="1">AVERAGE(OFFSET($CC$3,0,0,'Données projet'!$E$12+1,1))-AVERAGE(OFFSET($H$3,0,0,'Données projet'!$E$12+1,1))</f>
        <v>288.82868507674738</v>
      </c>
      <c r="CE133" s="59">
        <f t="shared" ref="CE133:CE196" si="148">$CE$3</f>
        <v>283.48738729114024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19.85449431128254</v>
      </c>
      <c r="CL133" s="21">
        <f>EXP(-LN(2)/25)*CL132+(1-EXP(-LN(2)/25))/(LN(2)/25)*Calculateur!CG133*Calculateur!CI133*VLOOKUP('Données projet'!$B$12,Paramètres!$A$1:$I$89,3,0)*0.475*44/12</f>
        <v>1.7530640694112027</v>
      </c>
      <c r="CM133" s="21">
        <f>EXP(-LN(2)/2)*CM132+(1-EXP(-LN(2)/2))/(LN(2)/2)*CG133*CJ133*VLOOKUP('Données projet'!$B$12,Paramètres!$A$1:$I$89,3,0)*0.475*44/12</f>
        <v>4.8012922091167807E-8</v>
      </c>
      <c r="CN133" s="22">
        <f t="shared" si="120"/>
        <v>21.607558428706664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-2.8421709430404007E-13</v>
      </c>
      <c r="CU133" s="17">
        <f>CT133*VLOOKUP('Données projet'!$B$13,Paramètres!$A$1:$I$89,3,0)*VLOOKUP('Données projet'!$B$13,Paramètres!$A$1:$I$89,5,0)</f>
        <v>-1.8621904018800707E-13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340.49092994349405</v>
      </c>
      <c r="CZ133" s="59">
        <f t="shared" ref="CZ133:CZ196" si="150">$CZ$3</f>
        <v>331.54434271908832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36.991226930016417</v>
      </c>
      <c r="DG133" s="21">
        <f>EXP(-LN(2)/25)*DG132+(1-EXP(-LN(2)/25))/(LN(2)/25)*Calculateur!DB133*Calculateur!DD133*VLOOKUP('Données projet'!$B$13,Paramètres!$A$1:$I$89,3,0)*0.475*44/12</f>
        <v>0.84279179144056127</v>
      </c>
      <c r="DH133" s="21">
        <f>EXP(-LN(2)/2)*DH132+(1-EXP(-LN(2)/2))/(LN(2)/2)*DB133*DE133*VLOOKUP('Données projet'!$B$13,Paramètres!$A$1:$I$89,3,0)*0.475*44/12</f>
        <v>1.4151400017252798E-6</v>
      </c>
      <c r="DI133" s="22">
        <f t="shared" si="123"/>
        <v>37.834020136596983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7</v>
      </c>
      <c r="DO133" s="12">
        <f>IF('Données projet'!$A$166&gt;35,DO132+DN133-DW132,IF(A133&lt;'Données projet'!$A$166,$DL$205^A133,IF(A133='Données projet'!$A$166,'Données projet'!$B$166,DO132+DN133-DW132)))</f>
        <v>404.99999999999966</v>
      </c>
      <c r="DP133" s="17">
        <f>DO133*VLOOKUP('Données projet'!$B$14,Paramètres!$A$1:$I$89,3,0)*VLOOKUP('Données projet'!$B$14,Paramètres!$A$1:$I$89,5,0)</f>
        <v>410.66999999999967</v>
      </c>
      <c r="DQ133" s="13">
        <f t="shared" ref="DQ133:DQ153" si="151">EXP(-1.0587+0.8836*LN(DP133)+0.284)</f>
        <v>93.936518545137474</v>
      </c>
      <c r="DR133" s="20">
        <f t="shared" si="124"/>
        <v>878.85635313278044</v>
      </c>
      <c r="DS133" s="59">
        <f t="shared" si="125"/>
        <v>1172.1896864661137</v>
      </c>
      <c r="DT133" s="59">
        <f ca="1">AVERAGE(OFFSET($DS$3,0,0,'Données projet'!$E$14+1,1))-AVERAGE(OFFSET($H$3,0,0,'Données projet'!$E$14+1,1))</f>
        <v>586.50020405958992</v>
      </c>
      <c r="DU133" s="59">
        <f t="shared" ref="DU133:DU196" si="152">$DU$3</f>
        <v>304.44184537595294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39.400846640052301</v>
      </c>
      <c r="EB133" s="21">
        <f>EXP(-LN(2)/25)*EB132+(1-EXP(-LN(2)/25))/(LN(2)/25)*Calculateur!DW133*Calculateur!DY133*VLOOKUP('Données projet'!$B$14,Paramètres!$A$1:$I$89,3,0)*0.475*44/12</f>
        <v>18.399068047496158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57.799914687548458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-4.8771653382573282E-14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536.21423347711345</v>
      </c>
      <c r="T134" s="59">
        <f t="shared" si="142"/>
        <v>312.14361830038712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149.10643378195627</v>
      </c>
      <c r="AA134" s="21">
        <f>EXP(-LN(2)/25)*AA133+(1-EXP(-LN(2)/25))/(LN(2)/25)*Calculateur!V134*Calculateur!X134*VLOOKUP('Données projet'!$B$9,Paramètres!$A$1:$I$89,3,0)*0.475*44/12</f>
        <v>35.837654769684619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184.9440885516409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</v>
      </c>
      <c r="AI134" s="13">
        <f>IF('Données projet'!$A$62&gt;35,AI133+AH134-AQ133,IF(A134&lt;'Données projet'!$A$62,$AF$205^A134,IF(A134='Données projet'!$A$62,'Données projet'!$B$62,AI133+AH134-AQ133)))</f>
        <v>411.99999999999966</v>
      </c>
      <c r="AJ134" s="13">
        <f>AI134*VLOOKUP('Données projet'!$B$10,Paramètres!$A$1:$I$89,3,0)*VLOOKUP('Données projet'!$B$10,Paramètres!$A$1:$I$89,5,0)</f>
        <v>372.77759999999967</v>
      </c>
      <c r="AK134" s="13">
        <f t="shared" si="143"/>
        <v>86.23530727208437</v>
      </c>
      <c r="AL134" s="20">
        <f t="shared" si="112"/>
        <v>799.44748016554638</v>
      </c>
      <c r="AM134" s="59">
        <f t="shared" si="113"/>
        <v>1092.7808134988798</v>
      </c>
      <c r="AN134" s="59">
        <f ca="1">AVERAGE(OFFSET($AM$3,0,0,'Données projet'!$E$10+1,1))-AVERAGE(OFFSET($H$3,0,0,'Données projet'!$E$10+1,1))</f>
        <v>528.15559695545812</v>
      </c>
      <c r="AO134" s="59">
        <f t="shared" si="144"/>
        <v>276.26988364830532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34.468257908244482</v>
      </c>
      <c r="AV134" s="21">
        <f>EXP(-LN(2)/25)*AV133+(1-EXP(-LN(2)/25))/(LN(2)/25)*Calculateur!AQ134*Calculateur!AS134*VLOOKUP('Données projet'!$B$10,Paramètres!$A$1:$I$89,3,0)*0.475*44/12</f>
        <v>15.968688995723101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50.436946903967581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-4.1677594708744434E-14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464.3681853739115</v>
      </c>
      <c r="BJ134" s="59">
        <f t="shared" si="146"/>
        <v>272.97841038165217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103.37705065980569</v>
      </c>
      <c r="BQ134" s="21">
        <f>EXP(-LN(2)/25)*BQ133+(1-EXP(-LN(2)/25))/(LN(2)/25)*Calculateur!BL134*Calculateur!BN134*VLOOKUP('Données projet'!$B$11,Paramètres!$A$1:$I$89,3,0)*0.475*44/12</f>
        <v>24.846621025568655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128.22367168537434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4.4337866711430253E-14</v>
      </c>
      <c r="CA134" s="13">
        <f t="shared" si="147"/>
        <v>7.3222115536967035E-13</v>
      </c>
      <c r="CB134" s="20">
        <f t="shared" si="118"/>
        <v>1.3525069634579169E-12</v>
      </c>
      <c r="CC134" s="59">
        <f t="shared" si="119"/>
        <v>293.33333333333468</v>
      </c>
      <c r="CD134" s="59">
        <f ca="1">AVERAGE(OFFSET($CC$3,0,0,'Données projet'!$E$12+1,1))-AVERAGE(OFFSET($H$3,0,0,'Données projet'!$E$12+1,1))</f>
        <v>288.82868507674738</v>
      </c>
      <c r="CE134" s="59">
        <f t="shared" si="148"/>
        <v>283.48738729114024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19.465159787884051</v>
      </c>
      <c r="CL134" s="21">
        <f>EXP(-LN(2)/25)*CL133+(1-EXP(-LN(2)/25))/(LN(2)/25)*Calculateur!CG134*Calculateur!CI134*VLOOKUP('Données projet'!$B$12,Paramètres!$A$1:$I$89,3,0)*0.475*44/12</f>
        <v>1.7051264402435207</v>
      </c>
      <c r="CM134" s="21">
        <f>EXP(-LN(2)/2)*CM133+(1-EXP(-LN(2)/2))/(LN(2)/2)*CG134*CJ134*VLOOKUP('Données projet'!$B$12,Paramètres!$A$1:$I$89,3,0)*0.475*44/12</f>
        <v>3.3950262795246147E-8</v>
      </c>
      <c r="CN134" s="22">
        <f t="shared" si="120"/>
        <v>21.170286262077834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-2.8421709430404007E-13</v>
      </c>
      <c r="CU134" s="17">
        <f>CT134*VLOOKUP('Données projet'!$B$13,Paramètres!$A$1:$I$89,3,0)*VLOOKUP('Données projet'!$B$13,Paramètres!$A$1:$I$89,5,0)</f>
        <v>-1.8621904018800707E-13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340.49092994349405</v>
      </c>
      <c r="CZ134" s="59">
        <f t="shared" si="150"/>
        <v>331.54434271908832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36.265851532339369</v>
      </c>
      <c r="DG134" s="21">
        <f>EXP(-LN(2)/25)*DG133+(1-EXP(-LN(2)/25))/(LN(2)/25)*Calculateur!DB134*Calculateur!DD134*VLOOKUP('Données projet'!$B$13,Paramètres!$A$1:$I$89,3,0)*0.475*44/12</f>
        <v>0.81974560558312504</v>
      </c>
      <c r="DH134" s="21">
        <f>EXP(-LN(2)/2)*DH133+(1-EXP(-LN(2)/2))/(LN(2)/2)*DB134*DE134*VLOOKUP('Données projet'!$B$13,Paramètres!$A$1:$I$89,3,0)*0.475*44/12</f>
        <v>1.0006550915482879E-6</v>
      </c>
      <c r="DI134" s="22">
        <f t="shared" si="123"/>
        <v>37.085598138577581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</v>
      </c>
      <c r="DO134" s="12">
        <f>IF('Données projet'!$A$166&gt;35,DO133+DN134-DW133,IF(A134&lt;'Données projet'!$A$166,$DL$205^A134,IF(A134='Données projet'!$A$166,'Données projet'!$B$166,DO133+DN134-DW133)))</f>
        <v>411.99999999999966</v>
      </c>
      <c r="DP134" s="17">
        <f>DO134*VLOOKUP('Données projet'!$B$14,Paramètres!$A$1:$I$89,3,0)*VLOOKUP('Données projet'!$B$14,Paramètres!$A$1:$I$89,5,0)</f>
        <v>417.76799999999969</v>
      </c>
      <c r="DQ134" s="13">
        <f t="shared" si="151"/>
        <v>95.369692422874991</v>
      </c>
      <c r="DR134" s="20">
        <f t="shared" si="124"/>
        <v>893.71481430317328</v>
      </c>
      <c r="DS134" s="59">
        <f t="shared" si="125"/>
        <v>1187.0481476365067</v>
      </c>
      <c r="DT134" s="59">
        <f ca="1">AVERAGE(OFFSET($DS$3,0,0,'Données projet'!$E$14+1,1))-AVERAGE(OFFSET($H$3,0,0,'Données projet'!$E$14+1,1))</f>
        <v>586.50020405958992</v>
      </c>
      <c r="DU134" s="59">
        <f t="shared" si="152"/>
        <v>304.44184537595294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38.628220069584351</v>
      </c>
      <c r="EB134" s="21">
        <f>EXP(-LN(2)/25)*EB133+(1-EXP(-LN(2)/25))/(LN(2)/25)*Calculateur!DW134*Calculateur!DY134*VLOOKUP('Données projet'!$B$14,Paramètres!$A$1:$I$89,3,0)*0.475*44/12</f>
        <v>17.895944564172439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56.52416463375679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-4.8771653382573282E-14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536.21423347711345</v>
      </c>
      <c r="T135" s="59">
        <f t="shared" si="142"/>
        <v>312.14361830038712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146.18254756143654</v>
      </c>
      <c r="AA135" s="21">
        <f>EXP(-LN(2)/25)*AA134+(1-EXP(-LN(2)/25))/(LN(2)/25)*Calculateur!V135*Calculateur!X135*VLOOKUP('Données projet'!$B$9,Paramètres!$A$1:$I$89,3,0)*0.475*44/12</f>
        <v>34.85767221538724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181.04021977682379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>
        <f>VLOOKUP(A135,'Données projet'!$A$61:$I$81,2,0)</f>
        <v>419</v>
      </c>
      <c r="AG135" s="12">
        <f>VLOOKUP(A135,'Données projet'!$A$61:$I$81,9,0)</f>
        <v>7</v>
      </c>
      <c r="AH135" s="12">
        <f t="array" ref="AH135">INDEX(AG:AG,MIN(IF(ISNUMBER(AG135:AG331),ROW(AG135:AG331),"")))</f>
        <v>7</v>
      </c>
      <c r="AI135" s="13">
        <f>IF('Données projet'!$A$62&gt;35,AI134+AH135-AQ134,IF(A135&lt;'Données projet'!$A$62,$AF$205^A135,IF(A135='Données projet'!$A$62,'Données projet'!$B$62,AI134+AH135-AQ134)))</f>
        <v>418.99999999999966</v>
      </c>
      <c r="AJ135" s="13">
        <f>AI135*VLOOKUP('Données projet'!$B$10,Paramètres!$A$1:$I$89,3,0)*VLOOKUP('Données projet'!$B$10,Paramètres!$A$1:$I$89,5,0)</f>
        <v>379.11119999999966</v>
      </c>
      <c r="AK135" s="13">
        <f t="shared" si="143"/>
        <v>87.528653146444213</v>
      </c>
      <c r="AL135" s="20">
        <f t="shared" si="112"/>
        <v>812.7310775633897</v>
      </c>
      <c r="AM135" s="59">
        <f t="shared" si="113"/>
        <v>1106.0644108967231</v>
      </c>
      <c r="AN135" s="59">
        <f ca="1">AVERAGE(OFFSET($AM$3,0,0,'Données projet'!$E$10+1,1))-AVERAGE(OFFSET($H$3,0,0,'Données projet'!$E$10+1,1))</f>
        <v>528.15559695545812</v>
      </c>
      <c r="AO135" s="59">
        <f t="shared" si="144"/>
        <v>276.26988364830532</v>
      </c>
      <c r="AP135" s="15">
        <f>IF(ISNA(VLOOKUP(A135,'Données projet'!$A$61:$I$81,3,0)),0,VLOOKUP(A135,'Données projet'!$A$61:$I$81,3,0))</f>
        <v>12</v>
      </c>
      <c r="AQ135" s="15">
        <f>IF(ISNA(VLOOKUP(A135,'Données projet'!$A$61:$I$81,4,0)),0,VLOOKUP(A135,'Données projet'!$A$61:$I$81,4,0))</f>
        <v>42</v>
      </c>
      <c r="AR135" s="16">
        <f>IF(ISNA(VLOOKUP(A135,'Données projet'!$A$61:$I$81,5,0)),0%,VLOOKUP(A135,'Données projet'!$A$61:$I$81,5,0)*VLOOKUP('Données projet'!$B$10,Paramètres!$A$1:$I$89,7,0))</f>
        <v>0.30099999999999999</v>
      </c>
      <c r="AS135" s="16">
        <f>IF(ISNA(VLOOKUP(A135,'Données projet'!$A$61:$I$81,6,0)),0%,VLOOKUP(A135,'Données projet'!$A$61:$I$81,6,0)*VLOOKUP('Données projet'!$B$10,Paramètres!$A$1:$I$89,7,0))</f>
        <v>4.3000000000000003E-2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46.437258989857895</v>
      </c>
      <c r="AV135" s="21">
        <f>EXP(-LN(2)/25)*AV134+(1-EXP(-LN(2)/25))/(LN(2)/25)*Calculateur!AQ135*Calculateur!AS135*VLOOKUP('Données projet'!$B$10,Paramètres!$A$1:$I$89,3,0)*0.475*44/12</f>
        <v>17.331326469096485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63.768585458954377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-4.1677594708744434E-14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464.3681853739115</v>
      </c>
      <c r="BJ135" s="59">
        <f t="shared" si="146"/>
        <v>272.97841038165217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101.34988975014176</v>
      </c>
      <c r="BQ135" s="21">
        <f>EXP(-LN(2)/25)*BQ134+(1-EXP(-LN(2)/25))/(LN(2)/25)*Calculateur!BL135*Calculateur!BN135*VLOOKUP('Données projet'!$B$11,Paramètres!$A$1:$I$89,3,0)*0.475*44/12</f>
        <v>24.167188866997467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125.51707861713922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4.4337866711430253E-14</v>
      </c>
      <c r="CA135" s="13">
        <f t="shared" si="147"/>
        <v>7.3222115536967035E-13</v>
      </c>
      <c r="CB135" s="20">
        <f t="shared" si="118"/>
        <v>1.3525069634579169E-12</v>
      </c>
      <c r="CC135" s="59">
        <f t="shared" si="119"/>
        <v>293.33333333333468</v>
      </c>
      <c r="CD135" s="59">
        <f ca="1">AVERAGE(OFFSET($CC$3,0,0,'Données projet'!$E$12+1,1))-AVERAGE(OFFSET($H$3,0,0,'Données projet'!$E$12+1,1))</f>
        <v>288.82868507674738</v>
      </c>
      <c r="CE135" s="59">
        <f t="shared" si="148"/>
        <v>283.48738729114024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19.083459877018797</v>
      </c>
      <c r="CL135" s="21">
        <f>EXP(-LN(2)/25)*CL134+(1-EXP(-LN(2)/25))/(LN(2)/25)*Calculateur!CG135*Calculateur!CI135*VLOOKUP('Données projet'!$B$12,Paramètres!$A$1:$I$89,3,0)*0.475*44/12</f>
        <v>1.6584996680663593</v>
      </c>
      <c r="CM135" s="21">
        <f>EXP(-LN(2)/2)*CM134+(1-EXP(-LN(2)/2))/(LN(2)/2)*CG135*CJ135*VLOOKUP('Données projet'!$B$12,Paramètres!$A$1:$I$89,3,0)*0.475*44/12</f>
        <v>2.4006461045583903E-8</v>
      </c>
      <c r="CN135" s="22">
        <f t="shared" si="120"/>
        <v>20.741959569091616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-2.8421709430404007E-13</v>
      </c>
      <c r="CU135" s="17">
        <f>CT135*VLOOKUP('Données projet'!$B$13,Paramètres!$A$1:$I$89,3,0)*VLOOKUP('Données projet'!$B$13,Paramètres!$A$1:$I$89,5,0)</f>
        <v>-1.8621904018800707E-13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340.49092994349405</v>
      </c>
      <c r="CZ135" s="59">
        <f t="shared" si="150"/>
        <v>331.54434271908832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35.554700303775462</v>
      </c>
      <c r="DG135" s="21">
        <f>EXP(-LN(2)/25)*DG134+(1-EXP(-LN(2)/25))/(LN(2)/25)*Calculateur!DB135*Calculateur!DD135*VLOOKUP('Données projet'!$B$13,Paramètres!$A$1:$I$89,3,0)*0.475*44/12</f>
        <v>0.79732961888990661</v>
      </c>
      <c r="DH135" s="21">
        <f>EXP(-LN(2)/2)*DH134+(1-EXP(-LN(2)/2))/(LN(2)/2)*DB135*DE135*VLOOKUP('Données projet'!$B$13,Paramètres!$A$1:$I$89,3,0)*0.475*44/12</f>
        <v>7.0757000086263988E-7</v>
      </c>
      <c r="DI135" s="22">
        <f t="shared" si="123"/>
        <v>36.352030630235369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>
        <f>VLOOKUP(A135,'Données projet'!$A$165:$I$185,2,0)</f>
        <v>419</v>
      </c>
      <c r="DM135" s="12">
        <f>VLOOKUP(A135,'Données projet'!$A$165:$I$185,9,0)</f>
        <v>7</v>
      </c>
      <c r="DN135" s="12">
        <f t="array" ref="DN135">INDEX(DM:DM,MIN(IF(ISNUMBER(DM135:DM331),ROW(DM135:DM331),"")))</f>
        <v>7</v>
      </c>
      <c r="DO135" s="12">
        <f>IF('Données projet'!$A$166&gt;35,DO134+DN135-DW134,IF(A135&lt;'Données projet'!$A$166,$DL$205^A135,IF(A135='Données projet'!$A$166,'Données projet'!$B$166,DO134+DN135-DW134)))</f>
        <v>418.99999999999966</v>
      </c>
      <c r="DP135" s="17">
        <f>DO135*VLOOKUP('Données projet'!$B$14,Paramètres!$A$1:$I$89,3,0)*VLOOKUP('Données projet'!$B$14,Paramètres!$A$1:$I$89,5,0)</f>
        <v>424.8659999999997</v>
      </c>
      <c r="DQ135" s="13">
        <f t="shared" si="151"/>
        <v>96.800034612587595</v>
      </c>
      <c r="DR135" s="20">
        <f t="shared" si="124"/>
        <v>908.56834361692279</v>
      </c>
      <c r="DS135" s="59">
        <f t="shared" si="125"/>
        <v>1201.9016769502562</v>
      </c>
      <c r="DT135" s="59">
        <f ca="1">AVERAGE(OFFSET($DS$3,0,0,'Données projet'!$E$14+1,1))-AVERAGE(OFFSET($H$3,0,0,'Données projet'!$E$14+1,1))</f>
        <v>586.50020405958992</v>
      </c>
      <c r="DU135" s="59">
        <f t="shared" si="152"/>
        <v>304.44184537595294</v>
      </c>
      <c r="DV135" s="15">
        <f>IF(ISNA(VLOOKUP(A135,'Données projet'!$A$165:$I$185,3,0)),0,VLOOKUP(A135,'Données projet'!$A$165:$I$185,3,0))</f>
        <v>12</v>
      </c>
      <c r="DW135" s="15">
        <f>IF(ISNA(VLOOKUP(A135,'Données projet'!$A$165:$I$185,4,0)),0,VLOOKUP(A135,'Données projet'!$A$165:$I$185,4,0))</f>
        <v>42</v>
      </c>
      <c r="DX135" s="16">
        <f>IF(ISNA(VLOOKUP(A135,'Données projet'!$A$165:$I$185,5,0)),0%,VLOOKUP(A135,'Données projet'!$A$165:$I$185,5,0)*VLOOKUP('Données projet'!$B$14,Paramètres!$A$1:$I$89,7,0))</f>
        <v>0.30099999999999999</v>
      </c>
      <c r="DY135" s="16">
        <f>IF(ISNA(VLOOKUP(A135,'Données projet'!$A$165:$I$185,6,0)),0%,VLOOKUP(A135,'Données projet'!$A$165:$I$185,6,0)*VLOOKUP('Données projet'!$B$14,Paramètres!$A$1:$I$89,7,0))</f>
        <v>4.3000000000000003E-2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52.041755764495932</v>
      </c>
      <c r="EB135" s="21">
        <f>EXP(-LN(2)/25)*EB134+(1-EXP(-LN(2)/25))/(LN(2)/25)*Calculateur!DW135*Calculateur!DY135*VLOOKUP('Données projet'!$B$14,Paramètres!$A$1:$I$89,3,0)*0.475*44/12</f>
        <v>19.423038284332268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71.464794048828196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-4.8771653382573282E-14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536.21423347711345</v>
      </c>
      <c r="T136" s="59">
        <f t="shared" si="142"/>
        <v>312.14361830038712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143.3159969663067</v>
      </c>
      <c r="AA136" s="21">
        <f>EXP(-LN(2)/25)*AA135+(1-EXP(-LN(2)/25))/(LN(2)/25)*Calculateur!V136*Calculateur!X136*VLOOKUP('Données projet'!$B$9,Paramètres!$A$1:$I$89,3,0)*0.475*44/12</f>
        <v>33.904487335572163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177.22048430187886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7.1111111111111107</v>
      </c>
      <c r="AI136" s="13">
        <f>IF('Données projet'!$A$62&gt;35,AI135+AH136-AQ135,IF(A136&lt;'Données projet'!$A$62,$AF$205^A136,IF(A136='Données projet'!$A$62,'Données projet'!$B$62,AI135+AH136-AQ135)))</f>
        <v>384.11111111111074</v>
      </c>
      <c r="AJ136" s="13">
        <f>AI136*VLOOKUP('Données projet'!$B$10,Paramètres!$A$1:$I$89,3,0)*VLOOKUP('Données projet'!$B$10,Paramètres!$A$1:$I$89,5,0)</f>
        <v>347.54373333333297</v>
      </c>
      <c r="AK136" s="13">
        <f t="shared" si="143"/>
        <v>81.05653330221287</v>
      </c>
      <c r="AL136" s="20">
        <f t="shared" si="112"/>
        <v>746.47879772357555</v>
      </c>
      <c r="AM136" s="59">
        <f t="shared" si="113"/>
        <v>1039.8121310569088</v>
      </c>
      <c r="AN136" s="59">
        <f ca="1">AVERAGE(OFFSET($AM$3,0,0,'Données projet'!$E$10+1,1))-AVERAGE(OFFSET($H$3,0,0,'Données projet'!$E$10+1,1))</f>
        <v>528.15559695545812</v>
      </c>
      <c r="AO136" s="59">
        <f t="shared" si="144"/>
        <v>276.26988364830532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45.526652664998011</v>
      </c>
      <c r="AV136" s="21">
        <f>EXP(-LN(2)/25)*AV135+(1-EXP(-LN(2)/25))/(LN(2)/25)*Calculateur!AQ136*Calculateur!AS136*VLOOKUP('Données projet'!$B$10,Paramètres!$A$1:$I$89,3,0)*0.475*44/12</f>
        <v>16.857400435384193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62.384053100382204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-4.1677594708744434E-14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464.3681853739115</v>
      </c>
      <c r="BJ136" s="59">
        <f t="shared" si="146"/>
        <v>272.97841038165217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99.362480229470265</v>
      </c>
      <c r="BQ136" s="21">
        <f>EXP(-LN(2)/25)*BQ135+(1-EXP(-LN(2)/25))/(LN(2)/25)*Calculateur!BL136*Calculateur!BN136*VLOOKUP('Données projet'!$B$11,Paramètres!$A$1:$I$89,3,0)*0.475*44/12</f>
        <v>23.506335816532193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122.86881604600245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4.4337866711430253E-14</v>
      </c>
      <c r="CA136" s="13">
        <f t="shared" si="147"/>
        <v>7.3222115536967035E-13</v>
      </c>
      <c r="CB136" s="20">
        <f t="shared" si="118"/>
        <v>1.3525069634579169E-12</v>
      </c>
      <c r="CC136" s="59">
        <f t="shared" si="119"/>
        <v>293.33333333333468</v>
      </c>
      <c r="CD136" s="59">
        <f ca="1">AVERAGE(OFFSET($CC$3,0,0,'Données projet'!$E$12+1,1))-AVERAGE(OFFSET($H$3,0,0,'Données projet'!$E$12+1,1))</f>
        <v>288.82868507674738</v>
      </c>
      <c r="CE136" s="59">
        <f t="shared" si="148"/>
        <v>283.48738729114024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18.709244868591654</v>
      </c>
      <c r="CL136" s="21">
        <f>EXP(-LN(2)/25)*CL135+(1-EXP(-LN(2)/25))/(LN(2)/25)*Calculateur!CG136*Calculateur!CI136*VLOOKUP('Données projet'!$B$12,Paramètres!$A$1:$I$89,3,0)*0.475*44/12</f>
        <v>1.6131479074263777</v>
      </c>
      <c r="CM136" s="21">
        <f>EXP(-LN(2)/2)*CM135+(1-EXP(-LN(2)/2))/(LN(2)/2)*CG136*CJ136*VLOOKUP('Données projet'!$B$12,Paramètres!$A$1:$I$89,3,0)*0.475*44/12</f>
        <v>1.6975131397623074E-8</v>
      </c>
      <c r="CN136" s="22">
        <f t="shared" si="120"/>
        <v>20.322392792993163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-2.8421709430404007E-13</v>
      </c>
      <c r="CU136" s="17">
        <f>CT136*VLOOKUP('Données projet'!$B$13,Paramètres!$A$1:$I$89,3,0)*VLOOKUP('Données projet'!$B$13,Paramètres!$A$1:$I$89,5,0)</f>
        <v>-1.8621904018800707E-13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340.49092994349405</v>
      </c>
      <c r="CZ136" s="59">
        <f t="shared" si="150"/>
        <v>331.54434271908832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34.857494317044271</v>
      </c>
      <c r="DG136" s="21">
        <f>EXP(-LN(2)/25)*DG135+(1-EXP(-LN(2)/25))/(LN(2)/25)*Calculateur!DB136*Calculateur!DD136*VLOOKUP('Données projet'!$B$13,Paramètres!$A$1:$I$89,3,0)*0.475*44/12</f>
        <v>0.77552659853161976</v>
      </c>
      <c r="DH136" s="21">
        <f>EXP(-LN(2)/2)*DH135+(1-EXP(-LN(2)/2))/(LN(2)/2)*DB136*DE136*VLOOKUP('Données projet'!$B$13,Paramètres!$A$1:$I$89,3,0)*0.475*44/12</f>
        <v>5.0032754577414393E-7</v>
      </c>
      <c r="DI136" s="22">
        <f t="shared" si="123"/>
        <v>35.633021415903436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7.1111111111111107</v>
      </c>
      <c r="DO136" s="12">
        <f>IF('Données projet'!$A$166&gt;35,DO135+DN136-DW135,IF(A136&lt;'Données projet'!$A$166,$DL$205^A136,IF(A136='Données projet'!$A$166,'Données projet'!$B$166,DO135+DN136-DW135)))</f>
        <v>384.11111111111074</v>
      </c>
      <c r="DP136" s="17">
        <f>DO136*VLOOKUP('Données projet'!$B$14,Paramètres!$A$1:$I$89,3,0)*VLOOKUP('Données projet'!$B$14,Paramètres!$A$1:$I$89,5,0)</f>
        <v>389.48866666666629</v>
      </c>
      <c r="DQ136" s="13">
        <f t="shared" si="151"/>
        <v>89.642362211411609</v>
      </c>
      <c r="DR136" s="20">
        <f t="shared" si="124"/>
        <v>834.4865419626525</v>
      </c>
      <c r="DS136" s="59">
        <f t="shared" si="125"/>
        <v>1127.8198752959859</v>
      </c>
      <c r="DT136" s="59">
        <f ca="1">AVERAGE(OFFSET($DS$3,0,0,'Données projet'!$E$14+1,1))-AVERAGE(OFFSET($H$3,0,0,'Données projet'!$E$14+1,1))</f>
        <v>586.50020405958992</v>
      </c>
      <c r="DU136" s="59">
        <f t="shared" si="152"/>
        <v>304.44184537595294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51.021248676290888</v>
      </c>
      <c r="EB136" s="21">
        <f>EXP(-LN(2)/25)*EB135+(1-EXP(-LN(2)/25))/(LN(2)/25)*Calculateur!DW136*Calculateur!DY136*VLOOKUP('Données projet'!$B$14,Paramètres!$A$1:$I$89,3,0)*0.475*44/12</f>
        <v>18.891914281034012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69.9131629573249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-4.8771653382573282E-14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536.21423347711345</v>
      </c>
      <c r="T137" s="59">
        <f t="shared" si="142"/>
        <v>312.14361830038712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140.50565767992416</v>
      </c>
      <c r="AA137" s="21">
        <f>EXP(-LN(2)/25)*AA136+(1-EXP(-LN(2)/25))/(LN(2)/25)*Calculateur!V137*Calculateur!X137*VLOOKUP('Données projet'!$B$9,Paramètres!$A$1:$I$89,3,0)*0.475*44/12</f>
        <v>32.977367346421445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173.48302502634562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7.1111111111111107</v>
      </c>
      <c r="AI137" s="13">
        <f>IF('Données projet'!$A$62&gt;35,AI136+AH137-AQ136,IF(A137&lt;'Données projet'!$A$62,$AF$205^A137,IF(A137='Données projet'!$A$62,'Données projet'!$B$62,AI136+AH137-AQ136)))</f>
        <v>391.22222222222183</v>
      </c>
      <c r="AJ137" s="13">
        <f>AI137*VLOOKUP('Données projet'!$B$10,Paramètres!$A$1:$I$89,3,0)*VLOOKUP('Données projet'!$B$10,Paramètres!$A$1:$I$89,5,0)</f>
        <v>353.97786666666627</v>
      </c>
      <c r="AK137" s="13">
        <f t="shared" si="143"/>
        <v>82.381055781393044</v>
      </c>
      <c r="AL137" s="20">
        <f t="shared" si="112"/>
        <v>759.99178993037003</v>
      </c>
      <c r="AM137" s="59">
        <f t="shared" si="113"/>
        <v>1053.3251232637033</v>
      </c>
      <c r="AN137" s="59">
        <f ca="1">AVERAGE(OFFSET($AM$3,0,0,'Données projet'!$E$10+1,1))-AVERAGE(OFFSET($H$3,0,0,'Données projet'!$E$10+1,1))</f>
        <v>528.15559695545812</v>
      </c>
      <c r="AO137" s="59">
        <f t="shared" si="144"/>
        <v>276.26988364830532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44.633902774753615</v>
      </c>
      <c r="AV137" s="21">
        <f>EXP(-LN(2)/25)*AV136+(1-EXP(-LN(2)/25))/(LN(2)/25)*Calculateur!AQ137*Calculateur!AS137*VLOOKUP('Données projet'!$B$10,Paramètres!$A$1:$I$89,3,0)*0.475*44/12</f>
        <v>16.396433933986451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61.030336708740066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-4.1677594708744434E-14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464.3681853739115</v>
      </c>
      <c r="BJ137" s="59">
        <f t="shared" si="146"/>
        <v>272.97841038165217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97.41404259729903</v>
      </c>
      <c r="BQ137" s="21">
        <f>EXP(-LN(2)/25)*BQ136+(1-EXP(-LN(2)/25))/(LN(2)/25)*Calculateur!BL137*Calculateur!BN137*VLOOKUP('Données projet'!$B$11,Paramètres!$A$1:$I$89,3,0)*0.475*44/12</f>
        <v>22.863553827484644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120.27759642478367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4.4337866711430253E-14</v>
      </c>
      <c r="CA137" s="13">
        <f t="shared" si="147"/>
        <v>7.3222115536967035E-13</v>
      </c>
      <c r="CB137" s="20">
        <f t="shared" si="118"/>
        <v>1.3525069634579169E-12</v>
      </c>
      <c r="CC137" s="59">
        <f t="shared" si="119"/>
        <v>293.33333333333468</v>
      </c>
      <c r="CD137" s="59">
        <f ca="1">AVERAGE(OFFSET($CC$3,0,0,'Données projet'!$E$12+1,1))-AVERAGE(OFFSET($H$3,0,0,'Données projet'!$E$12+1,1))</f>
        <v>288.82868507674738</v>
      </c>
      <c r="CE137" s="59">
        <f t="shared" si="148"/>
        <v>283.48738729114024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18.34236798823115</v>
      </c>
      <c r="CL137" s="21">
        <f>EXP(-LN(2)/25)*CL136+(1-EXP(-LN(2)/25))/(LN(2)/25)*Calculateur!CG137*Calculateur!CI137*VLOOKUP('Données projet'!$B$12,Paramètres!$A$1:$I$89,3,0)*0.475*44/12</f>
        <v>1.5690362930660418</v>
      </c>
      <c r="CM137" s="21">
        <f>EXP(-LN(2)/2)*CM136+(1-EXP(-LN(2)/2))/(LN(2)/2)*CG137*CJ137*VLOOKUP('Données projet'!$B$12,Paramètres!$A$1:$I$89,3,0)*0.475*44/12</f>
        <v>1.2003230522791952E-8</v>
      </c>
      <c r="CN137" s="22">
        <f t="shared" si="120"/>
        <v>19.911404293300421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-2.8421709430404007E-13</v>
      </c>
      <c r="CU137" s="17">
        <f>CT137*VLOOKUP('Données projet'!$B$13,Paramètres!$A$1:$I$89,3,0)*VLOOKUP('Données projet'!$B$13,Paramètres!$A$1:$I$89,5,0)</f>
        <v>-1.8621904018800707E-13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340.49092994349405</v>
      </c>
      <c r="CZ137" s="59">
        <f t="shared" si="150"/>
        <v>331.54434271908832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34.17396011445922</v>
      </c>
      <c r="DG137" s="21">
        <f>EXP(-LN(2)/25)*DG136+(1-EXP(-LN(2)/25))/(LN(2)/25)*Calculateur!DB137*Calculateur!DD137*VLOOKUP('Données projet'!$B$13,Paramètres!$A$1:$I$89,3,0)*0.475*44/12</f>
        <v>0.75431978291160129</v>
      </c>
      <c r="DH137" s="21">
        <f>EXP(-LN(2)/2)*DH136+(1-EXP(-LN(2)/2))/(LN(2)/2)*DB137*DE137*VLOOKUP('Données projet'!$B$13,Paramètres!$A$1:$I$89,3,0)*0.475*44/12</f>
        <v>3.5378500043131994E-7</v>
      </c>
      <c r="DI137" s="22">
        <f t="shared" si="123"/>
        <v>34.928280251155819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7.1111111111111107</v>
      </c>
      <c r="DO137" s="12">
        <f>IF('Données projet'!$A$166&gt;35,DO136+DN137-DW136,IF(A137&lt;'Données projet'!$A$166,$DL$205^A137,IF(A137='Données projet'!$A$166,'Données projet'!$B$166,DO136+DN137-DW136)))</f>
        <v>391.22222222222183</v>
      </c>
      <c r="DP137" s="17">
        <f>DO137*VLOOKUP('Données projet'!$B$14,Paramètres!$A$1:$I$89,3,0)*VLOOKUP('Données projet'!$B$14,Paramètres!$A$1:$I$89,5,0)</f>
        <v>396.69933333333296</v>
      </c>
      <c r="DQ137" s="13">
        <f t="shared" si="151"/>
        <v>91.107183355354991</v>
      </c>
      <c r="DR137" s="20">
        <f t="shared" si="124"/>
        <v>849.59634989946483</v>
      </c>
      <c r="DS137" s="59">
        <f t="shared" si="125"/>
        <v>1142.9296832327982</v>
      </c>
      <c r="DT137" s="59">
        <f ca="1">AVERAGE(OFFSET($DS$3,0,0,'Données projet'!$E$14+1,1))-AVERAGE(OFFSET($H$3,0,0,'Données projet'!$E$14+1,1))</f>
        <v>586.50020405958992</v>
      </c>
      <c r="DU137" s="59">
        <f t="shared" si="152"/>
        <v>304.44184537595294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50.020753109637681</v>
      </c>
      <c r="EB137" s="21">
        <f>EXP(-LN(2)/25)*EB136+(1-EXP(-LN(2)/25))/(LN(2)/25)*Calculateur!DW137*Calculateur!DY137*VLOOKUP('Données projet'!$B$14,Paramètres!$A$1:$I$89,3,0)*0.475*44/12</f>
        <v>18.375313891536543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68.396067001174231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-4.8771653382573282E-14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536.21423347711345</v>
      </c>
      <c r="T138" s="59">
        <f t="shared" si="142"/>
        <v>312.14361830038712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137.75042743280986</v>
      </c>
      <c r="AA138" s="21">
        <f>EXP(-LN(2)/25)*AA137+(1-EXP(-LN(2)/25))/(LN(2)/25)*Calculateur!V138*Calculateur!X138*VLOOKUP('Données projet'!$B$9,Paramètres!$A$1:$I$89,3,0)*0.475*44/12</f>
        <v>32.075599502129172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169.82602693493902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7.1111111111111107</v>
      </c>
      <c r="AI138" s="13">
        <f>IF('Données projet'!$A$62&gt;35,AI137+AH138-AQ137,IF(A138&lt;'Données projet'!$A$62,$AF$205^A138,IF(A138='Données projet'!$A$62,'Données projet'!$B$62,AI137+AH138-AQ137)))</f>
        <v>398.33333333333292</v>
      </c>
      <c r="AJ138" s="13">
        <f>AI138*VLOOKUP('Données projet'!$B$10,Paramètres!$A$1:$I$89,3,0)*VLOOKUP('Données projet'!$B$10,Paramètres!$A$1:$I$89,5,0)</f>
        <v>360.41199999999964</v>
      </c>
      <c r="AK138" s="13">
        <f t="shared" si="143"/>
        <v>83.70277868501104</v>
      </c>
      <c r="AL138" s="20">
        <f t="shared" si="112"/>
        <v>773.49990620972676</v>
      </c>
      <c r="AM138" s="59">
        <f t="shared" si="113"/>
        <v>1066.83323954306</v>
      </c>
      <c r="AN138" s="59">
        <f ca="1">AVERAGE(OFFSET($AM$3,0,0,'Données projet'!$E$10+1,1))-AVERAGE(OFFSET($H$3,0,0,'Données projet'!$E$10+1,1))</f>
        <v>528.15559695545812</v>
      </c>
      <c r="AO138" s="59">
        <f t="shared" si="144"/>
        <v>276.26988364830532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43.758659165333242</v>
      </c>
      <c r="AV138" s="21">
        <f>EXP(-LN(2)/25)*AV137+(1-EXP(-LN(2)/25))/(LN(2)/25)*Calculateur!AQ138*Calculateur!AS138*VLOOKUP('Données projet'!$B$10,Paramètres!$A$1:$I$89,3,0)*0.475*44/12</f>
        <v>15.948072585810605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59.706731751143849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-4.1677594708744434E-14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464.3681853739115</v>
      </c>
      <c r="BJ138" s="59">
        <f t="shared" si="146"/>
        <v>272.97841038165217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95.503812638665067</v>
      </c>
      <c r="BQ138" s="21">
        <f>EXP(-LN(2)/25)*BQ137+(1-EXP(-LN(2)/25))/(LN(2)/25)*Calculateur!BL138*Calculateur!BN138*VLOOKUP('Données projet'!$B$11,Paramètres!$A$1:$I$89,3,0)*0.475*44/12</f>
        <v>22.238348745730036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117.7421613843951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4.4337866711430253E-14</v>
      </c>
      <c r="CA138" s="13">
        <f t="shared" si="147"/>
        <v>7.3222115536967035E-13</v>
      </c>
      <c r="CB138" s="20">
        <f t="shared" si="118"/>
        <v>1.3525069634579169E-12</v>
      </c>
      <c r="CC138" s="59">
        <f t="shared" si="119"/>
        <v>293.33333333333468</v>
      </c>
      <c r="CD138" s="59">
        <f ca="1">AVERAGE(OFFSET($CC$3,0,0,'Données projet'!$E$12+1,1))-AVERAGE(OFFSET($H$3,0,0,'Données projet'!$E$12+1,1))</f>
        <v>288.82868507674738</v>
      </c>
      <c r="CE138" s="59">
        <f t="shared" si="148"/>
        <v>283.48738729114024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17.982685339721712</v>
      </c>
      <c r="CL138" s="21">
        <f>EXP(-LN(2)/25)*CL137+(1-EXP(-LN(2)/25))/(LN(2)/25)*Calculateur!CG138*Calculateur!CI138*VLOOKUP('Données projet'!$B$12,Paramètres!$A$1:$I$89,3,0)*0.475*44/12</f>
        <v>1.5261309131201182</v>
      </c>
      <c r="CM138" s="21">
        <f>EXP(-LN(2)/2)*CM137+(1-EXP(-LN(2)/2))/(LN(2)/2)*CG138*CJ138*VLOOKUP('Données projet'!$B$12,Paramètres!$A$1:$I$89,3,0)*0.475*44/12</f>
        <v>8.4875656988115368E-9</v>
      </c>
      <c r="CN138" s="22">
        <f t="shared" si="120"/>
        <v>19.508816261329393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-2.8421709430404007E-13</v>
      </c>
      <c r="CU138" s="17">
        <f>CT138*VLOOKUP('Données projet'!$B$13,Paramètres!$A$1:$I$89,3,0)*VLOOKUP('Données projet'!$B$13,Paramètres!$A$1:$I$89,5,0)</f>
        <v>-1.8621904018800707E-13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340.49092994349405</v>
      </c>
      <c r="CZ138" s="59">
        <f t="shared" si="150"/>
        <v>331.54434271908832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33.503829600672162</v>
      </c>
      <c r="DG138" s="21">
        <f>EXP(-LN(2)/25)*DG137+(1-EXP(-LN(2)/25))/(LN(2)/25)*Calculateur!DB138*Calculateur!DD138*VLOOKUP('Données projet'!$B$13,Paramètres!$A$1:$I$89,3,0)*0.475*44/12</f>
        <v>0.73369286877993023</v>
      </c>
      <c r="DH138" s="21">
        <f>EXP(-LN(2)/2)*DH137+(1-EXP(-LN(2)/2))/(LN(2)/2)*DB138*DE138*VLOOKUP('Données projet'!$B$13,Paramètres!$A$1:$I$89,3,0)*0.475*44/12</f>
        <v>2.5016377288707197E-7</v>
      </c>
      <c r="DI138" s="22">
        <f t="shared" si="123"/>
        <v>34.237522719615868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7.1111111111111107</v>
      </c>
      <c r="DO138" s="12">
        <f>IF('Données projet'!$A$166&gt;35,DO137+DN138-DW137,IF(A138&lt;'Données projet'!$A$166,$DL$205^A138,IF(A138='Données projet'!$A$166,'Données projet'!$B$166,DO137+DN138-DW137)))</f>
        <v>398.33333333333292</v>
      </c>
      <c r="DP138" s="17">
        <f>DO138*VLOOKUP('Données projet'!$B$14,Paramètres!$A$1:$I$89,3,0)*VLOOKUP('Données projet'!$B$14,Paramètres!$A$1:$I$89,5,0)</f>
        <v>403.90999999999963</v>
      </c>
      <c r="DQ138" s="13">
        <f t="shared" si="151"/>
        <v>92.568908381609006</v>
      </c>
      <c r="DR138" s="20">
        <f t="shared" si="124"/>
        <v>864.70076543130153</v>
      </c>
      <c r="DS138" s="59">
        <f t="shared" si="125"/>
        <v>1158.0340987646348</v>
      </c>
      <c r="DT138" s="59">
        <f ca="1">AVERAGE(OFFSET($DS$3,0,0,'Données projet'!$E$14+1,1))-AVERAGE(OFFSET($H$3,0,0,'Données projet'!$E$14+1,1))</f>
        <v>586.50020405958992</v>
      </c>
      <c r="DU138" s="59">
        <f t="shared" si="152"/>
        <v>304.44184537595294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49.039876650804509</v>
      </c>
      <c r="EB138" s="21">
        <f>EXP(-LN(2)/25)*EB137+(1-EXP(-LN(2)/25))/(LN(2)/25)*Calculateur!DW138*Calculateur!DY138*VLOOKUP('Données projet'!$B$14,Paramètres!$A$1:$I$89,3,0)*0.475*44/12</f>
        <v>17.872839966856716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66.912716617661232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-4.8771653382573282E-14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536.21423347711345</v>
      </c>
      <c r="T139" s="59">
        <f t="shared" si="142"/>
        <v>312.14361830038712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135.04922557031696</v>
      </c>
      <c r="AA139" s="21">
        <f>EXP(-LN(2)/25)*AA138+(1-EXP(-LN(2)/25))/(LN(2)/25)*Calculateur!V139*Calculateur!X139*VLOOKUP('Données projet'!$B$9,Paramètres!$A$1:$I$89,3,0)*0.475*44/12</f>
        <v>31.198490546960983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166.24771611727795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7.1111111111111107</v>
      </c>
      <c r="AI139" s="13">
        <f>IF('Données projet'!$A$62&gt;35,AI138+AH139-AQ138,IF(A139&lt;'Données projet'!$A$62,$AF$205^A139,IF(A139='Données projet'!$A$62,'Données projet'!$B$62,AI138+AH139-AQ138)))</f>
        <v>405.444444444444</v>
      </c>
      <c r="AJ139" s="13">
        <f>AI139*VLOOKUP('Données projet'!$B$10,Paramètres!$A$1:$I$89,3,0)*VLOOKUP('Données projet'!$B$10,Paramètres!$A$1:$I$89,5,0)</f>
        <v>366.84613333333294</v>
      </c>
      <c r="AK139" s="13">
        <f t="shared" si="143"/>
        <v>85.021757757075406</v>
      </c>
      <c r="AL139" s="20">
        <f t="shared" si="112"/>
        <v>787.00324364912785</v>
      </c>
      <c r="AM139" s="59">
        <f t="shared" si="113"/>
        <v>1080.3365769824611</v>
      </c>
      <c r="AN139" s="59">
        <f ca="1">AVERAGE(OFFSET($AM$3,0,0,'Données projet'!$E$10+1,1))-AVERAGE(OFFSET($H$3,0,0,'Données projet'!$E$10+1,1))</f>
        <v>528.15559695545812</v>
      </c>
      <c r="AO139" s="59">
        <f t="shared" si="144"/>
        <v>276.26988364830532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42.900578549247712</v>
      </c>
      <c r="AV139" s="21">
        <f>EXP(-LN(2)/25)*AV138+(1-EXP(-LN(2)/25))/(LN(2)/25)*Calculateur!AQ139*Calculateur!AS139*VLOOKUP('Données projet'!$B$10,Paramètres!$A$1:$I$89,3,0)*0.475*44/12</f>
        <v>15.511971702278927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58.412550251526639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-4.1677594708744434E-14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464.3681853739115</v>
      </c>
      <c r="BJ139" s="59">
        <f t="shared" si="146"/>
        <v>272.97841038165217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93.631041124394685</v>
      </c>
      <c r="BQ139" s="21">
        <f>EXP(-LN(2)/25)*BQ138+(1-EXP(-LN(2)/25))/(LN(2)/25)*Calculateur!BL139*Calculateur!BN139*VLOOKUP('Données projet'!$B$11,Paramètres!$A$1:$I$89,3,0)*0.475*44/12</f>
        <v>21.630239929814113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115.26128105420879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4.4337866711430253E-14</v>
      </c>
      <c r="CA139" s="13">
        <f t="shared" si="147"/>
        <v>7.3222115536967035E-13</v>
      </c>
      <c r="CB139" s="20">
        <f t="shared" si="118"/>
        <v>1.3525069634579169E-12</v>
      </c>
      <c r="CC139" s="59">
        <f t="shared" si="119"/>
        <v>293.33333333333468</v>
      </c>
      <c r="CD139" s="59">
        <f ca="1">AVERAGE(OFFSET($CC$3,0,0,'Données projet'!$E$12+1,1))-AVERAGE(OFFSET($H$3,0,0,'Données projet'!$E$12+1,1))</f>
        <v>288.82868507674738</v>
      </c>
      <c r="CE139" s="59">
        <f t="shared" si="148"/>
        <v>283.48738729114024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17.63005584856479</v>
      </c>
      <c r="CL139" s="21">
        <f>EXP(-LN(2)/25)*CL138+(1-EXP(-LN(2)/25))/(LN(2)/25)*Calculateur!CG139*Calculateur!CI139*VLOOKUP('Données projet'!$B$12,Paramètres!$A$1:$I$89,3,0)*0.475*44/12</f>
        <v>1.4843987830451117</v>
      </c>
      <c r="CM139" s="21">
        <f>EXP(-LN(2)/2)*CM138+(1-EXP(-LN(2)/2))/(LN(2)/2)*CG139*CJ139*VLOOKUP('Données projet'!$B$12,Paramètres!$A$1:$I$89,3,0)*0.475*44/12</f>
        <v>6.0016152613959758E-9</v>
      </c>
      <c r="CN139" s="22">
        <f t="shared" si="120"/>
        <v>19.114454637611519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-2.8421709430404007E-13</v>
      </c>
      <c r="CU139" s="17">
        <f>CT139*VLOOKUP('Données projet'!$B$13,Paramètres!$A$1:$I$89,3,0)*VLOOKUP('Données projet'!$B$13,Paramètres!$A$1:$I$89,5,0)</f>
        <v>-1.8621904018800707E-13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340.49092994349405</v>
      </c>
      <c r="CZ139" s="59">
        <f t="shared" si="150"/>
        <v>331.54434271908832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32.846839937521217</v>
      </c>
      <c r="DG139" s="21">
        <f>EXP(-LN(2)/25)*DG138+(1-EXP(-LN(2)/25))/(LN(2)/25)*Calculateur!DB139*Calculateur!DD139*VLOOKUP('Données projet'!$B$13,Paramètres!$A$1:$I$89,3,0)*0.475*44/12</f>
        <v>0.71362999869991195</v>
      </c>
      <c r="DH139" s="21">
        <f>EXP(-LN(2)/2)*DH138+(1-EXP(-LN(2)/2))/(LN(2)/2)*DB139*DE139*VLOOKUP('Données projet'!$B$13,Paramètres!$A$1:$I$89,3,0)*0.475*44/12</f>
        <v>1.7689250021565997E-7</v>
      </c>
      <c r="DI139" s="22">
        <f t="shared" si="123"/>
        <v>33.560470113113631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7.1111111111111107</v>
      </c>
      <c r="DO139" s="12">
        <f>IF('Données projet'!$A$166&gt;35,DO138+DN139-DW138,IF(A139&lt;'Données projet'!$A$166,$DL$205^A139,IF(A139='Données projet'!$A$166,'Données projet'!$B$166,DO138+DN139-DW138)))</f>
        <v>405.444444444444</v>
      </c>
      <c r="DP139" s="17">
        <f>DO139*VLOOKUP('Données projet'!$B$14,Paramètres!$A$1:$I$89,3,0)*VLOOKUP('Données projet'!$B$14,Paramètres!$A$1:$I$89,5,0)</f>
        <v>411.12066666666624</v>
      </c>
      <c r="DQ139" s="13">
        <f t="shared" si="151"/>
        <v>94.027598938808595</v>
      </c>
      <c r="DR139" s="20">
        <f t="shared" si="124"/>
        <v>879.79989592953541</v>
      </c>
      <c r="DS139" s="59">
        <f t="shared" si="125"/>
        <v>1173.1332292628688</v>
      </c>
      <c r="DT139" s="59">
        <f ca="1">AVERAGE(OFFSET($DS$3,0,0,'Données projet'!$E$14+1,1))-AVERAGE(OFFSET($H$3,0,0,'Données projet'!$E$14+1,1))</f>
        <v>586.50020405958992</v>
      </c>
      <c r="DU139" s="59">
        <f t="shared" si="152"/>
        <v>304.44184537595294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48.078234581053486</v>
      </c>
      <c r="EB139" s="21">
        <f>EXP(-LN(2)/25)*EB138+(1-EXP(-LN(2)/25))/(LN(2)/25)*Calculateur!DW139*Calculateur!DY139*VLOOKUP('Données projet'!$B$14,Paramètres!$A$1:$I$89,3,0)*0.475*44/12</f>
        <v>17.384106218071214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65.462340799124703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-4.8771653382573282E-14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536.21423347711345</v>
      </c>
      <c r="T140" s="59">
        <f t="shared" si="142"/>
        <v>312.14361830038712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132.40099262877709</v>
      </c>
      <c r="AA140" s="21">
        <f>EXP(-LN(2)/25)*AA139+(1-EXP(-LN(2)/25))/(LN(2)/25)*Calculateur!V140*Calculateur!X140*VLOOKUP('Données projet'!$B$9,Paramètres!$A$1:$I$89,3,0)*0.475*44/12</f>
        <v>30.34536618229702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162.74635881107412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7.1111111111111107</v>
      </c>
      <c r="AI140" s="13">
        <f>IF('Données projet'!$A$62&gt;35,AI139+AH140-AQ139,IF(A140&lt;'Données projet'!$A$62,$AF$205^A140,IF(A140='Données projet'!$A$62,'Données projet'!$B$62,AI139+AH140-AQ139)))</f>
        <v>412.55555555555509</v>
      </c>
      <c r="AJ140" s="13">
        <f>AI140*VLOOKUP('Données projet'!$B$10,Paramètres!$A$1:$I$89,3,0)*VLOOKUP('Données projet'!$B$10,Paramètres!$A$1:$I$89,5,0)</f>
        <v>373.28026666666625</v>
      </c>
      <c r="AK140" s="13">
        <f t="shared" si="143"/>
        <v>86.338046674190522</v>
      </c>
      <c r="AL140" s="20">
        <f t="shared" si="112"/>
        <v>800.50189573532555</v>
      </c>
      <c r="AM140" s="59">
        <f t="shared" si="113"/>
        <v>1093.8352290686589</v>
      </c>
      <c r="AN140" s="59">
        <f ca="1">AVERAGE(OFFSET($AM$3,0,0,'Données projet'!$E$10+1,1))-AVERAGE(OFFSET($H$3,0,0,'Données projet'!$E$10+1,1))</f>
        <v>528.15559695545812</v>
      </c>
      <c r="AO140" s="59">
        <f t="shared" si="144"/>
        <v>276.26988364830532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42.059324370666126</v>
      </c>
      <c r="AV140" s="21">
        <f>EXP(-LN(2)/25)*AV139+(1-EXP(-LN(2)/25))/(LN(2)/25)*Calculateur!AQ140*Calculateur!AS140*VLOOKUP('Données projet'!$B$10,Paramètres!$A$1:$I$89,3,0)*0.475*44/12</f>
        <v>15.087796020340971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57.147120391007093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-4.1677594708744434E-14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464.3681853739115</v>
      </c>
      <c r="BJ140" s="59">
        <f t="shared" si="146"/>
        <v>272.97841038165217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91.794993517241309</v>
      </c>
      <c r="BQ140" s="21">
        <f>EXP(-LN(2)/25)*BQ139+(1-EXP(-LN(2)/25))/(LN(2)/25)*Calculateur!BL140*Calculateur!BN140*VLOOKUP('Données projet'!$B$11,Paramètres!$A$1:$I$89,3,0)*0.475*44/12</f>
        <v>21.038759881448463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112.83375339868977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4.4337866711430253E-14</v>
      </c>
      <c r="CA140" s="13">
        <f t="shared" si="147"/>
        <v>7.3222115536967035E-13</v>
      </c>
      <c r="CB140" s="20">
        <f t="shared" si="118"/>
        <v>1.3525069634579169E-12</v>
      </c>
      <c r="CC140" s="59">
        <f t="shared" si="119"/>
        <v>293.33333333333468</v>
      </c>
      <c r="CD140" s="59">
        <f ca="1">AVERAGE(OFFSET($CC$3,0,0,'Données projet'!$E$12+1,1))-AVERAGE(OFFSET($H$3,0,0,'Données projet'!$E$12+1,1))</f>
        <v>288.82868507674738</v>
      </c>
      <c r="CE140" s="59">
        <f t="shared" si="148"/>
        <v>283.48738729114024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17.284341206646705</v>
      </c>
      <c r="CL140" s="21">
        <f>EXP(-LN(2)/25)*CL139+(1-EXP(-LN(2)/25))/(LN(2)/25)*Calculateur!CG140*Calculateur!CI140*VLOOKUP('Données projet'!$B$12,Paramètres!$A$1:$I$89,3,0)*0.475*44/12</f>
        <v>1.4438078202616038</v>
      </c>
      <c r="CM140" s="21">
        <f>EXP(-LN(2)/2)*CM139+(1-EXP(-LN(2)/2))/(LN(2)/2)*CG140*CJ140*VLOOKUP('Données projet'!$B$12,Paramètres!$A$1:$I$89,3,0)*0.475*44/12</f>
        <v>4.2437828494057684E-9</v>
      </c>
      <c r="CN140" s="22">
        <f t="shared" si="120"/>
        <v>18.728149031152093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-2.8421709430404007E-13</v>
      </c>
      <c r="CU140" s="17">
        <f>CT140*VLOOKUP('Données projet'!$B$13,Paramètres!$A$1:$I$89,3,0)*VLOOKUP('Données projet'!$B$13,Paramètres!$A$1:$I$89,5,0)</f>
        <v>-1.8621904018800707E-13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340.49092994349405</v>
      </c>
      <c r="CZ140" s="59">
        <f t="shared" si="150"/>
        <v>331.54434271908832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32.202733440940534</v>
      </c>
      <c r="DG140" s="21">
        <f>EXP(-LN(2)/25)*DG139+(1-EXP(-LN(2)/25))/(LN(2)/25)*Calculateur!DB140*Calculateur!DD140*VLOOKUP('Données projet'!$B$13,Paramètres!$A$1:$I$89,3,0)*0.475*44/12</f>
        <v>0.69411574885729221</v>
      </c>
      <c r="DH140" s="21">
        <f>EXP(-LN(2)/2)*DH139+(1-EXP(-LN(2)/2))/(LN(2)/2)*DB140*DE140*VLOOKUP('Données projet'!$B$13,Paramètres!$A$1:$I$89,3,0)*0.475*44/12</f>
        <v>1.2508188644353598E-7</v>
      </c>
      <c r="DI140" s="22">
        <f t="shared" si="123"/>
        <v>32.896849314879717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7.1111111111111107</v>
      </c>
      <c r="DO140" s="12">
        <f>IF('Données projet'!$A$166&gt;35,DO139+DN140-DW139,IF(A140&lt;'Données projet'!$A$166,$DL$205^A140,IF(A140='Données projet'!$A$166,'Données projet'!$B$166,DO139+DN140-DW139)))</f>
        <v>412.55555555555509</v>
      </c>
      <c r="DP140" s="17">
        <f>DO140*VLOOKUP('Données projet'!$B$14,Paramètres!$A$1:$I$89,3,0)*VLOOKUP('Données projet'!$B$14,Paramètres!$A$1:$I$89,5,0)</f>
        <v>418.33133333333291</v>
      </c>
      <c r="DQ140" s="13">
        <f t="shared" si="151"/>
        <v>95.483314389196252</v>
      </c>
      <c r="DR140" s="20">
        <f t="shared" si="124"/>
        <v>894.89384478340492</v>
      </c>
      <c r="DS140" s="59">
        <f t="shared" si="125"/>
        <v>1188.2271781167383</v>
      </c>
      <c r="DT140" s="59">
        <f ca="1">AVERAGE(OFFSET($DS$3,0,0,'Données projet'!$E$14+1,1))-AVERAGE(OFFSET($H$3,0,0,'Données projet'!$E$14+1,1))</f>
        <v>586.50020405958992</v>
      </c>
      <c r="DU140" s="59">
        <f t="shared" si="152"/>
        <v>304.44184537595294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47.135449725746533</v>
      </c>
      <c r="EB140" s="21">
        <f>EXP(-LN(2)/25)*EB139+(1-EXP(-LN(2)/25))/(LN(2)/25)*Calculateur!DW140*Calculateur!DY140*VLOOKUP('Données projet'!$B$14,Paramètres!$A$1:$I$89,3,0)*0.475*44/12</f>
        <v>16.908736919347643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64.044186645094172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-4.8771653382573282E-14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536.21423347711345</v>
      </c>
      <c r="T141" s="59">
        <f t="shared" si="142"/>
        <v>312.14361830038712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129.80468991995821</v>
      </c>
      <c r="AA141" s="21">
        <f>EXP(-LN(2)/25)*AA140+(1-EXP(-LN(2)/25))/(LN(2)/25)*Calculateur!V141*Calculateur!X141*VLOOKUP('Données projet'!$B$9,Paramètres!$A$1:$I$89,3,0)*0.475*44/12</f>
        <v>29.515570548248657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159.32026046820687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7.1111111111111107</v>
      </c>
      <c r="AI141" s="13">
        <f>IF('Données projet'!$A$62&gt;35,AI140+AH141-AQ140,IF(A141&lt;'Données projet'!$A$62,$AF$205^A141,IF(A141='Données projet'!$A$62,'Données projet'!$B$62,AI140+AH141-AQ140)))</f>
        <v>419.66666666666617</v>
      </c>
      <c r="AJ141" s="13">
        <f>AI141*VLOOKUP('Données projet'!$B$10,Paramètres!$A$1:$I$89,3,0)*VLOOKUP('Données projet'!$B$10,Paramètres!$A$1:$I$89,5,0)</f>
        <v>379.7143999999995</v>
      </c>
      <c r="AK141" s="13">
        <f t="shared" si="143"/>
        <v>87.65169715652047</v>
      </c>
      <c r="AL141" s="20">
        <f t="shared" si="112"/>
        <v>813.9959525476055</v>
      </c>
      <c r="AM141" s="59">
        <f t="shared" si="113"/>
        <v>1107.3292858809389</v>
      </c>
      <c r="AN141" s="59">
        <f ca="1">AVERAGE(OFFSET($AM$3,0,0,'Données projet'!$E$10+1,1))-AVERAGE(OFFSET($H$3,0,0,'Données projet'!$E$10+1,1))</f>
        <v>528.15559695545812</v>
      </c>
      <c r="AO141" s="59">
        <f t="shared" si="144"/>
        <v>276.26988364830532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41.234566673412139</v>
      </c>
      <c r="AV141" s="21">
        <f>EXP(-LN(2)/25)*AV140+(1-EXP(-LN(2)/25))/(LN(2)/25)*Calculateur!AQ141*Calculateur!AS141*VLOOKUP('Données projet'!$B$10,Paramètres!$A$1:$I$89,3,0)*0.475*44/12</f>
        <v>14.675219444732038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55.909786118144176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-4.1677594708744434E-14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464.3681853739115</v>
      </c>
      <c r="BJ141" s="59">
        <f t="shared" si="146"/>
        <v>272.97841038165217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89.994949683785762</v>
      </c>
      <c r="BQ141" s="21">
        <f>EXP(-LN(2)/25)*BQ140+(1-EXP(-LN(2)/25))/(LN(2)/25)*Calculateur!BL141*Calculateur!BN141*VLOOKUP('Données projet'!$B$11,Paramètres!$A$1:$I$89,3,0)*0.475*44/12</f>
        <v>20.463453886109956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110.45840356989572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4.4337866711430253E-14</v>
      </c>
      <c r="CA141" s="13">
        <f t="shared" si="147"/>
        <v>7.3222115536967035E-13</v>
      </c>
      <c r="CB141" s="20">
        <f t="shared" si="118"/>
        <v>1.3525069634579169E-12</v>
      </c>
      <c r="CC141" s="59">
        <f t="shared" si="119"/>
        <v>293.33333333333468</v>
      </c>
      <c r="CD141" s="59">
        <f ca="1">AVERAGE(OFFSET($CC$3,0,0,'Données projet'!$E$12+1,1))-AVERAGE(OFFSET($H$3,0,0,'Données projet'!$E$12+1,1))</f>
        <v>288.82868507674738</v>
      </c>
      <c r="CE141" s="59">
        <f t="shared" si="148"/>
        <v>283.48738729114024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16.945405817991521</v>
      </c>
      <c r="CL141" s="21">
        <f>EXP(-LN(2)/25)*CL140+(1-EXP(-LN(2)/25))/(LN(2)/25)*Calculateur!CG141*Calculateur!CI141*VLOOKUP('Données projet'!$B$12,Paramètres!$A$1:$I$89,3,0)*0.475*44/12</f>
        <v>1.4043268194899969</v>
      </c>
      <c r="CM141" s="21">
        <f>EXP(-LN(2)/2)*CM140+(1-EXP(-LN(2)/2))/(LN(2)/2)*CG141*CJ141*VLOOKUP('Données projet'!$B$12,Paramètres!$A$1:$I$89,3,0)*0.475*44/12</f>
        <v>3.0008076306979879E-9</v>
      </c>
      <c r="CN141" s="22">
        <f t="shared" si="120"/>
        <v>18.349732640482323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-2.8421709430404007E-13</v>
      </c>
      <c r="CU141" s="17">
        <f>CT141*VLOOKUP('Données projet'!$B$13,Paramètres!$A$1:$I$89,3,0)*VLOOKUP('Données projet'!$B$13,Paramètres!$A$1:$I$89,5,0)</f>
        <v>-1.8621904018800707E-13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340.49092994349405</v>
      </c>
      <c r="CZ141" s="59">
        <f t="shared" si="150"/>
        <v>331.54434271908832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31.571257479891631</v>
      </c>
      <c r="DG141" s="21">
        <f>EXP(-LN(2)/25)*DG140+(1-EXP(-LN(2)/25))/(LN(2)/25)*Calculateur!DB141*Calculateur!DD141*VLOOKUP('Données projet'!$B$13,Paramètres!$A$1:$I$89,3,0)*0.475*44/12</f>
        <v>0.67513511720282871</v>
      </c>
      <c r="DH141" s="21">
        <f>EXP(-LN(2)/2)*DH140+(1-EXP(-LN(2)/2))/(LN(2)/2)*DB141*DE141*VLOOKUP('Données projet'!$B$13,Paramètres!$A$1:$I$89,3,0)*0.475*44/12</f>
        <v>8.8446250107829984E-8</v>
      </c>
      <c r="DI141" s="22">
        <f t="shared" si="123"/>
        <v>32.246392685540712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7.1111111111111107</v>
      </c>
      <c r="DO141" s="12">
        <f>IF('Données projet'!$A$166&gt;35,DO140+DN141-DW140,IF(A141&lt;'Données projet'!$A$166,$DL$205^A141,IF(A141='Données projet'!$A$166,'Données projet'!$B$166,DO140+DN141-DW140)))</f>
        <v>419.66666666666617</v>
      </c>
      <c r="DP141" s="17">
        <f>DO141*VLOOKUP('Données projet'!$B$14,Paramètres!$A$1:$I$89,3,0)*VLOOKUP('Données projet'!$B$14,Paramètres!$A$1:$I$89,5,0)</f>
        <v>425.54199999999952</v>
      </c>
      <c r="DQ141" s="13">
        <f t="shared" si="151"/>
        <v>96.936111931340861</v>
      </c>
      <c r="DR141" s="20">
        <f t="shared" si="124"/>
        <v>909.98271161375123</v>
      </c>
      <c r="DS141" s="59">
        <f t="shared" si="125"/>
        <v>1203.3160449470845</v>
      </c>
      <c r="DT141" s="59">
        <f ca="1">AVERAGE(OFFSET($DS$3,0,0,'Données projet'!$E$14+1,1))-AVERAGE(OFFSET($H$3,0,0,'Données projet'!$E$14+1,1))</f>
        <v>586.50020405958992</v>
      </c>
      <c r="DU141" s="59">
        <f t="shared" si="152"/>
        <v>304.44184537595294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46.21115230641017</v>
      </c>
      <c r="EB141" s="21">
        <f>EXP(-LN(2)/25)*EB140+(1-EXP(-LN(2)/25))/(LN(2)/25)*Calculateur!DW141*Calculateur!DY141*VLOOKUP('Données projet'!$B$14,Paramètres!$A$1:$I$89,3,0)*0.475*44/12</f>
        <v>16.446366619096253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62.657518925506423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-4.8771653382573282E-14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536.21423347711345</v>
      </c>
      <c r="T142" s="59">
        <f t="shared" si="142"/>
        <v>312.14361830038712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127.25929912367098</v>
      </c>
      <c r="AA142" s="21">
        <f>EXP(-LN(2)/25)*AA141+(1-EXP(-LN(2)/25))/(LN(2)/25)*Calculateur!V142*Calculateur!X142*VLOOKUP('Données projet'!$B$9,Paramètres!$A$1:$I$89,3,0)*0.475*44/12</f>
        <v>28.708465719450402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155.96776484312139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7.1111111111111107</v>
      </c>
      <c r="AI142" s="13">
        <f>IF('Données projet'!$A$62&gt;35,AI141+AH142-AQ141,IF(A142&lt;'Données projet'!$A$62,$AF$205^A142,IF(A142='Données projet'!$A$62,'Données projet'!$B$62,AI141+AH142-AQ141)))</f>
        <v>426.77777777777726</v>
      </c>
      <c r="AJ142" s="13">
        <f>AI142*VLOOKUP('Données projet'!$B$10,Paramètres!$A$1:$I$89,3,0)*VLOOKUP('Données projet'!$B$10,Paramètres!$A$1:$I$89,5,0)</f>
        <v>386.14853333333286</v>
      </c>
      <c r="AK142" s="13">
        <f t="shared" si="143"/>
        <v>88.962759071019875</v>
      </c>
      <c r="AL142" s="20">
        <f t="shared" si="112"/>
        <v>827.48550093758092</v>
      </c>
      <c r="AM142" s="59">
        <f t="shared" si="113"/>
        <v>1120.8188342709143</v>
      </c>
      <c r="AN142" s="59">
        <f ca="1">AVERAGE(OFFSET($AM$3,0,0,'Données projet'!$E$10+1,1))-AVERAGE(OFFSET($H$3,0,0,'Données projet'!$E$10+1,1))</f>
        <v>528.15559695545812</v>
      </c>
      <c r="AO142" s="59">
        <f t="shared" si="144"/>
        <v>276.26988364830532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40.425981971548779</v>
      </c>
      <c r="AV142" s="21">
        <f>EXP(-LN(2)/25)*AV141+(1-EXP(-LN(2)/25))/(LN(2)/25)*Calculateur!AQ142*Calculateur!AS142*VLOOKUP('Données projet'!$B$10,Paramètres!$A$1:$I$89,3,0)*0.475*44/12</f>
        <v>14.273924797279591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54.69990676882837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-4.1677594708744434E-14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464.3681853739115</v>
      </c>
      <c r="BJ142" s="59">
        <f t="shared" si="146"/>
        <v>272.97841038165217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88.230203611985942</v>
      </c>
      <c r="BQ142" s="21">
        <f>EXP(-LN(2)/25)*BQ141+(1-EXP(-LN(2)/25))/(LN(2)/25)*Calculateur!BL142*Calculateur!BN142*VLOOKUP('Données projet'!$B$11,Paramètres!$A$1:$I$89,3,0)*0.475*44/12</f>
        <v>19.903879663468011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108.13408327545395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4.4337866711430253E-14</v>
      </c>
      <c r="CA142" s="13">
        <f t="shared" si="147"/>
        <v>7.3222115536967035E-13</v>
      </c>
      <c r="CB142" s="20">
        <f t="shared" si="118"/>
        <v>1.3525069634579169E-12</v>
      </c>
      <c r="CC142" s="59">
        <f t="shared" si="119"/>
        <v>293.33333333333468</v>
      </c>
      <c r="CD142" s="59">
        <f ca="1">AVERAGE(OFFSET($CC$3,0,0,'Données projet'!$E$12+1,1))-AVERAGE(OFFSET($H$3,0,0,'Données projet'!$E$12+1,1))</f>
        <v>288.82868507674738</v>
      </c>
      <c r="CE142" s="59">
        <f t="shared" si="148"/>
        <v>283.48738729114024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16.613116745577692</v>
      </c>
      <c r="CL142" s="21">
        <f>EXP(-LN(2)/25)*CL141+(1-EXP(-LN(2)/25))/(LN(2)/25)*Calculateur!CG142*Calculateur!CI142*VLOOKUP('Données projet'!$B$12,Paramètres!$A$1:$I$89,3,0)*0.475*44/12</f>
        <v>1.3659254287607052</v>
      </c>
      <c r="CM142" s="21">
        <f>EXP(-LN(2)/2)*CM141+(1-EXP(-LN(2)/2))/(LN(2)/2)*CG142*CJ142*VLOOKUP('Données projet'!$B$12,Paramètres!$A$1:$I$89,3,0)*0.475*44/12</f>
        <v>2.1218914247028842E-9</v>
      </c>
      <c r="CN142" s="22">
        <f t="shared" si="120"/>
        <v>17.979042176460286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-2.8421709430404007E-13</v>
      </c>
      <c r="CU142" s="17">
        <f>CT142*VLOOKUP('Données projet'!$B$13,Paramètres!$A$1:$I$89,3,0)*VLOOKUP('Données projet'!$B$13,Paramètres!$A$1:$I$89,5,0)</f>
        <v>-1.8621904018800707E-13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340.49092994349405</v>
      </c>
      <c r="CZ142" s="59">
        <f t="shared" si="150"/>
        <v>331.54434271908832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30.952164377276592</v>
      </c>
      <c r="DG142" s="21">
        <f>EXP(-LN(2)/25)*DG141+(1-EXP(-LN(2)/25))/(LN(2)/25)*Calculateur!DB142*Calculateur!DD142*VLOOKUP('Données projet'!$B$13,Paramètres!$A$1:$I$89,3,0)*0.475*44/12</f>
        <v>0.65667351191910461</v>
      </c>
      <c r="DH142" s="21">
        <f>EXP(-LN(2)/2)*DH141+(1-EXP(-LN(2)/2))/(LN(2)/2)*DB142*DE142*VLOOKUP('Données projet'!$B$13,Paramètres!$A$1:$I$89,3,0)*0.475*44/12</f>
        <v>6.2540943221767991E-8</v>
      </c>
      <c r="DI142" s="22">
        <f t="shared" si="123"/>
        <v>31.608837951736643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7.1111111111111107</v>
      </c>
      <c r="DO142" s="12">
        <f>IF('Données projet'!$A$166&gt;35,DO141+DN142-DW141,IF(A142&lt;'Données projet'!$A$166,$DL$205^A142,IF(A142='Données projet'!$A$166,'Données projet'!$B$166,DO141+DN142-DW141)))</f>
        <v>426.77777777777726</v>
      </c>
      <c r="DP142" s="17">
        <f>DO142*VLOOKUP('Données projet'!$B$14,Paramètres!$A$1:$I$89,3,0)*VLOOKUP('Données projet'!$B$14,Paramètres!$A$1:$I$89,5,0)</f>
        <v>432.75266666666619</v>
      </c>
      <c r="DQ142" s="13">
        <f t="shared" si="151"/>
        <v>98.386046714302196</v>
      </c>
      <c r="DR142" s="20">
        <f t="shared" si="124"/>
        <v>925.06659247185326</v>
      </c>
      <c r="DS142" s="59">
        <f t="shared" si="125"/>
        <v>1218.3999258051865</v>
      </c>
      <c r="DT142" s="59">
        <f ca="1">AVERAGE(OFFSET($DS$3,0,0,'Données projet'!$E$14+1,1))-AVERAGE(OFFSET($H$3,0,0,'Données projet'!$E$14+1,1))</f>
        <v>586.50020405958992</v>
      </c>
      <c r="DU142" s="59">
        <f t="shared" si="152"/>
        <v>304.44184537595294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45.304979795701236</v>
      </c>
      <c r="EB142" s="21">
        <f>EXP(-LN(2)/25)*EB141+(1-EXP(-LN(2)/25))/(LN(2)/25)*Calculateur!DW142*Calculateur!DY142*VLOOKUP('Données projet'!$B$14,Paramètres!$A$1:$I$89,3,0)*0.475*44/12</f>
        <v>15.996639859020235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61.30161965472147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-4.8771653382573282E-14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536.21423347711345</v>
      </c>
      <c r="T143" s="59">
        <f t="shared" si="142"/>
        <v>312.14361830038712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124.76382188836388</v>
      </c>
      <c r="AA143" s="21">
        <f>EXP(-LN(2)/25)*AA142+(1-EXP(-LN(2)/25))/(LN(2)/25)*Calculateur!V143*Calculateur!X143*VLOOKUP('Données projet'!$B$9,Paramètres!$A$1:$I$89,3,0)*0.475*44/12</f>
        <v>27.923431214639432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152.68725310300331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7.1111111111111107</v>
      </c>
      <c r="AI143" s="13">
        <f>IF('Données projet'!$A$62&gt;35,AI142+AH143-AQ142,IF(A143&lt;'Données projet'!$A$62,$AF$205^A143,IF(A143='Données projet'!$A$62,'Données projet'!$B$62,AI142+AH143-AQ142)))</f>
        <v>433.88888888888835</v>
      </c>
      <c r="AJ143" s="13">
        <f>AI143*VLOOKUP('Données projet'!$B$10,Paramètres!$A$1:$I$89,3,0)*VLOOKUP('Données projet'!$B$10,Paramètres!$A$1:$I$89,5,0)</f>
        <v>392.58266666666617</v>
      </c>
      <c r="AK143" s="13">
        <f t="shared" si="143"/>
        <v>90.271280527588644</v>
      </c>
      <c r="AL143" s="20">
        <f t="shared" si="112"/>
        <v>840.97062469666037</v>
      </c>
      <c r="AM143" s="59">
        <f t="shared" si="113"/>
        <v>1134.3039580299937</v>
      </c>
      <c r="AN143" s="59">
        <f ca="1">AVERAGE(OFFSET($AM$3,0,0,'Données projet'!$E$10+1,1))-AVERAGE(OFFSET($H$3,0,0,'Données projet'!$E$10+1,1))</f>
        <v>528.15559695545812</v>
      </c>
      <c r="AO143" s="59">
        <f t="shared" si="144"/>
        <v>276.26988364830532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39.633253122500996</v>
      </c>
      <c r="AV143" s="21">
        <f>EXP(-LN(2)/25)*AV142+(1-EXP(-LN(2)/25))/(LN(2)/25)*Calculateur!AQ143*Calculateur!AS143*VLOOKUP('Données projet'!$B$10,Paramètres!$A$1:$I$89,3,0)*0.475*44/12</f>
        <v>13.883603573064899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53.516856695565892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-4.1677594708744434E-14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464.3681853739115</v>
      </c>
      <c r="BJ143" s="59">
        <f t="shared" si="146"/>
        <v>272.97841038165217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86.500063134265304</v>
      </c>
      <c r="BQ143" s="21">
        <f>EXP(-LN(2)/25)*BQ142+(1-EXP(-LN(2)/25))/(LN(2)/25)*Calculateur!BL143*Calculateur!BN143*VLOOKUP('Données projet'!$B$11,Paramètres!$A$1:$I$89,3,0)*0.475*44/12</f>
        <v>19.359607027370938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105.85967016163625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4.4337866711430253E-14</v>
      </c>
      <c r="CA143" s="13">
        <f t="shared" si="147"/>
        <v>7.3222115536967035E-13</v>
      </c>
      <c r="CB143" s="20">
        <f t="shared" si="118"/>
        <v>1.3525069634579169E-12</v>
      </c>
      <c r="CC143" s="59">
        <f t="shared" si="119"/>
        <v>293.33333333333468</v>
      </c>
      <c r="CD143" s="59">
        <f ca="1">AVERAGE(OFFSET($CC$3,0,0,'Données projet'!$E$12+1,1))-AVERAGE(OFFSET($H$3,0,0,'Données projet'!$E$12+1,1))</f>
        <v>288.82868507674738</v>
      </c>
      <c r="CE143" s="59">
        <f t="shared" si="148"/>
        <v>283.48738729114024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16.287343659197578</v>
      </c>
      <c r="CL143" s="21">
        <f>EXP(-LN(2)/25)*CL142+(1-EXP(-LN(2)/25))/(LN(2)/25)*Calculateur!CG143*Calculateur!CI143*VLOOKUP('Données projet'!$B$12,Paramètres!$A$1:$I$89,3,0)*0.475*44/12</f>
        <v>1.3285741260803472</v>
      </c>
      <c r="CM143" s="21">
        <f>EXP(-LN(2)/2)*CM142+(1-EXP(-LN(2)/2))/(LN(2)/2)*CG143*CJ143*VLOOKUP('Données projet'!$B$12,Paramètres!$A$1:$I$89,3,0)*0.475*44/12</f>
        <v>1.500403815348994E-9</v>
      </c>
      <c r="CN143" s="22">
        <f t="shared" si="120"/>
        <v>17.615917786778329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-2.8421709430404007E-13</v>
      </c>
      <c r="CU143" s="17">
        <f>CT143*VLOOKUP('Données projet'!$B$13,Paramètres!$A$1:$I$89,3,0)*VLOOKUP('Données projet'!$B$13,Paramètres!$A$1:$I$89,5,0)</f>
        <v>-1.8621904018800707E-13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340.49092994349405</v>
      </c>
      <c r="CZ143" s="59">
        <f t="shared" si="150"/>
        <v>331.54434271908832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30.345211312794326</v>
      </c>
      <c r="DG143" s="21">
        <f>EXP(-LN(2)/25)*DG142+(1-EXP(-LN(2)/25))/(LN(2)/25)*Calculateur!DB143*Calculateur!DD143*VLOOKUP('Données projet'!$B$13,Paramètres!$A$1:$I$89,3,0)*0.475*44/12</f>
        <v>0.63871674020271751</v>
      </c>
      <c r="DH143" s="21">
        <f>EXP(-LN(2)/2)*DH142+(1-EXP(-LN(2)/2))/(LN(2)/2)*DB143*DE143*VLOOKUP('Données projet'!$B$13,Paramètres!$A$1:$I$89,3,0)*0.475*44/12</f>
        <v>4.4223125053914992E-8</v>
      </c>
      <c r="DI143" s="22">
        <f t="shared" si="123"/>
        <v>30.983928097220168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7.1111111111111107</v>
      </c>
      <c r="DO143" s="12">
        <f>IF('Données projet'!$A$166&gt;35,DO142+DN143-DW142,IF(A143&lt;'Données projet'!$A$166,$DL$205^A143,IF(A143='Données projet'!$A$166,'Données projet'!$B$166,DO142+DN143-DW142)))</f>
        <v>433.88888888888835</v>
      </c>
      <c r="DP143" s="17">
        <f>DO143*VLOOKUP('Données projet'!$B$14,Paramètres!$A$1:$I$89,3,0)*VLOOKUP('Données projet'!$B$14,Paramètres!$A$1:$I$89,5,0)</f>
        <v>439.9633333333328</v>
      </c>
      <c r="DQ143" s="13">
        <f t="shared" si="151"/>
        <v>99.833171943971251</v>
      </c>
      <c r="DR143" s="20">
        <f t="shared" si="124"/>
        <v>940.14558002463798</v>
      </c>
      <c r="DS143" s="59">
        <f t="shared" si="125"/>
        <v>1233.4789133579714</v>
      </c>
      <c r="DT143" s="59">
        <f ca="1">AVERAGE(OFFSET($DS$3,0,0,'Données projet'!$E$14+1,1))-AVERAGE(OFFSET($H$3,0,0,'Données projet'!$E$14+1,1))</f>
        <v>586.50020405958992</v>
      </c>
      <c r="DU143" s="59">
        <f t="shared" si="152"/>
        <v>304.44184537595294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44.416576775216647</v>
      </c>
      <c r="EB143" s="21">
        <f>EXP(-LN(2)/25)*EB142+(1-EXP(-LN(2)/25))/(LN(2)/25)*Calculateur!DW143*Calculateur!DY143*VLOOKUP('Données projet'!$B$14,Paramètres!$A$1:$I$89,3,0)*0.475*44/12</f>
        <v>15.559210900848598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59.975787676065245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-4.8771653382573282E-14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536.21423347711345</v>
      </c>
      <c r="T144" s="59">
        <f t="shared" si="142"/>
        <v>312.14361830038712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122.31727943955032</v>
      </c>
      <c r="AA144" s="21">
        <f>EXP(-LN(2)/25)*AA143+(1-EXP(-LN(2)/25))/(LN(2)/25)*Calculateur!V144*Calculateur!X144*VLOOKUP('Données projet'!$B$9,Paramètres!$A$1:$I$89,3,0)*0.475*44/12</f>
        <v>27.15986351964569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149.47714295919602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>
        <f>VLOOKUP(A144,'Données projet'!$A$61:$I$81,2,0)</f>
        <v>441</v>
      </c>
      <c r="AG144" s="12">
        <f>VLOOKUP(A144,'Données projet'!$A$61:$I$81,9,0)</f>
        <v>7.1111111111111107</v>
      </c>
      <c r="AH144" s="12">
        <f t="array" ref="AH144">INDEX(AG:AG,MIN(IF(ISNUMBER(AG144:AG340),ROW(AG144:AG340),"")))</f>
        <v>7.1111111111111107</v>
      </c>
      <c r="AI144" s="13">
        <f>IF('Données projet'!$A$62&gt;35,AI143+AH144-AQ143,IF(A144&lt;'Données projet'!$A$62,$AF$205^A144,IF(A144='Données projet'!$A$62,'Données projet'!$B$62,AI143+AH144-AQ143)))</f>
        <v>440.99999999999943</v>
      </c>
      <c r="AJ144" s="13">
        <f>AI144*VLOOKUP('Données projet'!$B$10,Paramètres!$A$1:$I$89,3,0)*VLOOKUP('Données projet'!$B$10,Paramètres!$A$1:$I$89,5,0)</f>
        <v>399.01679999999948</v>
      </c>
      <c r="AK144" s="13">
        <f t="shared" si="143"/>
        <v>91.577307968744961</v>
      </c>
      <c r="AL144" s="20">
        <f t="shared" si="112"/>
        <v>854.45140471222987</v>
      </c>
      <c r="AM144" s="59">
        <f t="shared" si="113"/>
        <v>1147.7847380455632</v>
      </c>
      <c r="AN144" s="59">
        <f ca="1">AVERAGE(OFFSET($AM$3,0,0,'Données projet'!$E$10+1,1))-AVERAGE(OFFSET($H$3,0,0,'Données projet'!$E$10+1,1))</f>
        <v>528.15559695545812</v>
      </c>
      <c r="AO144" s="59">
        <f t="shared" si="144"/>
        <v>276.26988364830532</v>
      </c>
      <c r="AP144" s="15">
        <f>IF(ISNA(VLOOKUP(A144,'Données projet'!$A$61:$I$81,3,0)),0,VLOOKUP(A144,'Données projet'!$A$61:$I$81,3,0))</f>
        <v>13</v>
      </c>
      <c r="AQ144" s="15">
        <f>IF(ISNA(VLOOKUP(A144,'Données projet'!$A$61:$I$81,4,0)),0,VLOOKUP(A144,'Données projet'!$A$61:$I$81,4,0))</f>
        <v>45</v>
      </c>
      <c r="AR144" s="16">
        <f>IF(ISNA(VLOOKUP(A144,'Données projet'!$A$61:$I$81,5,0)),0%,VLOOKUP(A144,'Données projet'!$A$61:$I$81,5,0)*VLOOKUP('Données projet'!$B$10,Paramètres!$A$1:$I$89,7,0))</f>
        <v>0.30099999999999999</v>
      </c>
      <c r="AS144" s="16">
        <f>IF(ISNA(VLOOKUP(A144,'Données projet'!$A$61:$I$81,6,0)),0%,VLOOKUP(A144,'Données projet'!$A$61:$I$81,6,0)*VLOOKUP('Données projet'!$B$10,Paramètres!$A$1:$I$89,7,0))</f>
        <v>4.3000000000000003E-2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52.404179126558326</v>
      </c>
      <c r="AV144" s="21">
        <f>EXP(-LN(2)/25)*AV143+(1-EXP(-LN(2)/25))/(LN(2)/25)*Calculateur!AQ144*Calculateur!AS144*VLOOKUP('Données projet'!$B$10,Paramètres!$A$1:$I$89,3,0)*0.475*44/12</f>
        <v>15.431779396522057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67.835958523080379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-4.1677594708744434E-14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464.3681853739115</v>
      </c>
      <c r="BJ144" s="59">
        <f t="shared" si="146"/>
        <v>272.97841038165217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84.803849656031275</v>
      </c>
      <c r="BQ144" s="21">
        <f>EXP(-LN(2)/25)*BQ143+(1-EXP(-LN(2)/25))/(LN(2)/25)*Calculateur!BL144*Calculateur!BN144*VLOOKUP('Données projet'!$B$11,Paramètres!$A$1:$I$89,3,0)*0.475*44/12</f>
        <v>18.830217555129995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103.63406721116127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4.4337866711430253E-14</v>
      </c>
      <c r="CA144" s="13">
        <f t="shared" si="147"/>
        <v>7.3222115536967035E-13</v>
      </c>
      <c r="CB144" s="20">
        <f t="shared" si="118"/>
        <v>1.3525069634579169E-12</v>
      </c>
      <c r="CC144" s="59">
        <f t="shared" si="119"/>
        <v>293.33333333333468</v>
      </c>
      <c r="CD144" s="59">
        <f ca="1">AVERAGE(OFFSET($CC$3,0,0,'Données projet'!$E$12+1,1))-AVERAGE(OFFSET($H$3,0,0,'Données projet'!$E$12+1,1))</f>
        <v>288.82868507674738</v>
      </c>
      <c r="CE144" s="59">
        <f t="shared" si="148"/>
        <v>283.48738729114024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15.967958784339416</v>
      </c>
      <c r="CL144" s="21">
        <f>EXP(-LN(2)/25)*CL143+(1-EXP(-LN(2)/25))/(LN(2)/25)*Calculateur!CG144*Calculateur!CI144*VLOOKUP('Données projet'!$B$12,Paramètres!$A$1:$I$89,3,0)*0.475*44/12</f>
        <v>1.2922441967360032</v>
      </c>
      <c r="CM144" s="21">
        <f>EXP(-LN(2)/2)*CM143+(1-EXP(-LN(2)/2))/(LN(2)/2)*CG144*CJ144*VLOOKUP('Données projet'!$B$12,Paramètres!$A$1:$I$89,3,0)*0.475*44/12</f>
        <v>1.0609457123514421E-9</v>
      </c>
      <c r="CN144" s="22">
        <f t="shared" si="120"/>
        <v>17.260202982136367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-2.8421709430404007E-13</v>
      </c>
      <c r="CU144" s="17">
        <f>CT144*VLOOKUP('Données projet'!$B$13,Paramètres!$A$1:$I$89,3,0)*VLOOKUP('Données projet'!$B$13,Paramètres!$A$1:$I$89,5,0)</f>
        <v>-1.8621904018800707E-13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340.49092994349405</v>
      </c>
      <c r="CZ144" s="59">
        <f t="shared" si="150"/>
        <v>331.54434271908832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29.750160227701745</v>
      </c>
      <c r="DG144" s="21">
        <f>EXP(-LN(2)/25)*DG143+(1-EXP(-LN(2)/25))/(LN(2)/25)*Calculateur!DB144*Calculateur!DD144*VLOOKUP('Données projet'!$B$13,Paramètres!$A$1:$I$89,3,0)*0.475*44/12</f>
        <v>0.62125099735322065</v>
      </c>
      <c r="DH144" s="21">
        <f>EXP(-LN(2)/2)*DH143+(1-EXP(-LN(2)/2))/(LN(2)/2)*DB144*DE144*VLOOKUP('Données projet'!$B$13,Paramètres!$A$1:$I$89,3,0)*0.475*44/12</f>
        <v>3.1270471610883996E-8</v>
      </c>
      <c r="DI144" s="22">
        <f t="shared" si="123"/>
        <v>30.371411256325437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>
        <f>VLOOKUP(A144,'Données projet'!$A$165:$I$185,2,0)</f>
        <v>441</v>
      </c>
      <c r="DM144" s="12">
        <f>VLOOKUP(A144,'Données projet'!$A$165:$I$185,9,0)</f>
        <v>7.1111111111111107</v>
      </c>
      <c r="DN144" s="12">
        <f t="array" ref="DN144">INDEX(DM:DM,MIN(IF(ISNUMBER(DM144:DM340),ROW(DM144:DM340),"")))</f>
        <v>7.1111111111111107</v>
      </c>
      <c r="DO144" s="12">
        <f>IF('Données projet'!$A$166&gt;35,DO143+DN144-DW143,IF(A144&lt;'Données projet'!$A$166,$DL$205^A144,IF(A144='Données projet'!$A$166,'Données projet'!$B$166,DO143+DN144-DW143)))</f>
        <v>440.99999999999943</v>
      </c>
      <c r="DP144" s="17">
        <f>DO144*VLOOKUP('Données projet'!$B$14,Paramètres!$A$1:$I$89,3,0)*VLOOKUP('Données projet'!$B$14,Paramètres!$A$1:$I$89,5,0)</f>
        <v>447.17399999999947</v>
      </c>
      <c r="DQ144" s="13">
        <f t="shared" si="151"/>
        <v>101.27753898224157</v>
      </c>
      <c r="DR144" s="20">
        <f t="shared" si="124"/>
        <v>955.21976372740301</v>
      </c>
      <c r="DS144" s="59">
        <f t="shared" si="125"/>
        <v>1248.5530970607363</v>
      </c>
      <c r="DT144" s="59">
        <f ca="1">AVERAGE(OFFSET($DS$3,0,0,'Données projet'!$E$14+1,1))-AVERAGE(OFFSET($H$3,0,0,'Données projet'!$E$14+1,1))</f>
        <v>586.50020405958992</v>
      </c>
      <c r="DU144" s="59">
        <f t="shared" si="152"/>
        <v>304.44184537595294</v>
      </c>
      <c r="DV144" s="15">
        <f>IF(ISNA(VLOOKUP(A144,'Données projet'!$A$165:$I$185,3,0)),0,VLOOKUP(A144,'Données projet'!$A$165:$I$185,3,0))</f>
        <v>13</v>
      </c>
      <c r="DW144" s="15">
        <f>IF(ISNA(VLOOKUP(A144,'Données projet'!$A$165:$I$185,4,0)),0,VLOOKUP(A144,'Données projet'!$A$165:$I$185,4,0))</f>
        <v>45</v>
      </c>
      <c r="DX144" s="16">
        <f>IF(ISNA(VLOOKUP(A144,'Données projet'!$A$165:$I$185,5,0)),0%,VLOOKUP(A144,'Données projet'!$A$165:$I$185,5,0)*VLOOKUP('Données projet'!$B$14,Paramètres!$A$1:$I$89,7,0))</f>
        <v>0.30099999999999999</v>
      </c>
      <c r="DY144" s="16">
        <f>IF(ISNA(VLOOKUP(A144,'Données projet'!$A$165:$I$185,6,0)),0%,VLOOKUP(A144,'Données projet'!$A$165:$I$185,6,0)*VLOOKUP('Données projet'!$B$14,Paramètres!$A$1:$I$89,7,0))</f>
        <v>4.3000000000000003E-2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58.728821434936066</v>
      </c>
      <c r="EB144" s="21">
        <f>EXP(-LN(2)/25)*EB143+(1-EXP(-LN(2)/25))/(LN(2)/25)*Calculateur!DW144*Calculateur!DY144*VLOOKUP('Données projet'!$B$14,Paramètres!$A$1:$I$89,3,0)*0.475*44/12</f>
        <v>17.29423553058507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76.023056965521135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-4.8771653382573282E-14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536.21423347711345</v>
      </c>
      <c r="T145" s="59">
        <f t="shared" si="142"/>
        <v>312.14361830038712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119.91871219591445</v>
      </c>
      <c r="AA145" s="21">
        <f>EXP(-LN(2)/25)*AA144+(1-EXP(-LN(2)/25))/(LN(2)/25)*Calculateur!V145*Calculateur!X145*VLOOKUP('Données projet'!$B$9,Paramètres!$A$1:$I$89,3,0)*0.475*44/12</f>
        <v>26.41717562342583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146.33588781934029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7.083333333333333</v>
      </c>
      <c r="AI145" s="13">
        <f>IF('Données projet'!$A$62&gt;35,AI144+AH145-AQ144,IF(A145&lt;'Données projet'!$A$62,$AF$205^A145,IF(A145='Données projet'!$A$62,'Données projet'!$B$62,AI144+AH145-AQ144)))</f>
        <v>403.08333333333275</v>
      </c>
      <c r="AJ145" s="13">
        <f>AI145*VLOOKUP('Données projet'!$B$10,Paramètres!$A$1:$I$89,3,0)*VLOOKUP('Données projet'!$B$10,Paramètres!$A$1:$I$89,5,0)</f>
        <v>364.70979999999946</v>
      </c>
      <c r="AK145" s="13">
        <f t="shared" si="143"/>
        <v>84.584116408796319</v>
      </c>
      <c r="AL145" s="20">
        <f t="shared" si="112"/>
        <v>782.52023774531926</v>
      </c>
      <c r="AM145" s="59">
        <f t="shared" si="113"/>
        <v>1075.8535710786525</v>
      </c>
      <c r="AN145" s="59">
        <f ca="1">AVERAGE(OFFSET($AM$3,0,0,'Données projet'!$E$10+1,1))-AVERAGE(OFFSET($H$3,0,0,'Données projet'!$E$10+1,1))</f>
        <v>528.15559695545812</v>
      </c>
      <c r="AO145" s="59">
        <f t="shared" si="144"/>
        <v>276.26988364830532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51.376565137279663</v>
      </c>
      <c r="AV145" s="21">
        <f>EXP(-LN(2)/25)*AV144+(1-EXP(-LN(2)/25))/(LN(2)/25)*Calculateur!AQ145*Calculateur!AS145*VLOOKUP('Données projet'!$B$10,Paramètres!$A$1:$I$89,3,0)*0.475*44/12</f>
        <v>15.009796577402152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66.386361714681811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-4.1677594708744434E-14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464.3681853739115</v>
      </c>
      <c r="BJ145" s="59">
        <f t="shared" si="146"/>
        <v>272.97841038165217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83.140897889517348</v>
      </c>
      <c r="BQ145" s="21">
        <f>EXP(-LN(2)/25)*BQ144+(1-EXP(-LN(2)/25))/(LN(2)/25)*Calculateur!BL145*Calculateur!BN145*VLOOKUP('Données projet'!$B$11,Paramètres!$A$1:$I$89,3,0)*0.475*44/12</f>
        <v>18.315304265846862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101.45620215536421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4.4337866711430253E-14</v>
      </c>
      <c r="CA145" s="13">
        <f t="shared" si="147"/>
        <v>7.3222115536967035E-13</v>
      </c>
      <c r="CB145" s="20">
        <f t="shared" si="118"/>
        <v>1.3525069634579169E-12</v>
      </c>
      <c r="CC145" s="59">
        <f t="shared" si="119"/>
        <v>293.33333333333468</v>
      </c>
      <c r="CD145" s="59">
        <f ca="1">AVERAGE(OFFSET($CC$3,0,0,'Données projet'!$E$12+1,1))-AVERAGE(OFFSET($H$3,0,0,'Données projet'!$E$12+1,1))</f>
        <v>288.82868507674738</v>
      </c>
      <c r="CE145" s="59">
        <f t="shared" si="148"/>
        <v>283.48738729114024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15.654836852071684</v>
      </c>
      <c r="CL145" s="21">
        <f>EXP(-LN(2)/25)*CL144+(1-EXP(-LN(2)/25))/(LN(2)/25)*Calculateur!CG145*Calculateur!CI145*VLOOKUP('Données projet'!$B$12,Paramètres!$A$1:$I$89,3,0)*0.475*44/12</f>
        <v>1.2569077112200884</v>
      </c>
      <c r="CM145" s="21">
        <f>EXP(-LN(2)/2)*CM144+(1-EXP(-LN(2)/2))/(LN(2)/2)*CG145*CJ145*VLOOKUP('Données projet'!$B$12,Paramètres!$A$1:$I$89,3,0)*0.475*44/12</f>
        <v>7.5020190767449698E-10</v>
      </c>
      <c r="CN145" s="22">
        <f t="shared" si="120"/>
        <v>16.911744564041975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-2.8421709430404007E-13</v>
      </c>
      <c r="CU145" s="17">
        <f>CT145*VLOOKUP('Données projet'!$B$13,Paramètres!$A$1:$I$89,3,0)*VLOOKUP('Données projet'!$B$13,Paramètres!$A$1:$I$89,5,0)</f>
        <v>-1.8621904018800707E-13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340.49092994349405</v>
      </c>
      <c r="CZ145" s="59">
        <f t="shared" si="150"/>
        <v>331.54434271908832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29.166777731442505</v>
      </c>
      <c r="DG145" s="21">
        <f>EXP(-LN(2)/25)*DG144+(1-EXP(-LN(2)/25))/(LN(2)/25)*Calculateur!DB145*Calculateur!DD145*VLOOKUP('Données projet'!$B$13,Paramètres!$A$1:$I$89,3,0)*0.475*44/12</f>
        <v>0.60426285616042674</v>
      </c>
      <c r="DH145" s="21">
        <f>EXP(-LN(2)/2)*DH144+(1-EXP(-LN(2)/2))/(LN(2)/2)*DB145*DE145*VLOOKUP('Données projet'!$B$13,Paramètres!$A$1:$I$89,3,0)*0.475*44/12</f>
        <v>2.2111562526957496E-8</v>
      </c>
      <c r="DI145" s="22">
        <f t="shared" si="123"/>
        <v>29.771040609714497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7.083333333333333</v>
      </c>
      <c r="DO145" s="12">
        <f>IF('Données projet'!$A$166&gt;35,DO144+DN145-DW144,IF(A145&lt;'Données projet'!$A$166,$DL$205^A145,IF(A145='Données projet'!$A$166,'Données projet'!$B$166,DO144+DN145-DW144)))</f>
        <v>403.08333333333275</v>
      </c>
      <c r="DP145" s="17">
        <f>DO145*VLOOKUP('Données projet'!$B$14,Paramètres!$A$1:$I$89,3,0)*VLOOKUP('Données projet'!$B$14,Paramètres!$A$1:$I$89,5,0)</f>
        <v>408.72649999999948</v>
      </c>
      <c r="DQ145" s="13">
        <f t="shared" si="151"/>
        <v>93.54360088630294</v>
      </c>
      <c r="DR145" s="20">
        <f t="shared" si="124"/>
        <v>874.7870923769766</v>
      </c>
      <c r="DS145" s="59">
        <f t="shared" si="125"/>
        <v>1168.12042571031</v>
      </c>
      <c r="DT145" s="59">
        <f ca="1">AVERAGE(OFFSET($DS$3,0,0,'Données projet'!$E$14+1,1))-AVERAGE(OFFSET($H$3,0,0,'Données projet'!$E$14+1,1))</f>
        <v>586.50020405958992</v>
      </c>
      <c r="DU145" s="59">
        <f t="shared" si="152"/>
        <v>304.44184537595294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57.577185067641011</v>
      </c>
      <c r="EB145" s="21">
        <f>EXP(-LN(2)/25)*EB144+(1-EXP(-LN(2)/25))/(LN(2)/25)*Calculateur!DW145*Calculateur!DY145*VLOOKUP('Données projet'!$B$14,Paramètres!$A$1:$I$89,3,0)*0.475*44/12</f>
        <v>16.821323750536902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74.398508818177916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-4.8771653382573282E-14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536.21423347711345</v>
      </c>
      <c r="T146" s="59">
        <f t="shared" si="142"/>
        <v>312.14361830038712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117.56717939294472</v>
      </c>
      <c r="AA146" s="21">
        <f>EXP(-LN(2)/25)*AA145+(1-EXP(-LN(2)/25))/(LN(2)/25)*Calculateur!V146*Calculateur!X146*VLOOKUP('Données projet'!$B$9,Paramètres!$A$1:$I$89,3,0)*0.475*44/12</f>
        <v>25.694796566784362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143.26197595972909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7.083333333333333</v>
      </c>
      <c r="AI146" s="13">
        <f>IF('Données projet'!$A$62&gt;35,AI145+AH146-AQ145,IF(A146&lt;'Données projet'!$A$62,$AF$205^A146,IF(A146='Données projet'!$A$62,'Données projet'!$B$62,AI145+AH146-AQ145)))</f>
        <v>410.16666666666606</v>
      </c>
      <c r="AJ146" s="13">
        <f>AI146*VLOOKUP('Données projet'!$B$10,Paramètres!$A$1:$I$89,3,0)*VLOOKUP('Données projet'!$B$10,Paramètres!$A$1:$I$89,5,0)</f>
        <v>371.11879999999945</v>
      </c>
      <c r="AK146" s="13">
        <f t="shared" si="143"/>
        <v>85.896152691454517</v>
      </c>
      <c r="AL146" s="20">
        <f t="shared" si="112"/>
        <v>795.96770927094894</v>
      </c>
      <c r="AM146" s="59">
        <f t="shared" si="113"/>
        <v>1089.3010426042822</v>
      </c>
      <c r="AN146" s="59">
        <f ca="1">AVERAGE(OFFSET($AM$3,0,0,'Données projet'!$E$10+1,1))-AVERAGE(OFFSET($H$3,0,0,'Données projet'!$E$10+1,1))</f>
        <v>528.15559695545812</v>
      </c>
      <c r="AO146" s="59">
        <f t="shared" si="144"/>
        <v>276.26988364830532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50.36910203154811</v>
      </c>
      <c r="AV146" s="21">
        <f>EXP(-LN(2)/25)*AV145+(1-EXP(-LN(2)/25))/(LN(2)/25)*Calculateur!AQ146*Calculateur!AS146*VLOOKUP('Données projet'!$B$10,Paramètres!$A$1:$I$89,3,0)*0.475*44/12</f>
        <v>14.599352900662193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64.968454932210307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-4.1677594708744434E-14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464.3681853739115</v>
      </c>
      <c r="BJ146" s="59">
        <f t="shared" si="146"/>
        <v>272.97841038165217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81.510555592844341</v>
      </c>
      <c r="BQ146" s="21">
        <f>EXP(-LN(2)/25)*BQ145+(1-EXP(-LN(2)/25))/(LN(2)/25)*Calculateur!BL146*Calculateur!BN146*VLOOKUP('Données projet'!$B$11,Paramètres!$A$1:$I$89,3,0)*0.475*44/12</f>
        <v>17.814471307537289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99.32502690038163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4.4337866711430253E-14</v>
      </c>
      <c r="CA146" s="13">
        <f t="shared" si="147"/>
        <v>7.3222115536967035E-13</v>
      </c>
      <c r="CB146" s="20">
        <f t="shared" si="118"/>
        <v>1.3525069634579169E-12</v>
      </c>
      <c r="CC146" s="59">
        <f t="shared" si="119"/>
        <v>293.33333333333468</v>
      </c>
      <c r="CD146" s="59">
        <f ca="1">AVERAGE(OFFSET($CC$3,0,0,'Données projet'!$E$12+1,1))-AVERAGE(OFFSET($H$3,0,0,'Données projet'!$E$12+1,1))</f>
        <v>288.82868507674738</v>
      </c>
      <c r="CE146" s="59">
        <f t="shared" si="148"/>
        <v>283.48738729114024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15.347855049910201</v>
      </c>
      <c r="CL146" s="21">
        <f>EXP(-LN(2)/25)*CL145+(1-EXP(-LN(2)/25))/(LN(2)/25)*Calculateur!CG146*Calculateur!CI146*VLOOKUP('Données projet'!$B$12,Paramètres!$A$1:$I$89,3,0)*0.475*44/12</f>
        <v>1.2225375037588713</v>
      </c>
      <c r="CM146" s="21">
        <f>EXP(-LN(2)/2)*CM145+(1-EXP(-LN(2)/2))/(LN(2)/2)*CG146*CJ146*VLOOKUP('Données projet'!$B$12,Paramètres!$A$1:$I$89,3,0)*0.475*44/12</f>
        <v>5.3047285617572105E-10</v>
      </c>
      <c r="CN146" s="22">
        <f t="shared" si="120"/>
        <v>16.570392554199547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-2.8421709430404007E-13</v>
      </c>
      <c r="CU146" s="17">
        <f>CT146*VLOOKUP('Données projet'!$B$13,Paramètres!$A$1:$I$89,3,0)*VLOOKUP('Données projet'!$B$13,Paramètres!$A$1:$I$89,5,0)</f>
        <v>-1.8621904018800707E-13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340.49092994349405</v>
      </c>
      <c r="CZ146" s="59">
        <f t="shared" si="150"/>
        <v>331.54434271908832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28.594835010106717</v>
      </c>
      <c r="DG146" s="21">
        <f>EXP(-LN(2)/25)*DG145+(1-EXP(-LN(2)/25))/(LN(2)/25)*Calculateur!DB146*Calculateur!DD146*VLOOKUP('Données projet'!$B$13,Paramètres!$A$1:$I$89,3,0)*0.475*44/12</f>
        <v>0.58773925658191728</v>
      </c>
      <c r="DH146" s="21">
        <f>EXP(-LN(2)/2)*DH145+(1-EXP(-LN(2)/2))/(LN(2)/2)*DB146*DE146*VLOOKUP('Données projet'!$B$13,Paramètres!$A$1:$I$89,3,0)*0.475*44/12</f>
        <v>1.5635235805441998E-8</v>
      </c>
      <c r="DI146" s="22">
        <f t="shared" si="123"/>
        <v>29.18257428232387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7.083333333333333</v>
      </c>
      <c r="DO146" s="12">
        <f>IF('Données projet'!$A$166&gt;35,DO145+DN146-DW145,IF(A146&lt;'Données projet'!$A$166,$DL$205^A146,IF(A146='Données projet'!$A$166,'Données projet'!$B$166,DO145+DN146-DW145)))</f>
        <v>410.16666666666606</v>
      </c>
      <c r="DP146" s="17">
        <f>DO146*VLOOKUP('Données projet'!$B$14,Paramètres!$A$1:$I$89,3,0)*VLOOKUP('Données projet'!$B$14,Paramètres!$A$1:$I$89,5,0)</f>
        <v>415.90899999999942</v>
      </c>
      <c r="DQ146" s="13">
        <f t="shared" si="151"/>
        <v>94.994613246356053</v>
      </c>
      <c r="DR146" s="20">
        <f t="shared" si="124"/>
        <v>889.82379307073563</v>
      </c>
      <c r="DS146" s="59">
        <f t="shared" si="125"/>
        <v>1183.157126404069</v>
      </c>
      <c r="DT146" s="59">
        <f ca="1">AVERAGE(OFFSET($DS$3,0,0,'Données projet'!$E$14+1,1))-AVERAGE(OFFSET($H$3,0,0,'Données projet'!$E$14+1,1))</f>
        <v>586.50020405958992</v>
      </c>
      <c r="DU146" s="59">
        <f t="shared" si="152"/>
        <v>304.44184537595294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56.448131587079786</v>
      </c>
      <c r="EB146" s="21">
        <f>EXP(-LN(2)/25)*EB145+(1-EXP(-LN(2)/25))/(LN(2)/25)*Calculateur!DW146*Calculateur!DY146*VLOOKUP('Données projet'!$B$14,Paramètres!$A$1:$I$89,3,0)*0.475*44/12</f>
        <v>16.361343767983499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72.809475355063284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-4.8771653382573282E-14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536.21423347711345</v>
      </c>
      <c r="T147" s="59">
        <f t="shared" si="142"/>
        <v>312.14361830038712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115.26175871394784</v>
      </c>
      <c r="AA147" s="21">
        <f>EXP(-LN(2)/25)*AA146+(1-EXP(-LN(2)/25))/(LN(2)/25)*Calculateur!V147*Calculateur!X147*VLOOKUP('Données projet'!$B$9,Paramètres!$A$1:$I$89,3,0)*0.475*44/12</f>
        <v>24.992171003435018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140.25392971738285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7.083333333333333</v>
      </c>
      <c r="AI147" s="13">
        <f>IF('Données projet'!$A$62&gt;35,AI146+AH147-AQ146,IF(A147&lt;'Données projet'!$A$62,$AF$205^A147,IF(A147='Données projet'!$A$62,'Données projet'!$B$62,AI146+AH147-AQ146)))</f>
        <v>417.24999999999937</v>
      </c>
      <c r="AJ147" s="13">
        <f>AI147*VLOOKUP('Données projet'!$B$10,Paramètres!$A$1:$I$89,3,0)*VLOOKUP('Données projet'!$B$10,Paramètres!$A$1:$I$89,5,0)</f>
        <v>377.52779999999944</v>
      </c>
      <c r="AK147" s="13">
        <f t="shared" si="143"/>
        <v>87.205554083823728</v>
      </c>
      <c r="AL147" s="20">
        <f t="shared" si="112"/>
        <v>809.41059169599203</v>
      </c>
      <c r="AM147" s="59">
        <f t="shared" si="113"/>
        <v>1102.7439250293253</v>
      </c>
      <c r="AN147" s="59">
        <f ca="1">AVERAGE(OFFSET($AM$3,0,0,'Données projet'!$E$10+1,1))-AVERAGE(OFFSET($H$3,0,0,'Données projet'!$E$10+1,1))</f>
        <v>528.15559695545812</v>
      </c>
      <c r="AO147" s="59">
        <f t="shared" si="144"/>
        <v>276.26988364830532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49.381394662828136</v>
      </c>
      <c r="AV147" s="21">
        <f>EXP(-LN(2)/25)*AV146+(1-EXP(-LN(2)/25))/(LN(2)/25)*Calculateur!AQ147*Calculateur!AS147*VLOOKUP('Données projet'!$B$10,Paramètres!$A$1:$I$89,3,0)*0.475*44/12</f>
        <v>14.200132827846984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63.581527490675121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-4.1677594708744434E-14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464.3681853739115</v>
      </c>
      <c r="BJ147" s="59">
        <f t="shared" si="146"/>
        <v>272.97841038165217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79.912183314198472</v>
      </c>
      <c r="BQ147" s="21">
        <f>EXP(-LN(2)/25)*BQ146+(1-EXP(-LN(2)/25))/(LN(2)/25)*Calculateur!BL147*Calculateur!BN147*VLOOKUP('Données projet'!$B$11,Paramètres!$A$1:$I$89,3,0)*0.475*44/12</f>
        <v>17.327333652810353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97.239516967008825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4.4337866711430253E-14</v>
      </c>
      <c r="CA147" s="13">
        <f t="shared" si="147"/>
        <v>7.3222115536967035E-13</v>
      </c>
      <c r="CB147" s="20">
        <f t="shared" si="118"/>
        <v>1.3525069634579169E-12</v>
      </c>
      <c r="CC147" s="59">
        <f t="shared" si="119"/>
        <v>293.33333333333468</v>
      </c>
      <c r="CD147" s="59">
        <f ca="1">AVERAGE(OFFSET($CC$3,0,0,'Données projet'!$E$12+1,1))-AVERAGE(OFFSET($H$3,0,0,'Données projet'!$E$12+1,1))</f>
        <v>288.82868507674738</v>
      </c>
      <c r="CE147" s="59">
        <f t="shared" si="148"/>
        <v>283.48738729114024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15.046892973648694</v>
      </c>
      <c r="CL147" s="21">
        <f>EXP(-LN(2)/25)*CL146+(1-EXP(-LN(2)/25))/(LN(2)/25)*Calculateur!CG147*Calculateur!CI147*VLOOKUP('Données projet'!$B$12,Paramètres!$A$1:$I$89,3,0)*0.475*44/12</f>
        <v>1.1891071514281317</v>
      </c>
      <c r="CM147" s="21">
        <f>EXP(-LN(2)/2)*CM146+(1-EXP(-LN(2)/2))/(LN(2)/2)*CG147*CJ147*VLOOKUP('Données projet'!$B$12,Paramètres!$A$1:$I$89,3,0)*0.475*44/12</f>
        <v>3.7510095383724849E-10</v>
      </c>
      <c r="CN147" s="22">
        <f t="shared" si="120"/>
        <v>16.236000125451927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-2.8421709430404007E-13</v>
      </c>
      <c r="CU147" s="17">
        <f>CT147*VLOOKUP('Données projet'!$B$13,Paramètres!$A$1:$I$89,3,0)*VLOOKUP('Données projet'!$B$13,Paramètres!$A$1:$I$89,5,0)</f>
        <v>-1.8621904018800707E-13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340.49092994349405</v>
      </c>
      <c r="CZ147" s="59">
        <f t="shared" si="150"/>
        <v>331.54434271908832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28.034107736685712</v>
      </c>
      <c r="DG147" s="21">
        <f>EXP(-LN(2)/25)*DG146+(1-EXP(-LN(2)/25))/(LN(2)/25)*Calculateur!DB147*Calculateur!DD147*VLOOKUP('Données projet'!$B$13,Paramètres!$A$1:$I$89,3,0)*0.475*44/12</f>
        <v>0.57166749570282049</v>
      </c>
      <c r="DH147" s="21">
        <f>EXP(-LN(2)/2)*DH146+(1-EXP(-LN(2)/2))/(LN(2)/2)*DB147*DE147*VLOOKUP('Données projet'!$B$13,Paramètres!$A$1:$I$89,3,0)*0.475*44/12</f>
        <v>1.1055781263478748E-8</v>
      </c>
      <c r="DI147" s="22">
        <f t="shared" si="123"/>
        <v>28.605775243444313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7.083333333333333</v>
      </c>
      <c r="DO147" s="12">
        <f>IF('Données projet'!$A$166&gt;35,DO146+DN147-DW146,IF(A147&lt;'Données projet'!$A$166,$DL$205^A147,IF(A147='Données projet'!$A$166,'Données projet'!$B$166,DO146+DN147-DW146)))</f>
        <v>417.24999999999937</v>
      </c>
      <c r="DP147" s="17">
        <f>DO147*VLOOKUP('Données projet'!$B$14,Paramètres!$A$1:$I$89,3,0)*VLOOKUP('Données projet'!$B$14,Paramètres!$A$1:$I$89,5,0)</f>
        <v>423.09149999999937</v>
      </c>
      <c r="DQ147" s="13">
        <f t="shared" si="151"/>
        <v>96.442711618109087</v>
      </c>
      <c r="DR147" s="20">
        <f t="shared" si="124"/>
        <v>904.85541856820555</v>
      </c>
      <c r="DS147" s="59">
        <f t="shared" si="125"/>
        <v>1198.1887519015388</v>
      </c>
      <c r="DT147" s="59">
        <f ca="1">AVERAGE(OFFSET($DS$3,0,0,'Données projet'!$E$14+1,1))-AVERAGE(OFFSET($H$3,0,0,'Données projet'!$E$14+1,1))</f>
        <v>586.50020405958992</v>
      </c>
      <c r="DU147" s="59">
        <f t="shared" si="152"/>
        <v>304.44184537595294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55.341218156617742</v>
      </c>
      <c r="EB147" s="21">
        <f>EXP(-LN(2)/25)*EB146+(1-EXP(-LN(2)/25))/(LN(2)/25)*Calculateur!DW147*Calculateur!DY147*VLOOKUP('Données projet'!$B$14,Paramètres!$A$1:$I$89,3,0)*0.475*44/12</f>
        <v>15.913941962242315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71.255160118860061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-4.8771653382573282E-14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536.21423347711345</v>
      </c>
      <c r="T148" s="59">
        <f t="shared" si="142"/>
        <v>312.14361830038712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113.00154592829833</v>
      </c>
      <c r="AA148" s="21">
        <f>EXP(-LN(2)/25)*AA147+(1-EXP(-LN(2)/25))/(LN(2)/25)*Calculateur!V148*Calculateur!X148*VLOOKUP('Données projet'!$B$9,Paramètres!$A$1:$I$89,3,0)*0.475*44/12</f>
        <v>24.308758773064934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137.31030470136326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7.083333333333333</v>
      </c>
      <c r="AI148" s="13">
        <f>IF('Données projet'!$A$62&gt;35,AI147+AH148-AQ147,IF(A148&lt;'Données projet'!$A$62,$AF$205^A148,IF(A148='Données projet'!$A$62,'Données projet'!$B$62,AI147+AH148-AQ147)))</f>
        <v>424.33333333333269</v>
      </c>
      <c r="AJ148" s="13">
        <f>AI148*VLOOKUP('Données projet'!$B$10,Paramètres!$A$1:$I$89,3,0)*VLOOKUP('Données projet'!$B$10,Paramètres!$A$1:$I$89,5,0)</f>
        <v>383.93679999999944</v>
      </c>
      <c r="AK148" s="13">
        <f t="shared" si="143"/>
        <v>88.512370478571057</v>
      </c>
      <c r="AL148" s="20">
        <f t="shared" si="112"/>
        <v>822.84897191684365</v>
      </c>
      <c r="AM148" s="59">
        <f t="shared" si="113"/>
        <v>1116.182305250177</v>
      </c>
      <c r="AN148" s="59">
        <f ca="1">AVERAGE(OFFSET($AM$3,0,0,'Données projet'!$E$10+1,1))-AVERAGE(OFFSET($H$3,0,0,'Données projet'!$E$10+1,1))</f>
        <v>528.15559695545812</v>
      </c>
      <c r="AO148" s="59">
        <f t="shared" si="144"/>
        <v>276.26988364830532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48.413055633166749</v>
      </c>
      <c r="AV148" s="21">
        <f>EXP(-LN(2)/25)*AV147+(1-EXP(-LN(2)/25))/(LN(2)/25)*Calculateur!AQ148*Calculateur!AS148*VLOOKUP('Données projet'!$B$10,Paramètres!$A$1:$I$89,3,0)*0.475*44/12</f>
        <v>13.811829448916978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62.22488508208373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-4.1677594708744434E-14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464.3681853739115</v>
      </c>
      <c r="BJ148" s="59">
        <f t="shared" si="146"/>
        <v>272.97841038165217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78.345154141026029</v>
      </c>
      <c r="BQ148" s="21">
        <f>EXP(-LN(2)/25)*BQ147+(1-EXP(-LN(2)/25))/(LN(2)/25)*Calculateur!BL148*Calculateur!BN148*VLOOKUP('Données projet'!$B$11,Paramètres!$A$1:$I$89,3,0)*0.475*44/12</f>
        <v>16.853516802869379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95.198670943895408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4.4337866711430253E-14</v>
      </c>
      <c r="CA148" s="13">
        <f t="shared" si="147"/>
        <v>7.3222115536967035E-13</v>
      </c>
      <c r="CB148" s="20">
        <f t="shared" si="118"/>
        <v>1.3525069634579169E-12</v>
      </c>
      <c r="CC148" s="59">
        <f t="shared" si="119"/>
        <v>293.33333333333468</v>
      </c>
      <c r="CD148" s="59">
        <f ca="1">AVERAGE(OFFSET($CC$3,0,0,'Données projet'!$E$12+1,1))-AVERAGE(OFFSET($H$3,0,0,'Données projet'!$E$12+1,1))</f>
        <v>288.82868507674738</v>
      </c>
      <c r="CE148" s="59">
        <f t="shared" si="148"/>
        <v>283.48738729114024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14.751832580133934</v>
      </c>
      <c r="CL148" s="21">
        <f>EXP(-LN(2)/25)*CL147+(1-EXP(-LN(2)/25))/(LN(2)/25)*Calculateur!CG148*Calculateur!CI148*VLOOKUP('Données projet'!$B$12,Paramètres!$A$1:$I$89,3,0)*0.475*44/12</f>
        <v>1.1565909538399022</v>
      </c>
      <c r="CM148" s="21">
        <f>EXP(-LN(2)/2)*CM147+(1-EXP(-LN(2)/2))/(LN(2)/2)*CG148*CJ148*VLOOKUP('Données projet'!$B$12,Paramètres!$A$1:$I$89,3,0)*0.475*44/12</f>
        <v>2.6523642808786053E-10</v>
      </c>
      <c r="CN148" s="22">
        <f t="shared" si="120"/>
        <v>15.908423534239073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-2.8421709430404007E-13</v>
      </c>
      <c r="CU148" s="17">
        <f>CT148*VLOOKUP('Données projet'!$B$13,Paramètres!$A$1:$I$89,3,0)*VLOOKUP('Données projet'!$B$13,Paramètres!$A$1:$I$89,5,0)</f>
        <v>-1.8621904018800707E-13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340.49092994349405</v>
      </c>
      <c r="CZ148" s="59">
        <f t="shared" si="150"/>
        <v>331.54434271908832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27.484375983086625</v>
      </c>
      <c r="DG148" s="21">
        <f>EXP(-LN(2)/25)*DG147+(1-EXP(-LN(2)/25))/(LN(2)/25)*Calculateur!DB148*Calculateur!DD148*VLOOKUP('Données projet'!$B$13,Paramètres!$A$1:$I$89,3,0)*0.475*44/12</f>
        <v>0.55603521797013988</v>
      </c>
      <c r="DH148" s="21">
        <f>EXP(-LN(2)/2)*DH147+(1-EXP(-LN(2)/2))/(LN(2)/2)*DB148*DE148*VLOOKUP('Données projet'!$B$13,Paramètres!$A$1:$I$89,3,0)*0.475*44/12</f>
        <v>7.8176179027209989E-9</v>
      </c>
      <c r="DI148" s="22">
        <f t="shared" si="123"/>
        <v>28.040411208874385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7.083333333333333</v>
      </c>
      <c r="DO148" s="12">
        <f>IF('Données projet'!$A$166&gt;35,DO147+DN148-DW147,IF(A148&lt;'Données projet'!$A$166,$DL$205^A148,IF(A148='Données projet'!$A$166,'Données projet'!$B$166,DO147+DN148-DW147)))</f>
        <v>424.33333333333269</v>
      </c>
      <c r="DP148" s="17">
        <f>DO148*VLOOKUP('Données projet'!$B$14,Paramètres!$A$1:$I$89,3,0)*VLOOKUP('Données projet'!$B$14,Paramètres!$A$1:$I$89,5,0)</f>
        <v>430.27399999999938</v>
      </c>
      <c r="DQ148" s="13">
        <f t="shared" si="151"/>
        <v>97.887951179058334</v>
      </c>
      <c r="DR148" s="20">
        <f t="shared" si="124"/>
        <v>919.88206497019212</v>
      </c>
      <c r="DS148" s="59">
        <f t="shared" si="125"/>
        <v>1213.2153983035255</v>
      </c>
      <c r="DT148" s="59">
        <f ca="1">AVERAGE(OFFSET($DS$3,0,0,'Données projet'!$E$14+1,1))-AVERAGE(OFFSET($H$3,0,0,'Données projet'!$E$14+1,1))</f>
        <v>586.50020405958992</v>
      </c>
      <c r="DU148" s="59">
        <f t="shared" si="152"/>
        <v>304.44184537595294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54.256010623376532</v>
      </c>
      <c r="EB148" s="21">
        <f>EXP(-LN(2)/25)*EB147+(1-EXP(-LN(2)/25))/(LN(2)/25)*Calculateur!DW148*Calculateur!DY148*VLOOKUP('Données projet'!$B$14,Paramètres!$A$1:$I$89,3,0)*0.475*44/12</f>
        <v>15.478774382406963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69.734785005783493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-4.8771653382573282E-14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536.21423347711345</v>
      </c>
      <c r="T149" s="59">
        <f t="shared" si="142"/>
        <v>312.14361830038712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110.78565453678172</v>
      </c>
      <c r="AA149" s="21">
        <f>EXP(-LN(2)/25)*AA148+(1-EXP(-LN(2)/25))/(LN(2)/25)*Calculateur!V149*Calculateur!X149*VLOOKUP('Données projet'!$B$9,Paramètres!$A$1:$I$89,3,0)*0.475*44/12</f>
        <v>23.644034486073409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134.42968902285514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7.083333333333333</v>
      </c>
      <c r="AI149" s="13">
        <f>IF('Données projet'!$A$62&gt;35,AI148+AH149-AQ148,IF(A149&lt;'Données projet'!$A$62,$AF$205^A149,IF(A149='Données projet'!$A$62,'Données projet'!$B$62,AI148+AH149-AQ148)))</f>
        <v>431.416666666666</v>
      </c>
      <c r="AJ149" s="13">
        <f>AI149*VLOOKUP('Données projet'!$B$10,Paramètres!$A$1:$I$89,3,0)*VLOOKUP('Données projet'!$B$10,Paramètres!$A$1:$I$89,5,0)</f>
        <v>390.34579999999937</v>
      </c>
      <c r="AK149" s="13">
        <f t="shared" si="143"/>
        <v>89.816650007185274</v>
      </c>
      <c r="AL149" s="20">
        <f t="shared" si="112"/>
        <v>836.28293376251315</v>
      </c>
      <c r="AM149" s="59">
        <f t="shared" si="113"/>
        <v>1129.6162670958465</v>
      </c>
      <c r="AN149" s="59">
        <f ca="1">AVERAGE(OFFSET($AM$3,0,0,'Données projet'!$E$10+1,1))-AVERAGE(OFFSET($H$3,0,0,'Données projet'!$E$10+1,1))</f>
        <v>528.15559695545812</v>
      </c>
      <c r="AO149" s="59">
        <f t="shared" si="144"/>
        <v>276.26988364830532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47.463705141248532</v>
      </c>
      <c r="AV149" s="21">
        <f>EXP(-LN(2)/25)*AV148+(1-EXP(-LN(2)/25))/(LN(2)/25)*Calculateur!AQ149*Calculateur!AS149*VLOOKUP('Données projet'!$B$10,Paramètres!$A$1:$I$89,3,0)*0.475*44/12</f>
        <v>13.4341442463038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60.897849387552334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-4.1677594708744434E-14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464.3681853739115</v>
      </c>
      <c r="BJ149" s="59">
        <f t="shared" si="146"/>
        <v>272.97841038165217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76.808853454146075</v>
      </c>
      <c r="BQ149" s="21">
        <f>EXP(-LN(2)/25)*BQ148+(1-EXP(-LN(2)/25))/(LN(2)/25)*Calculateur!BL149*Calculateur!BN149*VLOOKUP('Données projet'!$B$11,Paramètres!$A$1:$I$89,3,0)*0.475*44/12</f>
        <v>16.392656499606986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93.20150995375306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4.4337866711430253E-14</v>
      </c>
      <c r="CA149" s="13">
        <f t="shared" si="147"/>
        <v>7.3222115536967035E-13</v>
      </c>
      <c r="CB149" s="20">
        <f t="shared" si="118"/>
        <v>1.3525069634579169E-12</v>
      </c>
      <c r="CC149" s="59">
        <f t="shared" si="119"/>
        <v>293.33333333333468</v>
      </c>
      <c r="CD149" s="59">
        <f ca="1">AVERAGE(OFFSET($CC$3,0,0,'Données projet'!$E$12+1,1))-AVERAGE(OFFSET($H$3,0,0,'Données projet'!$E$12+1,1))</f>
        <v>288.82868507674738</v>
      </c>
      <c r="CE149" s="59">
        <f t="shared" si="148"/>
        <v>283.48738729114024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14.46255814096693</v>
      </c>
      <c r="CL149" s="21">
        <f>EXP(-LN(2)/25)*CL148+(1-EXP(-LN(2)/25))/(LN(2)/25)*Calculateur!CG149*Calculateur!CI149*VLOOKUP('Données projet'!$B$12,Paramètres!$A$1:$I$89,3,0)*0.475*44/12</f>
        <v>1.1249639133846752</v>
      </c>
      <c r="CM149" s="21">
        <f>EXP(-LN(2)/2)*CM148+(1-EXP(-LN(2)/2))/(LN(2)/2)*CG149*CJ149*VLOOKUP('Données projet'!$B$12,Paramètres!$A$1:$I$89,3,0)*0.475*44/12</f>
        <v>1.8755047691862424E-10</v>
      </c>
      <c r="CN149" s="22">
        <f t="shared" si="120"/>
        <v>15.587522054539157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-2.8421709430404007E-13</v>
      </c>
      <c r="CU149" s="17">
        <f>CT149*VLOOKUP('Données projet'!$B$13,Paramètres!$A$1:$I$89,3,0)*VLOOKUP('Données projet'!$B$13,Paramètres!$A$1:$I$89,5,0)</f>
        <v>-1.8621904018800707E-13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340.49092994349405</v>
      </c>
      <c r="CZ149" s="59">
        <f t="shared" si="150"/>
        <v>331.54434271908832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26.945424133872358</v>
      </c>
      <c r="DG149" s="21">
        <f>EXP(-LN(2)/25)*DG148+(1-EXP(-LN(2)/25))/(LN(2)/25)*Calculateur!DB149*Calculateur!DD149*VLOOKUP('Données projet'!$B$13,Paramètres!$A$1:$I$89,3,0)*0.475*44/12</f>
        <v>0.5408304056941251</v>
      </c>
      <c r="DH149" s="21">
        <f>EXP(-LN(2)/2)*DH148+(1-EXP(-LN(2)/2))/(LN(2)/2)*DB149*DE149*VLOOKUP('Données projet'!$B$13,Paramètres!$A$1:$I$89,3,0)*0.475*44/12</f>
        <v>5.527890631739374E-9</v>
      </c>
      <c r="DI149" s="22">
        <f t="shared" si="123"/>
        <v>27.486254545094372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7.083333333333333</v>
      </c>
      <c r="DO149" s="12">
        <f>IF('Données projet'!$A$166&gt;35,DO148+DN149-DW148,IF(A149&lt;'Données projet'!$A$166,$DL$205^A149,IF(A149='Données projet'!$A$166,'Données projet'!$B$166,DO148+DN149-DW148)))</f>
        <v>431.416666666666</v>
      </c>
      <c r="DP149" s="17">
        <f>DO149*VLOOKUP('Données projet'!$B$14,Paramètres!$A$1:$I$89,3,0)*VLOOKUP('Données projet'!$B$14,Paramètres!$A$1:$I$89,5,0)</f>
        <v>437.45649999999932</v>
      </c>
      <c r="DQ149" s="13">
        <f t="shared" si="151"/>
        <v>99.33038515897006</v>
      </c>
      <c r="DR149" s="20">
        <f t="shared" si="124"/>
        <v>934.90382498520512</v>
      </c>
      <c r="DS149" s="59">
        <f t="shared" si="125"/>
        <v>1228.2371583185384</v>
      </c>
      <c r="DT149" s="59">
        <f ca="1">AVERAGE(OFFSET($DS$3,0,0,'Données projet'!$E$14+1,1))-AVERAGE(OFFSET($H$3,0,0,'Données projet'!$E$14+1,1))</f>
        <v>586.50020405958992</v>
      </c>
      <c r="DU149" s="59">
        <f t="shared" si="152"/>
        <v>304.44184537595294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53.192083347950948</v>
      </c>
      <c r="EB149" s="21">
        <f>EXP(-LN(2)/25)*EB148+(1-EXP(-LN(2)/25))/(LN(2)/25)*Calculateur!DW149*Calculateur!DY149*VLOOKUP('Données projet'!$B$14,Paramètres!$A$1:$I$89,3,0)*0.475*44/12</f>
        <v>15.055506482926676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68.247589830877629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-4.8771653382573282E-14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536.21423347711345</v>
      </c>
      <c r="T150" s="59">
        <f t="shared" si="142"/>
        <v>312.14361830038712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108.61321542389246</v>
      </c>
      <c r="AA150" s="21">
        <f>EXP(-LN(2)/25)*AA149+(1-EXP(-LN(2)/25))/(LN(2)/25)*Calculateur!V150*Calculateur!X150*VLOOKUP('Données projet'!$B$9,Paramètres!$A$1:$I$89,3,0)*0.475*44/12</f>
        <v>22.997487119665998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131.61070254355846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7.083333333333333</v>
      </c>
      <c r="AI150" s="13">
        <f>IF('Données projet'!$A$62&gt;35,AI149+AH150-AQ149,IF(A150&lt;'Données projet'!$A$62,$AF$205^A150,IF(A150='Données projet'!$A$62,'Données projet'!$B$62,AI149+AH150-AQ149)))</f>
        <v>438.49999999999932</v>
      </c>
      <c r="AJ150" s="13">
        <f>AI150*VLOOKUP('Données projet'!$B$10,Paramètres!$A$1:$I$89,3,0)*VLOOKUP('Données projet'!$B$10,Paramètres!$A$1:$I$89,5,0)</f>
        <v>396.75479999999936</v>
      </c>
      <c r="AK150" s="13">
        <f t="shared" si="143"/>
        <v>91.118439130021159</v>
      </c>
      <c r="AL150" s="20">
        <f t="shared" si="112"/>
        <v>849.71255815145241</v>
      </c>
      <c r="AM150" s="59">
        <f t="shared" si="113"/>
        <v>1143.0458914847857</v>
      </c>
      <c r="AN150" s="59">
        <f ca="1">AVERAGE(OFFSET($AM$3,0,0,'Données projet'!$E$10+1,1))-AVERAGE(OFFSET($H$3,0,0,'Données projet'!$E$10+1,1))</f>
        <v>528.15559695545812</v>
      </c>
      <c r="AO150" s="59">
        <f t="shared" si="144"/>
        <v>276.26988364830532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46.532970833430213</v>
      </c>
      <c r="AV150" s="21">
        <f>EXP(-LN(2)/25)*AV149+(1-EXP(-LN(2)/25))/(LN(2)/25)*Calculateur!AQ150*Calculateur!AS150*VLOOKUP('Données projet'!$B$10,Paramètres!$A$1:$I$89,3,0)*0.475*44/12</f>
        <v>13.066786865417681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59.599757698847895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-4.1677594708744434E-14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464.3681853739115</v>
      </c>
      <c r="BJ150" s="59">
        <f t="shared" si="146"/>
        <v>272.97841038165217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75.302678686684942</v>
      </c>
      <c r="BQ150" s="21">
        <f>EXP(-LN(2)/25)*BQ149+(1-EXP(-LN(2)/25))/(LN(2)/25)*Calculateur!BL150*Calculateur!BN150*VLOOKUP('Données projet'!$B$11,Paramètres!$A$1:$I$89,3,0)*0.475*44/12</f>
        <v>15.944398445572894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91.247077132257829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4.4337866711430253E-14</v>
      </c>
      <c r="CA150" s="13">
        <f t="shared" si="147"/>
        <v>7.3222115536967035E-13</v>
      </c>
      <c r="CB150" s="20">
        <f t="shared" si="118"/>
        <v>1.3525069634579169E-12</v>
      </c>
      <c r="CC150" s="59">
        <f t="shared" si="119"/>
        <v>293.33333333333468</v>
      </c>
      <c r="CD150" s="59">
        <f ca="1">AVERAGE(OFFSET($CC$3,0,0,'Données projet'!$E$12+1,1))-AVERAGE(OFFSET($H$3,0,0,'Données projet'!$E$12+1,1))</f>
        <v>288.82868507674738</v>
      </c>
      <c r="CE150" s="59">
        <f t="shared" si="148"/>
        <v>283.48738729114024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14.178956197112004</v>
      </c>
      <c r="CL150" s="21">
        <f>EXP(-LN(2)/25)*CL149+(1-EXP(-LN(2)/25))/(LN(2)/25)*Calculateur!CG150*Calculateur!CI150*VLOOKUP('Données projet'!$B$12,Paramètres!$A$1:$I$89,3,0)*0.475*44/12</f>
        <v>1.0942017160138902</v>
      </c>
      <c r="CM150" s="21">
        <f>EXP(-LN(2)/2)*CM149+(1-EXP(-LN(2)/2))/(LN(2)/2)*CG150*CJ150*VLOOKUP('Données projet'!$B$12,Paramètres!$A$1:$I$89,3,0)*0.475*44/12</f>
        <v>1.3261821404393026E-10</v>
      </c>
      <c r="CN150" s="22">
        <f t="shared" si="120"/>
        <v>15.273157913258512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-2.8421709430404007E-13</v>
      </c>
      <c r="CU150" s="17">
        <f>CT150*VLOOKUP('Données projet'!$B$13,Paramètres!$A$1:$I$89,3,0)*VLOOKUP('Données projet'!$B$13,Paramètres!$A$1:$I$89,5,0)</f>
        <v>-1.8621904018800707E-13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340.49092994349405</v>
      </c>
      <c r="CZ150" s="59">
        <f t="shared" si="150"/>
        <v>331.54434271908832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26.417040801693012</v>
      </c>
      <c r="DG150" s="21">
        <f>EXP(-LN(2)/25)*DG149+(1-EXP(-LN(2)/25))/(LN(2)/25)*Calculateur!DB150*Calculateur!DD150*VLOOKUP('Données projet'!$B$13,Paramètres!$A$1:$I$89,3,0)*0.475*44/12</f>
        <v>0.52604136980938432</v>
      </c>
      <c r="DH150" s="21">
        <f>EXP(-LN(2)/2)*DH149+(1-EXP(-LN(2)/2))/(LN(2)/2)*DB150*DE150*VLOOKUP('Données projet'!$B$13,Paramètres!$A$1:$I$89,3,0)*0.475*44/12</f>
        <v>3.9088089513604995E-9</v>
      </c>
      <c r="DI150" s="22">
        <f t="shared" si="123"/>
        <v>26.943082175411206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7.083333333333333</v>
      </c>
      <c r="DO150" s="12">
        <f>IF('Données projet'!$A$166&gt;35,DO149+DN150-DW149,IF(A150&lt;'Données projet'!$A$166,$DL$205^A150,IF(A150='Données projet'!$A$166,'Données projet'!$B$166,DO149+DN150-DW149)))</f>
        <v>438.49999999999932</v>
      </c>
      <c r="DP150" s="17">
        <f>DO150*VLOOKUP('Données projet'!$B$14,Paramètres!$A$1:$I$89,3,0)*VLOOKUP('Données projet'!$B$14,Paramètres!$A$1:$I$89,5,0)</f>
        <v>444.63899999999938</v>
      </c>
      <c r="DQ150" s="13">
        <f t="shared" si="151"/>
        <v>100.77006493946399</v>
      </c>
      <c r="DR150" s="20">
        <f t="shared" si="124"/>
        <v>949.92078810289877</v>
      </c>
      <c r="DS150" s="59">
        <f t="shared" si="125"/>
        <v>1243.254121436232</v>
      </c>
      <c r="DT150" s="59">
        <f ca="1">AVERAGE(OFFSET($DS$3,0,0,'Données projet'!$E$14+1,1))-AVERAGE(OFFSET($H$3,0,0,'Données projet'!$E$14+1,1))</f>
        <v>586.50020405958992</v>
      </c>
      <c r="DU150" s="59">
        <f t="shared" si="152"/>
        <v>304.44184537595294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52.149019037464896</v>
      </c>
      <c r="EB150" s="21">
        <f>EXP(-LN(2)/25)*EB149+(1-EXP(-LN(2)/25))/(LN(2)/25)*Calculateur!DW150*Calculateur!DY150*VLOOKUP('Données projet'!$B$14,Paramètres!$A$1:$I$89,3,0)*0.475*44/12</f>
        <v>14.64381286641637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66.792831903881265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-4.8771653382573282E-14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536.21423347711345</v>
      </c>
      <c r="T151" s="59">
        <f t="shared" si="142"/>
        <v>312.14361830038712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106.48337651694993</v>
      </c>
      <c r="AA151" s="21">
        <f>EXP(-LN(2)/25)*AA150+(1-EXP(-LN(2)/25))/(LN(2)/25)*Calculateur!V151*Calculateur!X151*VLOOKUP('Données projet'!$B$9,Paramètres!$A$1:$I$89,3,0)*0.475*44/12</f>
        <v>22.368619624993446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128.85199614194337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7.083333333333333</v>
      </c>
      <c r="AI151" s="13">
        <f>IF('Données projet'!$A$62&gt;35,AI150+AH151-AQ150,IF(A151&lt;'Données projet'!$A$62,$AF$205^A151,IF(A151='Données projet'!$A$62,'Données projet'!$B$62,AI150+AH151-AQ150)))</f>
        <v>445.58333333333263</v>
      </c>
      <c r="AJ151" s="13">
        <f>AI151*VLOOKUP('Données projet'!$B$10,Paramètres!$A$1:$I$89,3,0)*VLOOKUP('Données projet'!$B$10,Paramètres!$A$1:$I$89,5,0)</f>
        <v>403.16379999999941</v>
      </c>
      <c r="AK151" s="13">
        <f t="shared" si="143"/>
        <v>92.417782720361771</v>
      </c>
      <c r="AL151" s="20">
        <f t="shared" si="112"/>
        <v>863.13792323796235</v>
      </c>
      <c r="AM151" s="59">
        <f t="shared" si="113"/>
        <v>1156.4712565712957</v>
      </c>
      <c r="AN151" s="59">
        <f ca="1">AVERAGE(OFFSET($AM$3,0,0,'Données projet'!$E$10+1,1))-AVERAGE(OFFSET($H$3,0,0,'Données projet'!$E$10+1,1))</f>
        <v>528.15559695545812</v>
      </c>
      <c r="AO151" s="59">
        <f t="shared" si="144"/>
        <v>276.26988364830532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45.620487657696337</v>
      </c>
      <c r="AV151" s="21">
        <f>EXP(-LN(2)/25)*AV150+(1-EXP(-LN(2)/25))/(LN(2)/25)*Calculateur!AQ151*Calculateur!AS151*VLOOKUP('Données projet'!$B$10,Paramètres!$A$1:$I$89,3,0)*0.475*44/12</f>
        <v>12.709474891430379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58.329962549126719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-4.1677594708744434E-14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464.3681853739115</v>
      </c>
      <c r="BJ151" s="59">
        <f t="shared" si="146"/>
        <v>272.97841038165217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73.826039087737826</v>
      </c>
      <c r="BQ151" s="21">
        <f>EXP(-LN(2)/25)*BQ150+(1-EXP(-LN(2)/25))/(LN(2)/25)*Calculateur!BL151*Calculateur!BN151*VLOOKUP('Données projet'!$B$11,Paramètres!$A$1:$I$89,3,0)*0.475*44/12</f>
        <v>15.50839803159923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89.334437119337053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4.4337866711430253E-14</v>
      </c>
      <c r="CA151" s="13">
        <f t="shared" si="147"/>
        <v>7.3222115536967035E-13</v>
      </c>
      <c r="CB151" s="20">
        <f t="shared" si="118"/>
        <v>1.3525069634579169E-12</v>
      </c>
      <c r="CC151" s="59">
        <f t="shared" si="119"/>
        <v>293.33333333333468</v>
      </c>
      <c r="CD151" s="59">
        <f ca="1">AVERAGE(OFFSET($CC$3,0,0,'Données projet'!$E$12+1,1))-AVERAGE(OFFSET($H$3,0,0,'Données projet'!$E$12+1,1))</f>
        <v>288.82868507674738</v>
      </c>
      <c r="CE151" s="59">
        <f t="shared" si="148"/>
        <v>283.48738729114024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13.900915514395969</v>
      </c>
      <c r="CL151" s="21">
        <f>EXP(-LN(2)/25)*CL150+(1-EXP(-LN(2)/25))/(LN(2)/25)*Calculateur!CG151*Calculateur!CI151*VLOOKUP('Données projet'!$B$12,Paramètres!$A$1:$I$89,3,0)*0.475*44/12</f>
        <v>1.064280712547923</v>
      </c>
      <c r="CM151" s="21">
        <f>EXP(-LN(2)/2)*CM150+(1-EXP(-LN(2)/2))/(LN(2)/2)*CG151*CJ151*VLOOKUP('Données projet'!$B$12,Paramètres!$A$1:$I$89,3,0)*0.475*44/12</f>
        <v>9.3775238459312122E-11</v>
      </c>
      <c r="CN151" s="22">
        <f t="shared" si="120"/>
        <v>14.965196227037667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-2.8421709430404007E-13</v>
      </c>
      <c r="CU151" s="17">
        <f>CT151*VLOOKUP('Données projet'!$B$13,Paramètres!$A$1:$I$89,3,0)*VLOOKUP('Données projet'!$B$13,Paramètres!$A$1:$I$89,5,0)</f>
        <v>-1.8621904018800707E-13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340.49092994349405</v>
      </c>
      <c r="CZ151" s="59">
        <f t="shared" si="150"/>
        <v>331.54434271908832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25.899018744375695</v>
      </c>
      <c r="DG151" s="21">
        <f>EXP(-LN(2)/25)*DG150+(1-EXP(-LN(2)/25))/(LN(2)/25)*Calculateur!DB151*Calculateur!DD151*VLOOKUP('Données projet'!$B$13,Paramètres!$A$1:$I$89,3,0)*0.475*44/12</f>
        <v>0.51165674088863333</v>
      </c>
      <c r="DH151" s="21">
        <f>EXP(-LN(2)/2)*DH150+(1-EXP(-LN(2)/2))/(LN(2)/2)*DB151*DE151*VLOOKUP('Données projet'!$B$13,Paramètres!$A$1:$I$89,3,0)*0.475*44/12</f>
        <v>2.763945315869687E-9</v>
      </c>
      <c r="DI151" s="22">
        <f t="shared" si="123"/>
        <v>26.410675488028271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7.083333333333333</v>
      </c>
      <c r="DO151" s="12">
        <f>IF('Données projet'!$A$166&gt;35,DO150+DN151-DW150,IF(A151&lt;'Données projet'!$A$166,$DL$205^A151,IF(A151='Données projet'!$A$166,'Données projet'!$B$166,DO150+DN151-DW150)))</f>
        <v>445.58333333333263</v>
      </c>
      <c r="DP151" s="17">
        <f>DO151*VLOOKUP('Données projet'!$B$14,Paramètres!$A$1:$I$89,3,0)*VLOOKUP('Données projet'!$B$14,Paramètres!$A$1:$I$89,5,0)</f>
        <v>451.82149999999928</v>
      </c>
      <c r="DQ151" s="13">
        <f t="shared" si="151"/>
        <v>102.20704014697904</v>
      </c>
      <c r="DR151" s="20">
        <f t="shared" si="124"/>
        <v>964.93304075598735</v>
      </c>
      <c r="DS151" s="59">
        <f t="shared" si="125"/>
        <v>1258.2663740893206</v>
      </c>
      <c r="DT151" s="59">
        <f ca="1">AVERAGE(OFFSET($DS$3,0,0,'Données projet'!$E$14+1,1))-AVERAGE(OFFSET($H$3,0,0,'Données projet'!$E$14+1,1))</f>
        <v>586.50020405958992</v>
      </c>
      <c r="DU151" s="59">
        <f t="shared" si="152"/>
        <v>304.44184537595294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51.126408581901067</v>
      </c>
      <c r="EB151" s="21">
        <f>EXP(-LN(2)/25)*EB150+(1-EXP(-LN(2)/25))/(LN(2)/25)*Calculateur!DW151*Calculateur!DY151*VLOOKUP('Données projet'!$B$14,Paramètres!$A$1:$I$89,3,0)*0.475*44/12</f>
        <v>14.243377033499565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65.36978561540063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-4.8771653382573282E-14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536.21423347711345</v>
      </c>
      <c r="T152" s="59">
        <f t="shared" si="142"/>
        <v>312.14361830038712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104.3953024518991</v>
      </c>
      <c r="AA152" s="21">
        <f>EXP(-LN(2)/25)*AA151+(1-EXP(-LN(2)/25))/(LN(2)/25)*Calculateur!V152*Calculateur!X152*VLOOKUP('Données projet'!$B$9,Paramètres!$A$1:$I$89,3,0)*0.475*44/12</f>
        <v>21.756948545033417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126.15225099693251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7.083333333333333</v>
      </c>
      <c r="AI152" s="13">
        <f>IF('Données projet'!$A$62&gt;35,AI151+AH152-AQ151,IF(A152&lt;'Données projet'!$A$62,$AF$205^A152,IF(A152='Données projet'!$A$62,'Données projet'!$B$62,AI151+AH152-AQ151)))</f>
        <v>452.66666666666595</v>
      </c>
      <c r="AJ152" s="13">
        <f>AI152*VLOOKUP('Données projet'!$B$10,Paramètres!$A$1:$I$89,3,0)*VLOOKUP('Données projet'!$B$10,Paramètres!$A$1:$I$89,5,0)</f>
        <v>409.57279999999935</v>
      </c>
      <c r="AK152" s="13">
        <f t="shared" si="143"/>
        <v>93.714724142983599</v>
      </c>
      <c r="AL152" s="20">
        <f t="shared" si="112"/>
        <v>876.55910454902858</v>
      </c>
      <c r="AM152" s="59">
        <f t="shared" si="113"/>
        <v>1169.8924378823619</v>
      </c>
      <c r="AN152" s="59">
        <f ca="1">AVERAGE(OFFSET($AM$3,0,0,'Données projet'!$E$10+1,1))-AVERAGE(OFFSET($H$3,0,0,'Données projet'!$E$10+1,1))</f>
        <v>528.15559695545812</v>
      </c>
      <c r="AO152" s="59">
        <f t="shared" si="144"/>
        <v>276.26988364830532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44.72589772047882</v>
      </c>
      <c r="AV152" s="21">
        <f>EXP(-LN(2)/25)*AV151+(1-EXP(-LN(2)/25))/(LN(2)/25)*Calculateur!AQ152*Calculateur!AS152*VLOOKUP('Données projet'!$B$10,Paramètres!$A$1:$I$89,3,0)*0.475*44/12</f>
        <v>12.361933632161978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57.087831352640798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-4.1677594708744434E-14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464.3681853739115</v>
      </c>
      <c r="BJ152" s="59">
        <f t="shared" si="146"/>
        <v>272.97841038165217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72.378355490664845</v>
      </c>
      <c r="BQ152" s="21">
        <f>EXP(-LN(2)/25)*BQ151+(1-EXP(-LN(2)/25))/(LN(2)/25)*Calculateur!BL152*Calculateur!BN152*VLOOKUP('Données projet'!$B$11,Paramètres!$A$1:$I$89,3,0)*0.475*44/12</f>
        <v>15.084320071873941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87.462675562538791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4.4337866711430253E-14</v>
      </c>
      <c r="CA152" s="13">
        <f t="shared" si="147"/>
        <v>7.3222115536967035E-13</v>
      </c>
      <c r="CB152" s="20">
        <f t="shared" si="118"/>
        <v>1.3525069634579169E-12</v>
      </c>
      <c r="CC152" s="59">
        <f t="shared" si="119"/>
        <v>293.33333333333468</v>
      </c>
      <c r="CD152" s="59">
        <f ca="1">AVERAGE(OFFSET($CC$3,0,0,'Données projet'!$E$12+1,1))-AVERAGE(OFFSET($H$3,0,0,'Données projet'!$E$12+1,1))</f>
        <v>288.82868507674738</v>
      </c>
      <c r="CE152" s="59">
        <f t="shared" si="148"/>
        <v>283.48738729114024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13.628327039879924</v>
      </c>
      <c r="CL152" s="21">
        <f>EXP(-LN(2)/25)*CL151+(1-EXP(-LN(2)/25))/(LN(2)/25)*Calculateur!CG152*Calculateur!CI152*VLOOKUP('Données projet'!$B$12,Paramètres!$A$1:$I$89,3,0)*0.475*44/12</f>
        <v>1.0351779004952097</v>
      </c>
      <c r="CM152" s="21">
        <f>EXP(-LN(2)/2)*CM151+(1-EXP(-LN(2)/2))/(LN(2)/2)*CG152*CJ152*VLOOKUP('Données projet'!$B$12,Paramètres!$A$1:$I$89,3,0)*0.475*44/12</f>
        <v>6.6309107021965132E-11</v>
      </c>
      <c r="CN152" s="22">
        <f t="shared" si="120"/>
        <v>14.663504940441443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-2.8421709430404007E-13</v>
      </c>
      <c r="CU152" s="17">
        <f>CT152*VLOOKUP('Données projet'!$B$13,Paramètres!$A$1:$I$89,3,0)*VLOOKUP('Données projet'!$B$13,Paramètres!$A$1:$I$89,5,0)</f>
        <v>-1.8621904018800707E-13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340.49092994349405</v>
      </c>
      <c r="CZ152" s="59">
        <f t="shared" si="150"/>
        <v>331.54434271908832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25.391154783640115</v>
      </c>
      <c r="DG152" s="21">
        <f>EXP(-LN(2)/25)*DG151+(1-EXP(-LN(2)/25))/(LN(2)/25)*Calculateur!DB152*Calculateur!DD152*VLOOKUP('Données projet'!$B$13,Paramètres!$A$1:$I$89,3,0)*0.475*44/12</f>
        <v>0.49766546040217507</v>
      </c>
      <c r="DH152" s="21">
        <f>EXP(-LN(2)/2)*DH151+(1-EXP(-LN(2)/2))/(LN(2)/2)*DB152*DE152*VLOOKUP('Données projet'!$B$13,Paramètres!$A$1:$I$89,3,0)*0.475*44/12</f>
        <v>1.9544044756802497E-9</v>
      </c>
      <c r="DI152" s="22">
        <f t="shared" si="123"/>
        <v>25.888820245996694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7.083333333333333</v>
      </c>
      <c r="DO152" s="12">
        <f>IF('Données projet'!$A$166&gt;35,DO151+DN152-DW151,IF(A152&lt;'Données projet'!$A$166,$DL$205^A152,IF(A152='Données projet'!$A$166,'Données projet'!$B$166,DO151+DN152-DW151)))</f>
        <v>452.66666666666595</v>
      </c>
      <c r="DP152" s="17">
        <f>DO152*VLOOKUP('Données projet'!$B$14,Paramètres!$A$1:$I$89,3,0)*VLOOKUP('Données projet'!$B$14,Paramètres!$A$1:$I$89,5,0)</f>
        <v>459.00399999999934</v>
      </c>
      <c r="DQ152" s="13">
        <f t="shared" si="151"/>
        <v>103.64135873966028</v>
      </c>
      <c r="DR152" s="20">
        <f t="shared" si="124"/>
        <v>979.94066647157388</v>
      </c>
      <c r="DS152" s="59">
        <f t="shared" si="125"/>
        <v>1273.2739998049071</v>
      </c>
      <c r="DT152" s="59">
        <f ca="1">AVERAGE(OFFSET($DS$3,0,0,'Données projet'!$E$14+1,1))-AVERAGE(OFFSET($H$3,0,0,'Données projet'!$E$14+1,1))</f>
        <v>586.50020405958992</v>
      </c>
      <c r="DU152" s="59">
        <f t="shared" si="152"/>
        <v>304.44184537595294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50.123850893640054</v>
      </c>
      <c r="EB152" s="21">
        <f>EXP(-LN(2)/25)*EB151+(1-EXP(-LN(2)/25))/(LN(2)/25)*Calculateur!DW152*Calculateur!DY152*VLOOKUP('Données projet'!$B$14,Paramètres!$A$1:$I$89,3,0)*0.475*44/12</f>
        <v>13.853891139491875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63.977742033131932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-4.8771653382573282E-14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536.21423347711345</v>
      </c>
      <c r="T153" s="59">
        <f t="shared" si="142"/>
        <v>312.14361830038712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102.34817424566448</v>
      </c>
      <c r="AA153" s="21">
        <f>EXP(-LN(2)/25)*AA152+(1-EXP(-LN(2)/25))/(LN(2)/25)*Calculateur!V153*Calculateur!X153*VLOOKUP('Données projet'!$B$9,Paramètres!$A$1:$I$89,3,0)*0.475*44/12</f>
        <v>21.162003642921281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123.51017788858576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7.083333333333333</v>
      </c>
      <c r="AI153" s="13">
        <f>IF('Données projet'!$A$62&gt;35,AI152+AH153-AQ152,IF(A153&lt;'Données projet'!$A$62,$AF$205^A153,IF(A153='Données projet'!$A$62,'Données projet'!$B$62,AI152+AH153-AQ152)))</f>
        <v>459.74999999999926</v>
      </c>
      <c r="AJ153" s="13">
        <f>AI153*VLOOKUP('Données projet'!$B$10,Paramètres!$A$1:$I$89,3,0)*VLOOKUP('Données projet'!$B$10,Paramètres!$A$1:$I$89,5,0)</f>
        <v>415.98179999999934</v>
      </c>
      <c r="AK153" s="13">
        <f t="shared" si="143"/>
        <v>95.009305327664421</v>
      </c>
      <c r="AL153" s="20">
        <f t="shared" si="112"/>
        <v>889.97617511234773</v>
      </c>
      <c r="AM153" s="59">
        <f t="shared" si="113"/>
        <v>1183.3095084456811</v>
      </c>
      <c r="AN153" s="59">
        <f ca="1">AVERAGE(OFFSET($AM$3,0,0,'Données projet'!$E$10+1,1))-AVERAGE(OFFSET($H$3,0,0,'Données projet'!$E$10+1,1))</f>
        <v>528.15559695545812</v>
      </c>
      <c r="AO153" s="59">
        <f t="shared" si="144"/>
        <v>276.26988364830532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43.84885014628415</v>
      </c>
      <c r="AV153" s="21">
        <f>EXP(-LN(2)/25)*AV152+(1-EXP(-LN(2)/25))/(LN(2)/25)*Calculateur!AQ153*Calculateur!AS153*VLOOKUP('Données projet'!$B$10,Paramètres!$A$1:$I$89,3,0)*0.475*44/12</f>
        <v>12.023895906904674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55.87274605318882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-4.1677594708744434E-14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464.3681853739115</v>
      </c>
      <c r="BJ153" s="59">
        <f t="shared" si="146"/>
        <v>272.97841038165217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70.959060085930659</v>
      </c>
      <c r="BQ153" s="21">
        <f>EXP(-LN(2)/25)*BQ152+(1-EXP(-LN(2)/25))/(LN(2)/25)*Calculateur!BL153*Calculateur!BN153*VLOOKUP('Données projet'!$B$11,Paramètres!$A$1:$I$89,3,0)*0.475*44/12</f>
        <v>14.671838546258632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85.630898632189286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4.4337866711430253E-14</v>
      </c>
      <c r="CA153" s="13">
        <f t="shared" si="147"/>
        <v>7.3222115536967035E-13</v>
      </c>
      <c r="CB153" s="20">
        <f t="shared" si="118"/>
        <v>1.3525069634579169E-12</v>
      </c>
      <c r="CC153" s="59">
        <f t="shared" si="119"/>
        <v>293.33333333333468</v>
      </c>
      <c r="CD153" s="59">
        <f ca="1">AVERAGE(OFFSET($CC$3,0,0,'Données projet'!$E$12+1,1))-AVERAGE(OFFSET($H$3,0,0,'Données projet'!$E$12+1,1))</f>
        <v>288.82868507674738</v>
      </c>
      <c r="CE153" s="59">
        <f t="shared" si="148"/>
        <v>283.48738729114024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13.361083859086586</v>
      </c>
      <c r="CL153" s="21">
        <f>EXP(-LN(2)/25)*CL152+(1-EXP(-LN(2)/25))/(LN(2)/25)*Calculateur!CG153*Calculateur!CI153*VLOOKUP('Données projet'!$B$12,Paramètres!$A$1:$I$89,3,0)*0.475*44/12</f>
        <v>1.0068709063685284</v>
      </c>
      <c r="CM153" s="21">
        <f>EXP(-LN(2)/2)*CM152+(1-EXP(-LN(2)/2))/(LN(2)/2)*CG153*CJ153*VLOOKUP('Données projet'!$B$12,Paramètres!$A$1:$I$89,3,0)*0.475*44/12</f>
        <v>4.6887619229656061E-11</v>
      </c>
      <c r="CN153" s="22">
        <f t="shared" si="120"/>
        <v>14.367954765502001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-2.8421709430404007E-13</v>
      </c>
      <c r="CU153" s="17">
        <f>CT153*VLOOKUP('Données projet'!$B$13,Paramètres!$A$1:$I$89,3,0)*VLOOKUP('Données projet'!$B$13,Paramètres!$A$1:$I$89,5,0)</f>
        <v>-1.8621904018800707E-13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340.49092994349405</v>
      </c>
      <c r="CZ153" s="59">
        <f t="shared" si="150"/>
        <v>331.54434271908832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24.893249725408129</v>
      </c>
      <c r="DG153" s="21">
        <f>EXP(-LN(2)/25)*DG152+(1-EXP(-LN(2)/25))/(LN(2)/25)*Calculateur!DB153*Calculateur!DD153*VLOOKUP('Données projet'!$B$13,Paramètres!$A$1:$I$89,3,0)*0.475*44/12</f>
        <v>0.48405677221638849</v>
      </c>
      <c r="DH153" s="21">
        <f>EXP(-LN(2)/2)*DH152+(1-EXP(-LN(2)/2))/(LN(2)/2)*DB153*DE153*VLOOKUP('Données projet'!$B$13,Paramètres!$A$1:$I$89,3,0)*0.475*44/12</f>
        <v>1.3819726579348435E-9</v>
      </c>
      <c r="DI153" s="22">
        <f t="shared" si="123"/>
        <v>25.37730649900649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7.083333333333333</v>
      </c>
      <c r="DO153" s="12">
        <f>IF('Données projet'!$A$166&gt;35,DO152+DN153-DW152,IF(A153&lt;'Données projet'!$A$166,$DL$205^A153,IF(A153='Données projet'!$A$166,'Données projet'!$B$166,DO152+DN153-DW152)))</f>
        <v>459.74999999999926</v>
      </c>
      <c r="DP153" s="17">
        <f>DO153*VLOOKUP('Données projet'!$B$14,Paramètres!$A$1:$I$89,3,0)*VLOOKUP('Données projet'!$B$14,Paramètres!$A$1:$I$89,5,0)</f>
        <v>466.18649999999928</v>
      </c>
      <c r="DQ153" s="13">
        <f t="shared" si="151"/>
        <v>105.07306708865363</v>
      </c>
      <c r="DR153" s="20">
        <f t="shared" si="124"/>
        <v>994.94374601273728</v>
      </c>
      <c r="DS153" s="59">
        <f t="shared" si="125"/>
        <v>1288.2770793460706</v>
      </c>
      <c r="DT153" s="59">
        <f ca="1">AVERAGE(OFFSET($DS$3,0,0,'Données projet'!$E$14+1,1))-AVERAGE(OFFSET($H$3,0,0,'Données projet'!$E$14+1,1))</f>
        <v>586.50020405958992</v>
      </c>
      <c r="DU153" s="59">
        <f t="shared" si="152"/>
        <v>304.44184537595294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49.140952750146027</v>
      </c>
      <c r="EB153" s="21">
        <f>EXP(-LN(2)/25)*EB152+(1-EXP(-LN(2)/25))/(LN(2)/25)*Calculateur!DW153*Calculateur!DY153*VLOOKUP('Données projet'!$B$14,Paramètres!$A$1:$I$89,3,0)*0.475*44/12</f>
        <v>13.475055757737998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62.616008507884025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-4.8771653382573282E-14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536.21423347711345</v>
      </c>
      <c r="T154" s="59">
        <f t="shared" si="142"/>
        <v>312.14361830038712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100.34118897492921</v>
      </c>
      <c r="AA154" s="21">
        <f>EXP(-LN(2)/25)*AA153+(1-EXP(-LN(2)/25))/(LN(2)/25)*Calculateur!V154*Calculateur!X154*VLOOKUP('Données projet'!$B$9,Paramètres!$A$1:$I$89,3,0)*0.475*44/12</f>
        <v>20.583327540444195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120.9245165153734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7.083333333333333</v>
      </c>
      <c r="AI154" s="13">
        <f>IF('Données projet'!$A$62&gt;35,AI153+AH154-AQ153,IF(A154&lt;'Données projet'!$A$62,$AF$205^A154,IF(A154='Données projet'!$A$62,'Données projet'!$B$62,AI153+AH154-AQ153)))</f>
        <v>466.83333333333258</v>
      </c>
      <c r="AJ154" s="13">
        <f>AI154*VLOOKUP('Données projet'!$B$10,Paramètres!$A$1:$I$89,3,0)*VLOOKUP('Données projet'!$B$10,Paramètres!$A$1:$I$89,5,0)</f>
        <v>422.39079999999927</v>
      </c>
      <c r="AK154" s="13">
        <f t="shared" ref="AK154:AK203" si="164">EXP(-1.0587+0.8836*LN(AJ154)+0.284)</f>
        <v>96.301566838032542</v>
      </c>
      <c r="AL154" s="20">
        <f t="shared" ref="AL154:AL203" si="165">(AJ154+AK154)*0.475*44/12</f>
        <v>903.38920557623862</v>
      </c>
      <c r="AM154" s="59">
        <f t="shared" si="113"/>
        <v>1196.722538909572</v>
      </c>
      <c r="AN154" s="59">
        <f ca="1">AVERAGE(OFFSET($AM$3,0,0,'Données projet'!$E$10+1,1))-AVERAGE(OFFSET($H$3,0,0,'Données projet'!$E$10+1,1))</f>
        <v>528.15559695545812</v>
      </c>
      <c r="AO154" s="59">
        <f t="shared" si="144"/>
        <v>276.26988364830532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42.98900094007324</v>
      </c>
      <c r="AV154" s="21">
        <f>EXP(-LN(2)/25)*AV153+(1-EXP(-LN(2)/25))/(LN(2)/25)*Calculateur!AQ154*Calculateur!AS154*VLOOKUP('Données projet'!$B$10,Paramètres!$A$1:$I$89,3,0)*0.475*44/12</f>
        <v>11.695101841021161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54.684102781094403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-4.1677594708744434E-14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464.3681853739115</v>
      </c>
      <c r="BJ154" s="59">
        <f t="shared" si="146"/>
        <v>272.97841038165217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69.56759619839859</v>
      </c>
      <c r="BQ154" s="21">
        <f>EXP(-LN(2)/25)*BQ153+(1-EXP(-LN(2)/25))/(LN(2)/25)*Calculateur!BL154*Calculateur!BN154*VLOOKUP('Données projet'!$B$11,Paramètres!$A$1:$I$89,3,0)*0.475*44/12</f>
        <v>14.270636349652733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83.838232548051323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4.4337866711430253E-14</v>
      </c>
      <c r="CA154" s="13">
        <f t="shared" ref="CA154:CA203" si="170">EXP(-1.0587+0.8836*LN(BZ154)+0.284)</f>
        <v>7.3222115536967035E-13</v>
      </c>
      <c r="CB154" s="20">
        <f t="shared" ref="CB154:CB203" si="171">(BZ154+CA154)*0.475*44/12</f>
        <v>1.3525069634579169E-12</v>
      </c>
      <c r="CC154" s="59">
        <f t="shared" si="119"/>
        <v>293.33333333333468</v>
      </c>
      <c r="CD154" s="59">
        <f ca="1">AVERAGE(OFFSET($CC$3,0,0,'Données projet'!$E$12+1,1))-AVERAGE(OFFSET($H$3,0,0,'Données projet'!$E$12+1,1))</f>
        <v>288.82868507674738</v>
      </c>
      <c r="CE154" s="59">
        <f t="shared" si="148"/>
        <v>283.48738729114024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13.09908115406636</v>
      </c>
      <c r="CL154" s="21">
        <f>EXP(-LN(2)/25)*CL153+(1-EXP(-LN(2)/25))/(LN(2)/25)*Calculateur!CG154*Calculateur!CI154*VLOOKUP('Données projet'!$B$12,Paramètres!$A$1:$I$89,3,0)*0.475*44/12</f>
        <v>0.97933796848484123</v>
      </c>
      <c r="CM154" s="21">
        <f>EXP(-LN(2)/2)*CM153+(1-EXP(-LN(2)/2))/(LN(2)/2)*CG154*CJ154*VLOOKUP('Données projet'!$B$12,Paramètres!$A$1:$I$89,3,0)*0.475*44/12</f>
        <v>3.3154553510982566E-11</v>
      </c>
      <c r="CN154" s="22">
        <f t="shared" ref="CN154:CN203" si="172">SUM(CK154:CM154)</f>
        <v>14.078419122584355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-2.8421709430404007E-13</v>
      </c>
      <c r="CU154" s="17">
        <f>CT154*VLOOKUP('Données projet'!$B$13,Paramètres!$A$1:$I$89,3,0)*VLOOKUP('Données projet'!$B$13,Paramètres!$A$1:$I$89,5,0)</f>
        <v>-1.8621904018800707E-13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340.49092994349405</v>
      </c>
      <c r="CZ154" s="59">
        <f t="shared" si="150"/>
        <v>331.54434271908832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24.405108281675975</v>
      </c>
      <c r="DG154" s="21">
        <f>EXP(-LN(2)/25)*DG153+(1-EXP(-LN(2)/25))/(LN(2)/25)*Calculateur!DB154*Calculateur!DD154*VLOOKUP('Données projet'!$B$13,Paramètres!$A$1:$I$89,3,0)*0.475*44/12</f>
        <v>0.47082021432469201</v>
      </c>
      <c r="DH154" s="21">
        <f>EXP(-LN(2)/2)*DH153+(1-EXP(-LN(2)/2))/(LN(2)/2)*DB154*DE154*VLOOKUP('Données projet'!$B$13,Paramètres!$A$1:$I$89,3,0)*0.475*44/12</f>
        <v>9.7720223784012487E-10</v>
      </c>
      <c r="DI154" s="22">
        <f t="shared" ref="DI154:DI203" si="175">SUM(DF154:DH154)</f>
        <v>24.87592849697787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7.083333333333333</v>
      </c>
      <c r="DO154" s="12">
        <f>IF('Données projet'!$A$166&gt;35,DO153+DN154-DW153,IF(A154&lt;'Données projet'!$A$166,$DL$205^A154,IF(A154='Données projet'!$A$166,'Données projet'!$B$166,DO153+DN154-DW153)))</f>
        <v>466.83333333333258</v>
      </c>
      <c r="DP154" s="17">
        <f>DO154*VLOOKUP('Données projet'!$B$14,Paramètres!$A$1:$I$89,3,0)*VLOOKUP('Données projet'!$B$14,Paramètres!$A$1:$I$89,5,0)</f>
        <v>473.36899999999929</v>
      </c>
      <c r="DQ154" s="13">
        <f t="shared" ref="DQ154:DQ203" si="176">EXP(-1.0587+0.8836*LN(DP154)+0.284)</f>
        <v>106.50221005424753</v>
      </c>
      <c r="DR154" s="20">
        <f t="shared" ref="DR154:DR203" si="177">(DP154+DQ154)*0.475*44/12</f>
        <v>1009.9423575111465</v>
      </c>
      <c r="DS154" s="59">
        <f t="shared" si="125"/>
        <v>1303.2756908444799</v>
      </c>
      <c r="DT154" s="59">
        <f ca="1">AVERAGE(OFFSET($DS$3,0,0,'Données projet'!$E$14+1,1))-AVERAGE(OFFSET($H$3,0,0,'Données projet'!$E$14+1,1))</f>
        <v>586.50020405958992</v>
      </c>
      <c r="DU154" s="59">
        <f t="shared" si="152"/>
        <v>304.44184537595294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48.177328639737254</v>
      </c>
      <c r="EB154" s="21">
        <f>EXP(-LN(2)/25)*EB153+(1-EXP(-LN(2)/25))/(LN(2)/25)*Calculateur!DW154*Calculateur!DY154*VLOOKUP('Données projet'!$B$14,Paramètres!$A$1:$I$89,3,0)*0.475*44/12</f>
        <v>13.106579649420267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61.283908289157523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-4.8771653382573282E-14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536.21423347711345</v>
      </c>
      <c r="T155" s="59">
        <f t="shared" si="142"/>
        <v>312.14361830038712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98.37355946121292</v>
      </c>
      <c r="AA155" s="21">
        <f>EXP(-LN(2)/25)*AA154+(1-EXP(-LN(2)/25))/(LN(2)/25)*Calculateur!V155*Calculateur!X155*VLOOKUP('Données projet'!$B$9,Paramètres!$A$1:$I$89,3,0)*0.475*44/12</f>
        <v>20.020475366420598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118.39403482763352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7.083333333333333</v>
      </c>
      <c r="AI155" s="13">
        <f>IF('Données projet'!$A$62&gt;35,AI154+AH155-AQ154,IF(A155&lt;'Données projet'!$A$62,$AF$205^A155,IF(A155='Données projet'!$A$62,'Données projet'!$B$62,AI154+AH155-AQ154)))</f>
        <v>473.91666666666589</v>
      </c>
      <c r="AJ155" s="13">
        <f>AI155*VLOOKUP('Données projet'!$B$10,Paramètres!$A$1:$I$89,3,0)*VLOOKUP('Données projet'!$B$10,Paramètres!$A$1:$I$89,5,0)</f>
        <v>428.79979999999932</v>
      </c>
      <c r="AK155" s="13">
        <f t="shared" si="164"/>
        <v>97.591547936119014</v>
      </c>
      <c r="AL155" s="20">
        <f t="shared" si="165"/>
        <v>916.79826432207267</v>
      </c>
      <c r="AM155" s="59">
        <f t="shared" si="113"/>
        <v>1210.131597655406</v>
      </c>
      <c r="AN155" s="59">
        <f ca="1">AVERAGE(OFFSET($AM$3,0,0,'Données projet'!$E$10+1,1))-AVERAGE(OFFSET($H$3,0,0,'Données projet'!$E$10+1,1))</f>
        <v>528.15559695545812</v>
      </c>
      <c r="AO155" s="59">
        <f t="shared" si="144"/>
        <v>276.26988364830532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42.146012852339901</v>
      </c>
      <c r="AV155" s="21">
        <f>EXP(-LN(2)/25)*AV154+(1-EXP(-LN(2)/25))/(LN(2)/25)*Calculateur!AQ155*Calculateur!AS155*VLOOKUP('Données projet'!$B$10,Paramètres!$A$1:$I$89,3,0)*0.475*44/12</f>
        <v>11.375298666159761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53.521311518499658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-4.1677594708744434E-14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464.3681853739115</v>
      </c>
      <c r="BJ155" s="59">
        <f t="shared" si="146"/>
        <v>272.97841038165217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68.203418068991851</v>
      </c>
      <c r="BQ155" s="21">
        <f>EXP(-LN(2)/25)*BQ154+(1-EXP(-LN(2)/25))/(LN(2)/25)*Calculateur!BL155*Calculateur!BN155*VLOOKUP('Données projet'!$B$11,Paramètres!$A$1:$I$89,3,0)*0.475*44/12</f>
        <v>13.88040504821133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82.083823117203181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4.4337866711430253E-14</v>
      </c>
      <c r="CA155" s="13">
        <f t="shared" si="170"/>
        <v>7.3222115536967035E-13</v>
      </c>
      <c r="CB155" s="20">
        <f t="shared" si="171"/>
        <v>1.3525069634579169E-12</v>
      </c>
      <c r="CC155" s="59">
        <f t="shared" si="119"/>
        <v>293.33333333333468</v>
      </c>
      <c r="CD155" s="59">
        <f ca="1">AVERAGE(OFFSET($CC$3,0,0,'Données projet'!$E$12+1,1))-AVERAGE(OFFSET($H$3,0,0,'Données projet'!$E$12+1,1))</f>
        <v>288.82868507674738</v>
      </c>
      <c r="CE155" s="59">
        <f t="shared" si="148"/>
        <v>283.48738729114024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12.842216162285711</v>
      </c>
      <c r="CL155" s="21">
        <f>EXP(-LN(2)/25)*CL154+(1-EXP(-LN(2)/25))/(LN(2)/25)*Calculateur!CG155*Calculateur!CI155*VLOOKUP('Données projet'!$B$12,Paramètres!$A$1:$I$89,3,0)*0.475*44/12</f>
        <v>0.95255792023547781</v>
      </c>
      <c r="CM155" s="21">
        <f>EXP(-LN(2)/2)*CM154+(1-EXP(-LN(2)/2))/(LN(2)/2)*CG155*CJ155*VLOOKUP('Données projet'!$B$12,Paramètres!$A$1:$I$89,3,0)*0.475*44/12</f>
        <v>2.3443809614828031E-11</v>
      </c>
      <c r="CN155" s="22">
        <f t="shared" si="172"/>
        <v>13.794774082544633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-2.8421709430404007E-13</v>
      </c>
      <c r="CU155" s="17">
        <f>CT155*VLOOKUP('Données projet'!$B$13,Paramètres!$A$1:$I$89,3,0)*VLOOKUP('Données projet'!$B$13,Paramètres!$A$1:$I$89,5,0)</f>
        <v>-1.8621904018800707E-13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340.49092994349405</v>
      </c>
      <c r="CZ155" s="59">
        <f t="shared" si="150"/>
        <v>331.54434271908832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23.926538993918527</v>
      </c>
      <c r="DG155" s="21">
        <f>EXP(-LN(2)/25)*DG154+(1-EXP(-LN(2)/25))/(LN(2)/25)*Calculateur!DB155*Calculateur!DD155*VLOOKUP('Données projet'!$B$13,Paramètres!$A$1:$I$89,3,0)*0.475*44/12</f>
        <v>0.45794561080462431</v>
      </c>
      <c r="DH155" s="21">
        <f>EXP(-LN(2)/2)*DH154+(1-EXP(-LN(2)/2))/(LN(2)/2)*DB155*DE155*VLOOKUP('Données projet'!$B$13,Paramètres!$A$1:$I$89,3,0)*0.475*44/12</f>
        <v>6.9098632896742175E-10</v>
      </c>
      <c r="DI155" s="22">
        <f t="shared" si="175"/>
        <v>24.384484605414137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7.083333333333333</v>
      </c>
      <c r="DO155" s="12">
        <f>IF('Données projet'!$A$166&gt;35,DO154+DN155-DW154,IF(A155&lt;'Données projet'!$A$166,$DL$205^A155,IF(A155='Données projet'!$A$166,'Données projet'!$B$166,DO154+DN155-DW154)))</f>
        <v>473.91666666666589</v>
      </c>
      <c r="DP155" s="17">
        <f>DO155*VLOOKUP('Données projet'!$B$14,Paramètres!$A$1:$I$89,3,0)*VLOOKUP('Données projet'!$B$14,Paramètres!$A$1:$I$89,5,0)</f>
        <v>480.55149999999924</v>
      </c>
      <c r="DQ155" s="13">
        <f t="shared" si="176"/>
        <v>107.92883105726278</v>
      </c>
      <c r="DR155" s="20">
        <f t="shared" si="177"/>
        <v>1024.9365765913979</v>
      </c>
      <c r="DS155" s="59">
        <f t="shared" si="125"/>
        <v>1318.2699099247311</v>
      </c>
      <c r="DT155" s="59">
        <f ca="1">AVERAGE(OFFSET($DS$3,0,0,'Données projet'!$E$14+1,1))-AVERAGE(OFFSET($H$3,0,0,'Données projet'!$E$14+1,1))</f>
        <v>586.50020405958992</v>
      </c>
      <c r="DU155" s="59">
        <f t="shared" si="152"/>
        <v>304.44184537595294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47.232600610380921</v>
      </c>
      <c r="EB155" s="21">
        <f>EXP(-LN(2)/25)*EB154+(1-EXP(-LN(2)/25))/(LN(2)/25)*Calculateur!DW155*Calculateur!DY155*VLOOKUP('Données projet'!$B$14,Paramètres!$A$1:$I$89,3,0)*0.475*44/12</f>
        <v>12.748179539661802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59.980780150042719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-4.8771653382573282E-14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536.21423347711345</v>
      </c>
      <c r="T156" s="59">
        <f t="shared" si="142"/>
        <v>312.14361830038712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96.4445139621251</v>
      </c>
      <c r="AA156" s="21">
        <f>EXP(-LN(2)/25)*AA155+(1-EXP(-LN(2)/25))/(LN(2)/25)*Calculateur!V156*Calculateur!X156*VLOOKUP('Données projet'!$B$9,Paramètres!$A$1:$I$89,3,0)*0.475*44/12</f>
        <v>19.473014414694784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115.91752837681989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481</v>
      </c>
      <c r="AG156" s="12">
        <f>VLOOKUP(A156,'Données projet'!$A$61:$I$81,9,0)</f>
        <v>7.083333333333333</v>
      </c>
      <c r="AH156" s="12">
        <f t="array" ref="AH156">INDEX(AG:AG,MIN(IF(ISNUMBER(AG156:AG352),ROW(AG156:AG352),"")))</f>
        <v>7.083333333333333</v>
      </c>
      <c r="AI156" s="13">
        <f>IF('Données projet'!$A$62&gt;35,AI155+AH156-AQ155,IF(A156&lt;'Données projet'!$A$62,$AF$205^A156,IF(A156='Données projet'!$A$62,'Données projet'!$B$62,AI155+AH156-AQ155)))</f>
        <v>480.9999999999992</v>
      </c>
      <c r="AJ156" s="13">
        <f>AI156*VLOOKUP('Données projet'!$B$10,Paramètres!$A$1:$I$89,3,0)*VLOOKUP('Données projet'!$B$10,Paramètres!$A$1:$I$89,5,0)</f>
        <v>435.20879999999926</v>
      </c>
      <c r="AK156" s="13">
        <f t="shared" si="164"/>
        <v>98.879286642940571</v>
      </c>
      <c r="AL156" s="20">
        <f t="shared" si="165"/>
        <v>930.20341756978689</v>
      </c>
      <c r="AM156" s="59">
        <f t="shared" si="113"/>
        <v>1223.5367509031203</v>
      </c>
      <c r="AN156" s="59">
        <f ca="1">AVERAGE(OFFSET($AM$3,0,0,'Données projet'!$E$10+1,1))-AVERAGE(OFFSET($H$3,0,0,'Données projet'!$E$10+1,1))</f>
        <v>528.15559695545812</v>
      </c>
      <c r="AO156" s="59">
        <f t="shared" si="144"/>
        <v>276.26988364830532</v>
      </c>
      <c r="AP156" s="15" t="str">
        <f>IF(ISNA(VLOOKUP(A156,'Données projet'!$A$61:$I$81,3,0)),0,VLOOKUP(A156,'Données projet'!$A$61:$I$81,3,0))</f>
        <v>CR</v>
      </c>
      <c r="AQ156" s="15">
        <f>IF(ISNA(VLOOKUP(A156,'Données projet'!$A$61:$I$81,4,0)),0,VLOOKUP(A156,'Données projet'!$A$61:$I$81,4,0))</f>
        <v>481</v>
      </c>
      <c r="AR156" s="16">
        <f>IF(ISNA(VLOOKUP(A156,'Données projet'!$A$61:$I$81,5,0)),0%,VLOOKUP(A156,'Données projet'!$A$61:$I$81,5,0)*VLOOKUP('Données projet'!$B$10,Paramètres!$A$1:$I$89,7,0))</f>
        <v>0.30099999999999999</v>
      </c>
      <c r="AS156" s="16">
        <f>IF(ISNA(VLOOKUP(A156,'Données projet'!$A$61:$I$81,6,0)),0%,VLOOKUP(A156,'Données projet'!$A$61:$I$81,6,0)*VLOOKUP('Données projet'!$B$10,Paramètres!$A$1:$I$89,7,0))</f>
        <v>4.3000000000000003E-2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186.13379687777106</v>
      </c>
      <c r="AV156" s="21">
        <f>EXP(-LN(2)/25)*AV155+(1-EXP(-LN(2)/25))/(LN(2)/25)*Calculateur!AQ156*Calculateur!AS156*VLOOKUP('Données projet'!$B$10,Paramètres!$A$1:$I$89,3,0)*0.475*44/12</f>
        <v>31.670533780658815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217.80433065842988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-4.1677594708744434E-14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464.3681853739115</v>
      </c>
      <c r="BJ156" s="59">
        <f t="shared" si="146"/>
        <v>272.97841038165217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66.865990640636284</v>
      </c>
      <c r="BQ156" s="21">
        <f>EXP(-LN(2)/25)*BQ155+(1-EXP(-LN(2)/25))/(LN(2)/25)*Calculateur!BL156*Calculateur!BN156*VLOOKUP('Données projet'!$B$11,Paramètres!$A$1:$I$89,3,0)*0.475*44/12</f>
        <v>13.500844642229213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80.366835282865495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4.4337866711430253E-14</v>
      </c>
      <c r="CA156" s="13">
        <f t="shared" si="170"/>
        <v>7.3222115536967035E-13</v>
      </c>
      <c r="CB156" s="20">
        <f t="shared" si="171"/>
        <v>1.3525069634579169E-12</v>
      </c>
      <c r="CC156" s="59">
        <f t="shared" si="119"/>
        <v>293.33333333333468</v>
      </c>
      <c r="CD156" s="59">
        <f ca="1">AVERAGE(OFFSET($CC$3,0,0,'Données projet'!$E$12+1,1))-AVERAGE(OFFSET($H$3,0,0,'Données projet'!$E$12+1,1))</f>
        <v>288.82868507674738</v>
      </c>
      <c r="CE156" s="59">
        <f t="shared" si="148"/>
        <v>283.48738729114024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12.590388136321705</v>
      </c>
      <c r="CL156" s="21">
        <f>EXP(-LN(2)/25)*CL155+(1-EXP(-LN(2)/25))/(LN(2)/25)*Calculateur!CG156*Calculateur!CI156*VLOOKUP('Données projet'!$B$12,Paramètres!$A$1:$I$89,3,0)*0.475*44/12</f>
        <v>0.92651017381379475</v>
      </c>
      <c r="CM156" s="21">
        <f>EXP(-LN(2)/2)*CM155+(1-EXP(-LN(2)/2))/(LN(2)/2)*CG156*CJ156*VLOOKUP('Données projet'!$B$12,Paramètres!$A$1:$I$89,3,0)*0.475*44/12</f>
        <v>1.6577276755491283E-11</v>
      </c>
      <c r="CN156" s="22">
        <f t="shared" si="172"/>
        <v>13.516898310152076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-2.8421709430404007E-13</v>
      </c>
      <c r="CU156" s="17">
        <f>CT156*VLOOKUP('Données projet'!$B$13,Paramètres!$A$1:$I$89,3,0)*VLOOKUP('Données projet'!$B$13,Paramètres!$A$1:$I$89,5,0)</f>
        <v>-1.8621904018800707E-13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340.49092994349405</v>
      </c>
      <c r="CZ156" s="59">
        <f t="shared" si="150"/>
        <v>331.54434271908832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23.457354157995557</v>
      </c>
      <c r="DG156" s="21">
        <f>EXP(-LN(2)/25)*DG155+(1-EXP(-LN(2)/25))/(LN(2)/25)*Calculateur!DB156*Calculateur!DD156*VLOOKUP('Données projet'!$B$13,Paramètres!$A$1:$I$89,3,0)*0.475*44/12</f>
        <v>0.44542306399485881</v>
      </c>
      <c r="DH156" s="21">
        <f>EXP(-LN(2)/2)*DH155+(1-EXP(-LN(2)/2))/(LN(2)/2)*DB156*DE156*VLOOKUP('Données projet'!$B$13,Paramètres!$A$1:$I$89,3,0)*0.475*44/12</f>
        <v>4.8860111892006243E-10</v>
      </c>
      <c r="DI156" s="22">
        <f t="shared" si="175"/>
        <v>23.902777222479017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481</v>
      </c>
      <c r="DM156" s="12">
        <f>VLOOKUP(A156,'Données projet'!$A$165:$I$185,9,0)</f>
        <v>7.083333333333333</v>
      </c>
      <c r="DN156" s="12">
        <f t="array" ref="DN156">INDEX(DM:DM,MIN(IF(ISNUMBER(DM156:DM352),ROW(DM156:DM352),"")))</f>
        <v>7.083333333333333</v>
      </c>
      <c r="DO156" s="12">
        <f>IF('Données projet'!$A$166&gt;35,DO155+DN156-DW155,IF(A156&lt;'Données projet'!$A$166,$DL$205^A156,IF(A156='Données projet'!$A$166,'Données projet'!$B$166,DO155+DN156-DW155)))</f>
        <v>480.9999999999992</v>
      </c>
      <c r="DP156" s="17">
        <f>DO156*VLOOKUP('Données projet'!$B$14,Paramètres!$A$1:$I$89,3,0)*VLOOKUP('Données projet'!$B$14,Paramètres!$A$1:$I$89,5,0)</f>
        <v>487.73399999999918</v>
      </c>
      <c r="DQ156" s="13">
        <f t="shared" si="176"/>
        <v>109.35297214605265</v>
      </c>
      <c r="DR156" s="20">
        <f t="shared" si="177"/>
        <v>1039.9264764877069</v>
      </c>
      <c r="DS156" s="59">
        <f t="shared" si="125"/>
        <v>1333.2598098210401</v>
      </c>
      <c r="DT156" s="59">
        <f ca="1">AVERAGE(OFFSET($DS$3,0,0,'Données projet'!$E$14+1,1))-AVERAGE(OFFSET($H$3,0,0,'Données projet'!$E$14+1,1))</f>
        <v>586.50020405958992</v>
      </c>
      <c r="DU156" s="59">
        <f t="shared" si="152"/>
        <v>304.44184537595294</v>
      </c>
      <c r="DV156" s="15" t="str">
        <f>IF(ISNA(VLOOKUP(A156,'Données projet'!$A$165:$I$185,3,0)),0,VLOOKUP(A156,'Données projet'!$A$165:$I$185,3,0))</f>
        <v>CR</v>
      </c>
      <c r="DW156" s="15">
        <f>IF(ISNA(VLOOKUP(A156,'Données projet'!$A$165:$I$185,4,0)),0,VLOOKUP(A156,'Données projet'!$A$165:$I$185,4,0))</f>
        <v>481</v>
      </c>
      <c r="DX156" s="16">
        <f>IF(ISNA(VLOOKUP(A156,'Données projet'!$A$165:$I$185,5,0)),0%,VLOOKUP(A156,'Données projet'!$A$165:$I$185,5,0)*VLOOKUP('Données projet'!$B$14,Paramètres!$A$1:$I$89,7,0))</f>
        <v>0.30099999999999999</v>
      </c>
      <c r="DY156" s="16">
        <f>IF(ISNA(VLOOKUP(A156,'Données projet'!$A$165:$I$185,6,0)),0%,VLOOKUP(A156,'Données projet'!$A$165:$I$185,6,0)*VLOOKUP('Données projet'!$B$14,Paramètres!$A$1:$I$89,7,0))</f>
        <v>4.3000000000000003E-2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208.5982206388814</v>
      </c>
      <c r="EB156" s="21">
        <f>EXP(-LN(2)/25)*EB155+(1-EXP(-LN(2)/25))/(LN(2)/25)*Calculateur!DW156*Calculateur!DY156*VLOOKUP('Données projet'!$B$14,Paramètres!$A$1:$I$89,3,0)*0.475*44/12</f>
        <v>35.492839581772813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244.09106022065421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-4.8771653382573282E-14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536.21423347711345</v>
      </c>
      <c r="T157" s="59">
        <f t="shared" si="142"/>
        <v>312.14361830038712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94.553295868672819</v>
      </c>
      <c r="AA157" s="21">
        <f>EXP(-LN(2)/25)*AA156+(1-EXP(-LN(2)/25))/(LN(2)/25)*Calculateur!V157*Calculateur!X157*VLOOKUP('Données projet'!$B$9,Paramètres!$A$1:$I$89,3,0)*0.475*44/12</f>
        <v>18.940523811483633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113.49381968015645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-7.2004695539362725E-13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528.15559695545812</v>
      </c>
      <c r="AO157" s="59">
        <f t="shared" si="144"/>
        <v>276.26988364830532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182.48382665140386</v>
      </c>
      <c r="AV157" s="21">
        <f>EXP(-LN(2)/25)*AV156+(1-EXP(-LN(2)/25))/(LN(2)/25)*Calculateur!AQ157*Calculateur!AS157*VLOOKUP('Données projet'!$B$10,Paramètres!$A$1:$I$89,3,0)*0.475*44/12</f>
        <v>30.804501368945711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213.28832802034958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-4.1677594708744434E-14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464.3681853739115</v>
      </c>
      <c r="BJ157" s="59">
        <f t="shared" si="146"/>
        <v>272.97841038165217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65.55478934840059</v>
      </c>
      <c r="BQ157" s="21">
        <f>EXP(-LN(2)/25)*BQ156+(1-EXP(-LN(2)/25))/(LN(2)/25)*Calculateur!BL157*Calculateur!BN157*VLOOKUP('Données projet'!$B$11,Paramètres!$A$1:$I$89,3,0)*0.475*44/12</f>
        <v>13.131663335508891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78.686452683909479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4.4337866711430253E-14</v>
      </c>
      <c r="CA157" s="13">
        <f t="shared" si="170"/>
        <v>7.3222115536967035E-13</v>
      </c>
      <c r="CB157" s="20">
        <f t="shared" si="171"/>
        <v>1.3525069634579169E-12</v>
      </c>
      <c r="CC157" s="59">
        <f t="shared" si="119"/>
        <v>293.33333333333468</v>
      </c>
      <c r="CD157" s="59">
        <f ca="1">AVERAGE(OFFSET($CC$3,0,0,'Données projet'!$E$12+1,1))-AVERAGE(OFFSET($H$3,0,0,'Données projet'!$E$12+1,1))</f>
        <v>288.82868507674738</v>
      </c>
      <c r="CE157" s="59">
        <f t="shared" si="148"/>
        <v>283.48738729114024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12.343498304346923</v>
      </c>
      <c r="CL157" s="21">
        <f>EXP(-LN(2)/25)*CL156+(1-EXP(-LN(2)/25))/(LN(2)/25)*Calculateur!CG157*Calculateur!CI157*VLOOKUP('Données projet'!$B$12,Paramètres!$A$1:$I$89,3,0)*0.475*44/12</f>
        <v>0.901174704387804</v>
      </c>
      <c r="CM157" s="21">
        <f>EXP(-LN(2)/2)*CM156+(1-EXP(-LN(2)/2))/(LN(2)/2)*CG157*CJ157*VLOOKUP('Données projet'!$B$12,Paramètres!$A$1:$I$89,3,0)*0.475*44/12</f>
        <v>1.1721904807414015E-11</v>
      </c>
      <c r="CN157" s="22">
        <f t="shared" si="172"/>
        <v>13.244673008746449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-2.8421709430404007E-13</v>
      </c>
      <c r="CU157" s="17">
        <f>CT157*VLOOKUP('Données projet'!$B$13,Paramètres!$A$1:$I$89,3,0)*VLOOKUP('Données projet'!$B$13,Paramètres!$A$1:$I$89,5,0)</f>
        <v>-1.8621904018800707E-13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340.49092994349405</v>
      </c>
      <c r="CZ157" s="59">
        <f t="shared" si="150"/>
        <v>331.54434271908832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22.997369750530545</v>
      </c>
      <c r="DG157" s="21">
        <f>EXP(-LN(2)/25)*DG156+(1-EXP(-LN(2)/25))/(LN(2)/25)*Calculateur!DB157*Calculateur!DD157*VLOOKUP('Données projet'!$B$13,Paramètres!$A$1:$I$89,3,0)*0.475*44/12</f>
        <v>0.43324294688613851</v>
      </c>
      <c r="DH157" s="21">
        <f>EXP(-LN(2)/2)*DH156+(1-EXP(-LN(2)/2))/(LN(2)/2)*DB157*DE157*VLOOKUP('Données projet'!$B$13,Paramètres!$A$1:$I$89,3,0)*0.475*44/12</f>
        <v>3.4549316448371088E-10</v>
      </c>
      <c r="DI157" s="22">
        <f t="shared" si="175"/>
        <v>23.430612697762179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-7.9580786405131221E-13</v>
      </c>
      <c r="DP157" s="17">
        <f>DO157*VLOOKUP('Données projet'!$B$14,Paramètres!$A$1:$I$89,3,0)*VLOOKUP('Données projet'!$B$14,Paramètres!$A$1:$I$89,5,0)</f>
        <v>-8.0694917414803056E-13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586.50020405958992</v>
      </c>
      <c r="DU157" s="59">
        <f t="shared" si="152"/>
        <v>304.44184537595294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204.50773676450439</v>
      </c>
      <c r="EB157" s="21">
        <f>EXP(-LN(2)/25)*EB156+(1-EXP(-LN(2)/25))/(LN(2)/25)*Calculateur!DW157*Calculateur!DY157*VLOOKUP('Données projet'!$B$14,Paramètres!$A$1:$I$89,3,0)*0.475*44/12</f>
        <v>34.522286016921925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239.03002278142631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-4.8771653382573282E-14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536.21423347711345</v>
      </c>
      <c r="T158" s="59">
        <f t="shared" si="142"/>
        <v>312.14361830038712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92.699163408504006</v>
      </c>
      <c r="AA158" s="21">
        <f>EXP(-LN(2)/25)*AA157+(1-EXP(-LN(2)/25))/(LN(2)/25)*Calculateur!V158*Calculateur!X158*VLOOKUP('Données projet'!$B$9,Paramètres!$A$1:$I$89,3,0)*0.475*44/12</f>
        <v>18.422594191819755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111.12175760032376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-7.2004695539362725E-13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528.15559695545812</v>
      </c>
      <c r="AO158" s="59">
        <f t="shared" si="144"/>
        <v>276.26988364830532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178.90543011491371</v>
      </c>
      <c r="AV158" s="21">
        <f>EXP(-LN(2)/25)*AV157+(1-EXP(-LN(2)/25))/(LN(2)/25)*Calculateur!AQ158*Calculateur!AS158*VLOOKUP('Données projet'!$B$10,Paramètres!$A$1:$I$89,3,0)*0.475*44/12</f>
        <v>29.962150659073568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208.86758077398727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-4.1677594708744434E-14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464.3681853739115</v>
      </c>
      <c r="BJ158" s="59">
        <f t="shared" si="146"/>
        <v>272.97841038165217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64.269299913751823</v>
      </c>
      <c r="BQ158" s="21">
        <f>EXP(-LN(2)/25)*BQ157+(1-EXP(-LN(2)/25))/(LN(2)/25)*Calculateur!BL158*Calculateur!BN158*VLOOKUP('Données projet'!$B$11,Paramètres!$A$1:$I$89,3,0)*0.475*44/12</f>
        <v>12.772577311035239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77.041877224787058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4.4337866711430253E-14</v>
      </c>
      <c r="CA158" s="13">
        <f t="shared" si="170"/>
        <v>7.3222115536967035E-13</v>
      </c>
      <c r="CB158" s="20">
        <f t="shared" si="171"/>
        <v>1.3525069634579169E-12</v>
      </c>
      <c r="CC158" s="59">
        <f t="shared" si="119"/>
        <v>293.33333333333468</v>
      </c>
      <c r="CD158" s="59">
        <f ca="1">AVERAGE(OFFSET($CC$3,0,0,'Données projet'!$E$12+1,1))-AVERAGE(OFFSET($H$3,0,0,'Données projet'!$E$12+1,1))</f>
        <v>288.82868507674738</v>
      </c>
      <c r="CE158" s="59">
        <f t="shared" si="148"/>
        <v>283.48738729114024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12.101449831389239</v>
      </c>
      <c r="CL158" s="21">
        <f>EXP(-LN(2)/25)*CL157+(1-EXP(-LN(2)/25))/(LN(2)/25)*Calculateur!CG158*Calculateur!CI158*VLOOKUP('Données projet'!$B$12,Paramètres!$A$1:$I$89,3,0)*0.475*44/12</f>
        <v>0.87653203470560148</v>
      </c>
      <c r="CM158" s="21">
        <f>EXP(-LN(2)/2)*CM157+(1-EXP(-LN(2)/2))/(LN(2)/2)*CG158*CJ158*VLOOKUP('Données projet'!$B$12,Paramètres!$A$1:$I$89,3,0)*0.475*44/12</f>
        <v>8.2886383777456414E-12</v>
      </c>
      <c r="CN158" s="22">
        <f t="shared" si="172"/>
        <v>12.977981866103129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-2.8421709430404007E-13</v>
      </c>
      <c r="CU158" s="17">
        <f>CT158*VLOOKUP('Données projet'!$B$13,Paramètres!$A$1:$I$89,3,0)*VLOOKUP('Données projet'!$B$13,Paramètres!$A$1:$I$89,5,0)</f>
        <v>-1.8621904018800707E-13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340.49092994349405</v>
      </c>
      <c r="CZ158" s="59">
        <f t="shared" si="150"/>
        <v>331.54434271908832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22.546405356733136</v>
      </c>
      <c r="DG158" s="21">
        <f>EXP(-LN(2)/25)*DG157+(1-EXP(-LN(2)/25))/(LN(2)/25)*Calculateur!DB158*Calculateur!DD158*VLOOKUP('Données projet'!$B$13,Paramètres!$A$1:$I$89,3,0)*0.475*44/12</f>
        <v>0.42139589572028069</v>
      </c>
      <c r="DH158" s="21">
        <f>EXP(-LN(2)/2)*DH157+(1-EXP(-LN(2)/2))/(LN(2)/2)*DB158*DE158*VLOOKUP('Données projet'!$B$13,Paramètres!$A$1:$I$89,3,0)*0.475*44/12</f>
        <v>2.4430055946003122E-10</v>
      </c>
      <c r="DI158" s="22">
        <f t="shared" si="175"/>
        <v>22.967801252697715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-7.9580786405131221E-13</v>
      </c>
      <c r="DP158" s="17">
        <f>DO158*VLOOKUP('Données projet'!$B$14,Paramètres!$A$1:$I$89,3,0)*VLOOKUP('Données projet'!$B$14,Paramètres!$A$1:$I$89,5,0)</f>
        <v>-8.0694917414803056E-13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586.50020405958992</v>
      </c>
      <c r="DU158" s="59">
        <f t="shared" si="152"/>
        <v>304.44184537595294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200.49746478395508</v>
      </c>
      <c r="EB158" s="21">
        <f>EXP(-LN(2)/25)*EB157+(1-EXP(-LN(2)/25))/(LN(2)/25)*Calculateur!DW158*Calculateur!DY158*VLOOKUP('Données projet'!$B$14,Paramètres!$A$1:$I$89,3,0)*0.475*44/12</f>
        <v>33.578272290341076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234.07573707429617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-4.8771653382573282E-14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536.21423347711345</v>
      </c>
      <c r="T159" s="59">
        <f t="shared" si="142"/>
        <v>312.14361830038712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90.881389354969969</v>
      </c>
      <c r="AA159" s="21">
        <f>EXP(-LN(2)/25)*AA158+(1-EXP(-LN(2)/25))/(LN(2)/25)*Calculateur!V159*Calculateur!X159*VLOOKUP('Données projet'!$B$9,Paramètres!$A$1:$I$89,3,0)*0.475*44/12</f>
        <v>17.91882738484232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108.80021673981229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-7.2004695539362725E-13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528.15559695545812</v>
      </c>
      <c r="AO159" s="59">
        <f t="shared" si="144"/>
        <v>276.26988364830532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175.39720375189776</v>
      </c>
      <c r="AV159" s="21">
        <f>EXP(-LN(2)/25)*AV158+(1-EXP(-LN(2)/25))/(LN(2)/25)*Calculateur!AQ159*Calculateur!AS159*VLOOKUP('Données projet'!$B$10,Paramètres!$A$1:$I$89,3,0)*0.475*44/12</f>
        <v>29.142834073660179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204.54003782555793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-4.1677594708744434E-14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464.3681853739115</v>
      </c>
      <c r="BJ159" s="59">
        <f t="shared" si="146"/>
        <v>272.97841038165217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63.009018142845377</v>
      </c>
      <c r="BQ159" s="21">
        <f>EXP(-LN(2)/25)*BQ158+(1-EXP(-LN(2)/25))/(LN(2)/25)*Calculateur!BL159*Calculateur!BN159*VLOOKUP('Données projet'!$B$11,Paramètres!$A$1:$I$89,3,0)*0.475*44/12</f>
        <v>12.423310512784331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75.432328655629703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4.4337866711430253E-14</v>
      </c>
      <c r="CA159" s="13">
        <f t="shared" si="170"/>
        <v>7.3222115536967035E-13</v>
      </c>
      <c r="CB159" s="20">
        <f t="shared" si="171"/>
        <v>1.3525069634579169E-12</v>
      </c>
      <c r="CC159" s="59">
        <f t="shared" si="119"/>
        <v>293.33333333333468</v>
      </c>
      <c r="CD159" s="59">
        <f ca="1">AVERAGE(OFFSET($CC$3,0,0,'Données projet'!$E$12+1,1))-AVERAGE(OFFSET($H$3,0,0,'Données projet'!$E$12+1,1))</f>
        <v>288.82868507674738</v>
      </c>
      <c r="CE159" s="59">
        <f t="shared" si="148"/>
        <v>283.48738729114024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11.864147781351264</v>
      </c>
      <c r="CL159" s="21">
        <f>EXP(-LN(2)/25)*CL158+(1-EXP(-LN(2)/25))/(LN(2)/25)*Calculateur!CG159*Calculateur!CI159*VLOOKUP('Données projet'!$B$12,Paramètres!$A$1:$I$89,3,0)*0.475*44/12</f>
        <v>0.85256322012176045</v>
      </c>
      <c r="CM159" s="21">
        <f>EXP(-LN(2)/2)*CM158+(1-EXP(-LN(2)/2))/(LN(2)/2)*CG159*CJ159*VLOOKUP('Données projet'!$B$12,Paramètres!$A$1:$I$89,3,0)*0.475*44/12</f>
        <v>5.8609524037070076E-12</v>
      </c>
      <c r="CN159" s="22">
        <f t="shared" si="172"/>
        <v>12.716711001478885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-2.8421709430404007E-13</v>
      </c>
      <c r="CU159" s="17">
        <f>CT159*VLOOKUP('Données projet'!$B$13,Paramètres!$A$1:$I$89,3,0)*VLOOKUP('Données projet'!$B$13,Paramètres!$A$1:$I$89,5,0)</f>
        <v>-1.8621904018800707E-13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340.49092994349405</v>
      </c>
      <c r="CZ159" s="59">
        <f t="shared" si="150"/>
        <v>331.54434271908832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22.104284099636974</v>
      </c>
      <c r="DG159" s="21">
        <f>EXP(-LN(2)/25)*DG158+(1-EXP(-LN(2)/25))/(LN(2)/25)*Calculateur!DB159*Calculateur!DD159*VLOOKUP('Données projet'!$B$13,Paramètres!$A$1:$I$89,3,0)*0.475*44/12</f>
        <v>0.40987280279156257</v>
      </c>
      <c r="DH159" s="21">
        <f>EXP(-LN(2)/2)*DH158+(1-EXP(-LN(2)/2))/(LN(2)/2)*DB159*DE159*VLOOKUP('Données projet'!$B$13,Paramètres!$A$1:$I$89,3,0)*0.475*44/12</f>
        <v>1.7274658224185544E-10</v>
      </c>
      <c r="DI159" s="22">
        <f t="shared" si="175"/>
        <v>22.514156902601282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-7.9580786405131221E-13</v>
      </c>
      <c r="DP159" s="17">
        <f>DO159*VLOOKUP('Données projet'!$B$14,Paramètres!$A$1:$I$89,3,0)*VLOOKUP('Données projet'!$B$14,Paramètres!$A$1:$I$89,5,0)</f>
        <v>-8.0694917414803056E-13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586.50020405958992</v>
      </c>
      <c r="DU159" s="59">
        <f t="shared" si="152"/>
        <v>304.44184537595294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196.56583179091996</v>
      </c>
      <c r="EB159" s="21">
        <f>EXP(-LN(2)/25)*EB158+(1-EXP(-LN(2)/25))/(LN(2)/25)*Calculateur!DW159*Calculateur!DY159*VLOOKUP('Données projet'!$B$14,Paramètres!$A$1:$I$89,3,0)*0.475*44/12</f>
        <v>32.660072668757103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229.22590445967705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-4.8771653382573282E-14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536.21423347711345</v>
      </c>
      <c r="T160" s="59">
        <f t="shared" si="142"/>
        <v>312.14361830038712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89.099260741893048</v>
      </c>
      <c r="AA160" s="21">
        <f>EXP(-LN(2)/25)*AA159+(1-EXP(-LN(2)/25))/(LN(2)/25)*Calculateur!V160*Calculateur!X160*VLOOKUP('Données projet'!$B$9,Paramètres!$A$1:$I$89,3,0)*0.475*44/12</f>
        <v>17.42883610769363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106.52809684958667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-7.2004695539362725E-13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528.15559695545812</v>
      </c>
      <c r="AO160" s="59">
        <f t="shared" si="144"/>
        <v>276.26988364830532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171.95777156805377</v>
      </c>
      <c r="AV160" s="21">
        <f>EXP(-LN(2)/25)*AV159+(1-EXP(-LN(2)/25))/(LN(2)/25)*Calculateur!AQ160*Calculateur!AS160*VLOOKUP('Données projet'!$B$10,Paramètres!$A$1:$I$89,3,0)*0.475*44/12</f>
        <v>28.345921743360904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200.30369331141469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-4.1677594708744434E-14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464.3681853739115</v>
      </c>
      <c r="BJ160" s="59">
        <f t="shared" si="146"/>
        <v>272.97841038165217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61.77344972877043</v>
      </c>
      <c r="BQ160" s="21">
        <f>EXP(-LN(2)/25)*BQ159+(1-EXP(-LN(2)/25))/(LN(2)/25)*Calculateur!BL160*Calculateur!BN160*VLOOKUP('Données projet'!$B$11,Paramètres!$A$1:$I$89,3,0)*0.475*44/12</f>
        <v>12.083594433498737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73.857044162269162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4.4337866711430253E-14</v>
      </c>
      <c r="CA160" s="13">
        <f t="shared" si="170"/>
        <v>7.3222115536967035E-13</v>
      </c>
      <c r="CB160" s="20">
        <f t="shared" si="171"/>
        <v>1.3525069634579169E-12</v>
      </c>
      <c r="CC160" s="59">
        <f t="shared" si="119"/>
        <v>293.33333333333468</v>
      </c>
      <c r="CD160" s="59">
        <f ca="1">AVERAGE(OFFSET($CC$3,0,0,'Données projet'!$E$12+1,1))-AVERAGE(OFFSET($H$3,0,0,'Données projet'!$E$12+1,1))</f>
        <v>288.82868507674738</v>
      </c>
      <c r="CE160" s="59">
        <f t="shared" si="148"/>
        <v>283.48738729114024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11.631499079774576</v>
      </c>
      <c r="CL160" s="21">
        <f>EXP(-LN(2)/25)*CL159+(1-EXP(-LN(2)/25))/(LN(2)/25)*Calculateur!CG160*Calculateur!CI160*VLOOKUP('Données projet'!$B$12,Paramètres!$A$1:$I$89,3,0)*0.475*44/12</f>
        <v>0.82924983403317976</v>
      </c>
      <c r="CM160" s="21">
        <f>EXP(-LN(2)/2)*CM159+(1-EXP(-LN(2)/2))/(LN(2)/2)*CG160*CJ160*VLOOKUP('Données projet'!$B$12,Paramètres!$A$1:$I$89,3,0)*0.475*44/12</f>
        <v>4.1443191888728207E-12</v>
      </c>
      <c r="CN160" s="22">
        <f t="shared" si="172"/>
        <v>12.4607489138119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-2.8421709430404007E-13</v>
      </c>
      <c r="CU160" s="17">
        <f>CT160*VLOOKUP('Données projet'!$B$13,Paramètres!$A$1:$I$89,3,0)*VLOOKUP('Données projet'!$B$13,Paramètres!$A$1:$I$89,5,0)</f>
        <v>-1.8621904018800707E-13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340.49092994349405</v>
      </c>
      <c r="CZ160" s="59">
        <f t="shared" si="150"/>
        <v>331.54434271908832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21.670832570725128</v>
      </c>
      <c r="DG160" s="21">
        <f>EXP(-LN(2)/25)*DG159+(1-EXP(-LN(2)/25))/(LN(2)/25)*Calculateur!DB160*Calculateur!DD160*VLOOKUP('Données projet'!$B$13,Paramètres!$A$1:$I$89,3,0)*0.475*44/12</f>
        <v>0.39866480944495336</v>
      </c>
      <c r="DH160" s="21">
        <f>EXP(-LN(2)/2)*DH159+(1-EXP(-LN(2)/2))/(LN(2)/2)*DB160*DE160*VLOOKUP('Données projet'!$B$13,Paramètres!$A$1:$I$89,3,0)*0.475*44/12</f>
        <v>1.2215027973001561E-10</v>
      </c>
      <c r="DI160" s="22">
        <f t="shared" si="175"/>
        <v>22.06949738029223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-7.9580786405131221E-13</v>
      </c>
      <c r="DP160" s="17">
        <f>DO160*VLOOKUP('Données projet'!$B$14,Paramètres!$A$1:$I$89,3,0)*VLOOKUP('Données projet'!$B$14,Paramètres!$A$1:$I$89,5,0)</f>
        <v>-8.0694917414803056E-13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586.50020405958992</v>
      </c>
      <c r="DU160" s="59">
        <f t="shared" si="152"/>
        <v>304.44184537595294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192.71129572281893</v>
      </c>
      <c r="EB160" s="21">
        <f>EXP(-LN(2)/25)*EB159+(1-EXP(-LN(2)/25))/(LN(2)/25)*Calculateur!DW160*Calculateur!DY160*VLOOKUP('Données projet'!$B$14,Paramètres!$A$1:$I$89,3,0)*0.475*44/12</f>
        <v>31.766981264111365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224.4782769869303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-4.8771653382573282E-14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536.21423347711345</v>
      </c>
      <c r="T161" s="59">
        <f t="shared" si="142"/>
        <v>312.14361830038712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87.352078583927437</v>
      </c>
      <c r="AA161" s="21">
        <f>EXP(-LN(2)/25)*AA160+(1-EXP(-LN(2)/25))/(LN(2)/25)*Calculateur!V161*Calculateur!X161*VLOOKUP('Données projet'!$B$9,Paramètres!$A$1:$I$89,3,0)*0.475*44/12</f>
        <v>16.952243667786092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104.30432225171353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-7.2004695539362725E-13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528.15559695545812</v>
      </c>
      <c r="AO161" s="59">
        <f t="shared" si="144"/>
        <v>276.26988364830532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168.58578455148847</v>
      </c>
      <c r="AV161" s="21">
        <f>EXP(-LN(2)/25)*AV160+(1-EXP(-LN(2)/25))/(LN(2)/25)*Calculateur!AQ161*Calculateur!AS161*VLOOKUP('Données projet'!$B$10,Paramètres!$A$1:$I$89,3,0)*0.475*44/12</f>
        <v>27.570801022641461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196.15658557412993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-4.1677594708744434E-14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464.3681853739115</v>
      </c>
      <c r="BJ161" s="59">
        <f t="shared" si="146"/>
        <v>272.97841038165217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60.562110057673173</v>
      </c>
      <c r="BQ161" s="21">
        <f>EXP(-LN(2)/25)*BQ160+(1-EXP(-LN(2)/25))/(LN(2)/25)*Calculateur!BL161*Calculateur!BN161*VLOOKUP('Données projet'!$B$11,Paramètres!$A$1:$I$89,3,0)*0.475*44/12</f>
        <v>11.7531679082661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72.315277965939273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4.4337866711430253E-14</v>
      </c>
      <c r="CA161" s="13">
        <f t="shared" si="170"/>
        <v>7.3222115536967035E-13</v>
      </c>
      <c r="CB161" s="20">
        <f t="shared" si="171"/>
        <v>1.3525069634579169E-12</v>
      </c>
      <c r="CC161" s="59">
        <f t="shared" si="119"/>
        <v>293.33333333333468</v>
      </c>
      <c r="CD161" s="59">
        <f ca="1">AVERAGE(OFFSET($CC$3,0,0,'Données projet'!$E$12+1,1))-AVERAGE(OFFSET($H$3,0,0,'Données projet'!$E$12+1,1))</f>
        <v>288.82868507674738</v>
      </c>
      <c r="CE161" s="59">
        <f t="shared" si="148"/>
        <v>283.48738729114024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11.403412477334109</v>
      </c>
      <c r="CL161" s="21">
        <f>EXP(-LN(2)/25)*CL160+(1-EXP(-LN(2)/25))/(LN(2)/25)*Calculateur!CG161*Calculateur!CI161*VLOOKUP('Données projet'!$B$12,Paramètres!$A$1:$I$89,3,0)*0.475*44/12</f>
        <v>0.80657395371318896</v>
      </c>
      <c r="CM161" s="21">
        <f>EXP(-LN(2)/2)*CM160+(1-EXP(-LN(2)/2))/(LN(2)/2)*CG161*CJ161*VLOOKUP('Données projet'!$B$12,Paramètres!$A$1:$I$89,3,0)*0.475*44/12</f>
        <v>2.9304762018535038E-12</v>
      </c>
      <c r="CN161" s="22">
        <f t="shared" si="172"/>
        <v>12.209986431050229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-2.8421709430404007E-13</v>
      </c>
      <c r="CU161" s="17">
        <f>CT161*VLOOKUP('Données projet'!$B$13,Paramètres!$A$1:$I$89,3,0)*VLOOKUP('Données projet'!$B$13,Paramètres!$A$1:$I$89,5,0)</f>
        <v>-1.8621904018800707E-13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340.49092994349405</v>
      </c>
      <c r="CZ161" s="59">
        <f t="shared" si="150"/>
        <v>331.54434271908832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21.245880761915917</v>
      </c>
      <c r="DG161" s="21">
        <f>EXP(-LN(2)/25)*DG160+(1-EXP(-LN(2)/25))/(LN(2)/25)*Calculateur!DB161*Calculateur!DD161*VLOOKUP('Données projet'!$B$13,Paramètres!$A$1:$I$89,3,0)*0.475*44/12</f>
        <v>0.38776329926580994</v>
      </c>
      <c r="DH161" s="21">
        <f>EXP(-LN(2)/2)*DH160+(1-EXP(-LN(2)/2))/(LN(2)/2)*DB161*DE161*VLOOKUP('Données projet'!$B$13,Paramètres!$A$1:$I$89,3,0)*0.475*44/12</f>
        <v>8.6373291120927719E-11</v>
      </c>
      <c r="DI161" s="22">
        <f t="shared" si="175"/>
        <v>21.6336440612681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-7.9580786405131221E-13</v>
      </c>
      <c r="DP161" s="17">
        <f>DO161*VLOOKUP('Données projet'!$B$14,Paramètres!$A$1:$I$89,3,0)*VLOOKUP('Données projet'!$B$14,Paramètres!$A$1:$I$89,5,0)</f>
        <v>-8.0694917414803056E-13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586.50020405958992</v>
      </c>
      <c r="DU161" s="59">
        <f t="shared" si="152"/>
        <v>304.44184537595294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188.93234475597851</v>
      </c>
      <c r="EB161" s="21">
        <f>EXP(-LN(2)/25)*EB160+(1-EXP(-LN(2)/25))/(LN(2)/25)*Calculateur!DW161*Calculateur!DY161*VLOOKUP('Données projet'!$B$14,Paramètres!$A$1:$I$89,3,0)*0.475*44/12</f>
        <v>30.898311490891299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219.83065624686981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-4.8771653382573282E-14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536.21423347711345</v>
      </c>
      <c r="T162" s="59">
        <f t="shared" si="142"/>
        <v>312.14361830038712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85.639157602403642</v>
      </c>
      <c r="AA162" s="21">
        <f>EXP(-LN(2)/25)*AA161+(1-EXP(-LN(2)/25))/(LN(2)/25)*Calculateur!V162*Calculateur!X162*VLOOKUP('Données projet'!$B$9,Paramètres!$A$1:$I$89,3,0)*0.475*44/12</f>
        <v>16.488683673210733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102.12784127561437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-7.2004695539362725E-13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528.15559695545812</v>
      </c>
      <c r="AO162" s="59">
        <f t="shared" si="144"/>
        <v>276.26988364830532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165.27992014360902</v>
      </c>
      <c r="AV162" s="21">
        <f>EXP(-LN(2)/25)*AV161+(1-EXP(-LN(2)/25))/(LN(2)/25)*Calculateur!AQ162*Calculateur!AS162*VLOOKUP('Données projet'!$B$10,Paramètres!$A$1:$I$89,3,0)*0.475*44/12</f>
        <v>26.81687601879192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192.09679616240095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-4.1677594708744434E-14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464.3681853739115</v>
      </c>
      <c r="BJ162" s="59">
        <f t="shared" si="146"/>
        <v>272.97841038165217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59.374524018681889</v>
      </c>
      <c r="BQ162" s="21">
        <f>EXP(-LN(2)/25)*BQ161+(1-EXP(-LN(2)/25))/(LN(2)/25)*Calculateur!BL162*Calculateur!BN162*VLOOKUP('Données projet'!$B$11,Paramètres!$A$1:$I$89,3,0)*0.475*44/12</f>
        <v>11.431776913742326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70.806300932424222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4.4337866711430253E-14</v>
      </c>
      <c r="CA162" s="13">
        <f t="shared" si="170"/>
        <v>7.3222115536967035E-13</v>
      </c>
      <c r="CB162" s="20">
        <f t="shared" si="171"/>
        <v>1.3525069634579169E-12</v>
      </c>
      <c r="CC162" s="59">
        <f t="shared" si="119"/>
        <v>293.33333333333468</v>
      </c>
      <c r="CD162" s="59">
        <f ca="1">AVERAGE(OFFSET($CC$3,0,0,'Données projet'!$E$12+1,1))-AVERAGE(OFFSET($H$3,0,0,'Données projet'!$E$12+1,1))</f>
        <v>288.82868507674738</v>
      </c>
      <c r="CE162" s="59">
        <f t="shared" si="148"/>
        <v>283.48738729114024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11.179798514048411</v>
      </c>
      <c r="CL162" s="21">
        <f>EXP(-LN(2)/25)*CL161+(1-EXP(-LN(2)/25))/(LN(2)/25)*Calculateur!CG162*Calculateur!CI162*VLOOKUP('Données projet'!$B$12,Paramètres!$A$1:$I$89,3,0)*0.475*44/12</f>
        <v>0.78451814653302099</v>
      </c>
      <c r="CM162" s="21">
        <f>EXP(-LN(2)/2)*CM161+(1-EXP(-LN(2)/2))/(LN(2)/2)*CG162*CJ162*VLOOKUP('Données projet'!$B$12,Paramètres!$A$1:$I$89,3,0)*0.475*44/12</f>
        <v>2.0721595944364104E-12</v>
      </c>
      <c r="CN162" s="22">
        <f t="shared" si="172"/>
        <v>11.964316660583505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-2.8421709430404007E-13</v>
      </c>
      <c r="CU162" s="17">
        <f>CT162*VLOOKUP('Données projet'!$B$13,Paramètres!$A$1:$I$89,3,0)*VLOOKUP('Données projet'!$B$13,Paramètres!$A$1:$I$89,5,0)</f>
        <v>-1.8621904018800707E-13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340.49092994349405</v>
      </c>
      <c r="CZ162" s="59">
        <f t="shared" si="150"/>
        <v>331.54434271908832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20.829261998882444</v>
      </c>
      <c r="DG162" s="21">
        <f>EXP(-LN(2)/25)*DG161+(1-EXP(-LN(2)/25))/(LN(2)/25)*Calculateur!DB162*Calculateur!DD162*VLOOKUP('Données projet'!$B$13,Paramètres!$A$1:$I$89,3,0)*0.475*44/12</f>
        <v>0.3771598914558007</v>
      </c>
      <c r="DH162" s="21">
        <f>EXP(-LN(2)/2)*DH161+(1-EXP(-LN(2)/2))/(LN(2)/2)*DB162*DE162*VLOOKUP('Données projet'!$B$13,Paramètres!$A$1:$I$89,3,0)*0.475*44/12</f>
        <v>6.1075139865007804E-11</v>
      </c>
      <c r="DI162" s="22">
        <f t="shared" si="175"/>
        <v>21.206421890399319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-7.9580786405131221E-13</v>
      </c>
      <c r="DP162" s="17">
        <f>DO162*VLOOKUP('Données projet'!$B$14,Paramètres!$A$1:$I$89,3,0)*VLOOKUP('Données projet'!$B$14,Paramètres!$A$1:$I$89,5,0)</f>
        <v>-8.0694917414803056E-13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586.50020405958992</v>
      </c>
      <c r="DU162" s="59">
        <f t="shared" si="152"/>
        <v>304.44184537595294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185.22749671266533</v>
      </c>
      <c r="EB162" s="21">
        <f>EXP(-LN(2)/25)*EB161+(1-EXP(-LN(2)/25))/(LN(2)/25)*Calculateur!DW162*Calculateur!DY162*VLOOKUP('Données projet'!$B$14,Paramètres!$A$1:$I$89,3,0)*0.475*44/12</f>
        <v>30.053395538301295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215.28089225096662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-4.8771653382573282E-14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536.21423347711345</v>
      </c>
      <c r="T163" s="59">
        <f t="shared" si="142"/>
        <v>312.14361830038712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83.959825956548897</v>
      </c>
      <c r="AA163" s="21">
        <f>EXP(-LN(2)/25)*AA162+(1-EXP(-LN(2)/25))/(LN(2)/25)*Calculateur!V163*Calculateur!X163*VLOOKUP('Données projet'!$B$9,Paramètres!$A$1:$I$89,3,0)*0.475*44/12</f>
        <v>16.037799751064597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99.997625707613494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-7.2004695539362725E-13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528.15559695545812</v>
      </c>
      <c r="AO163" s="59">
        <f t="shared" si="144"/>
        <v>276.26988364830532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162.0388817203899</v>
      </c>
      <c r="AV163" s="21">
        <f>EXP(-LN(2)/25)*AV162+(1-EXP(-LN(2)/25))/(LN(2)/25)*Calculateur!AQ163*Calculateur!AS163*VLOOKUP('Données projet'!$B$10,Paramètres!$A$1:$I$89,3,0)*0.475*44/12</f>
        <v>26.083567133819837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188.12244885420972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-4.1677594708744434E-14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464.3681853739115</v>
      </c>
      <c r="BJ163" s="59">
        <f t="shared" si="146"/>
        <v>272.97841038165217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58.210225817559262</v>
      </c>
      <c r="BQ163" s="21">
        <f>EXP(-LN(2)/25)*BQ162+(1-EXP(-LN(2)/25))/(LN(2)/25)*Calculateur!BL163*Calculateur!BN163*VLOOKUP('Données projet'!$B$11,Paramètres!$A$1:$I$89,3,0)*0.475*44/12</f>
        <v>11.119174372865022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69.32940019042428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4.4337866711430253E-14</v>
      </c>
      <c r="CA163" s="13">
        <f t="shared" si="170"/>
        <v>7.3222115536967035E-13</v>
      </c>
      <c r="CB163" s="20">
        <f t="shared" si="171"/>
        <v>1.3525069634579169E-12</v>
      </c>
      <c r="CC163" s="59">
        <f t="shared" si="119"/>
        <v>293.33333333333468</v>
      </c>
      <c r="CD163" s="59">
        <f ca="1">AVERAGE(OFFSET($CC$3,0,0,'Données projet'!$E$12+1,1))-AVERAGE(OFFSET($H$3,0,0,'Données projet'!$E$12+1,1))</f>
        <v>288.82868507674738</v>
      </c>
      <c r="CE163" s="59">
        <f t="shared" si="148"/>
        <v>283.48738729114024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10.960569484191694</v>
      </c>
      <c r="CL163" s="21">
        <f>EXP(-LN(2)/25)*CL162+(1-EXP(-LN(2)/25))/(LN(2)/25)*Calculateur!CG163*Calculateur!CI163*VLOOKUP('Données projet'!$B$12,Paramètres!$A$1:$I$89,3,0)*0.475*44/12</f>
        <v>0.7630654565600592</v>
      </c>
      <c r="CM163" s="21">
        <f>EXP(-LN(2)/2)*CM162+(1-EXP(-LN(2)/2))/(LN(2)/2)*CG163*CJ163*VLOOKUP('Données projet'!$B$12,Paramètres!$A$1:$I$89,3,0)*0.475*44/12</f>
        <v>1.4652381009267519E-12</v>
      </c>
      <c r="CN163" s="22">
        <f t="shared" si="172"/>
        <v>11.72363494075322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-2.8421709430404007E-13</v>
      </c>
      <c r="CU163" s="17">
        <f>CT163*VLOOKUP('Données projet'!$B$13,Paramètres!$A$1:$I$89,3,0)*VLOOKUP('Données projet'!$B$13,Paramètres!$A$1:$I$89,5,0)</f>
        <v>-1.8621904018800707E-13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340.49092994349405</v>
      </c>
      <c r="CZ163" s="59">
        <f t="shared" si="150"/>
        <v>331.54434271908832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20.420812875679704</v>
      </c>
      <c r="DG163" s="21">
        <f>EXP(-LN(2)/25)*DG162+(1-EXP(-LN(2)/25))/(LN(2)/25)*Calculateur!DB163*Calculateur!DD163*VLOOKUP('Données projet'!$B$13,Paramètres!$A$1:$I$89,3,0)*0.475*44/12</f>
        <v>0.36684643438996517</v>
      </c>
      <c r="DH163" s="21">
        <f>EXP(-LN(2)/2)*DH162+(1-EXP(-LN(2)/2))/(LN(2)/2)*DB163*DE163*VLOOKUP('Données projet'!$B$13,Paramètres!$A$1:$I$89,3,0)*0.475*44/12</f>
        <v>4.318664556046386E-11</v>
      </c>
      <c r="DI163" s="22">
        <f t="shared" si="175"/>
        <v>20.787659310112858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-7.9580786405131221E-13</v>
      </c>
      <c r="DP163" s="17">
        <f>DO163*VLOOKUP('Données projet'!$B$14,Paramètres!$A$1:$I$89,3,0)*VLOOKUP('Données projet'!$B$14,Paramètres!$A$1:$I$89,5,0)</f>
        <v>-8.0694917414803056E-13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586.50020405958992</v>
      </c>
      <c r="DU163" s="59">
        <f t="shared" si="152"/>
        <v>304.44184537595294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181.59529847974736</v>
      </c>
      <c r="EB163" s="21">
        <f>EXP(-LN(2)/25)*EB162+(1-EXP(-LN(2)/25))/(LN(2)/25)*Calculateur!DW163*Calculateur!DY163*VLOOKUP('Données projet'!$B$14,Paramètres!$A$1:$I$89,3,0)*0.475*44/12</f>
        <v>29.231583856867061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210.8268823366144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-4.8771653382573282E-14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536.21423347711345</v>
      </c>
      <c r="T164" s="59">
        <f t="shared" si="142"/>
        <v>312.14361830038712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82.313424979978194</v>
      </c>
      <c r="AA164" s="21">
        <f>EXP(-LN(2)/25)*AA163+(1-EXP(-LN(2)/25))/(LN(2)/25)*Calculateur!V164*Calculateur!X164*VLOOKUP('Données projet'!$B$9,Paramètres!$A$1:$I$89,3,0)*0.475*44/12</f>
        <v>15.599245273480502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97.9126702534587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-7.2004695539362725E-13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528.15559695545812</v>
      </c>
      <c r="AO164" s="59">
        <f t="shared" si="144"/>
        <v>276.26988364830532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158.86139808381185</v>
      </c>
      <c r="AV164" s="21">
        <f>EXP(-LN(2)/25)*AV163+(1-EXP(-LN(2)/25))/(LN(2)/25)*Calculateur!AQ164*Calculateur!AS164*VLOOKUP('Données projet'!$B$10,Paramètres!$A$1:$I$89,3,0)*0.475*44/12</f>
        <v>25.370310618870352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184.2317087026822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-4.1677594708744434E-14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464.3681853739115</v>
      </c>
      <c r="BJ164" s="59">
        <f t="shared" si="146"/>
        <v>272.97841038165217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57.068758794008872</v>
      </c>
      <c r="BQ164" s="21">
        <f>EXP(-LN(2)/25)*BQ163+(1-EXP(-LN(2)/25))/(LN(2)/25)*Calculateur!BL164*Calculateur!BN164*VLOOKUP('Données projet'!$B$11,Paramètres!$A$1:$I$89,3,0)*0.475*44/12</f>
        <v>10.81511996490706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67.883878758915927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4.4337866711430253E-14</v>
      </c>
      <c r="CA164" s="13">
        <f t="shared" si="170"/>
        <v>7.3222115536967035E-13</v>
      </c>
      <c r="CB164" s="20">
        <f t="shared" si="171"/>
        <v>1.3525069634579169E-12</v>
      </c>
      <c r="CC164" s="59">
        <f t="shared" si="119"/>
        <v>293.33333333333468</v>
      </c>
      <c r="CD164" s="59">
        <f ca="1">AVERAGE(OFFSET($CC$3,0,0,'Données projet'!$E$12+1,1))-AVERAGE(OFFSET($H$3,0,0,'Données projet'!$E$12+1,1))</f>
        <v>288.82868507674738</v>
      </c>
      <c r="CE164" s="59">
        <f t="shared" si="148"/>
        <v>283.48738729114024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10.745639401893964</v>
      </c>
      <c r="CL164" s="21">
        <f>EXP(-LN(2)/25)*CL163+(1-EXP(-LN(2)/25))/(LN(2)/25)*Calculateur!CG164*Calculateur!CI164*VLOOKUP('Données projet'!$B$12,Paramètres!$A$1:$I$89,3,0)*0.475*44/12</f>
        <v>0.74219939152255598</v>
      </c>
      <c r="CM164" s="21">
        <f>EXP(-LN(2)/2)*CM163+(1-EXP(-LN(2)/2))/(LN(2)/2)*CG164*CJ164*VLOOKUP('Données projet'!$B$12,Paramètres!$A$1:$I$89,3,0)*0.475*44/12</f>
        <v>1.0360797972182052E-12</v>
      </c>
      <c r="CN164" s="22">
        <f t="shared" si="172"/>
        <v>11.487838793417556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-2.8421709430404007E-13</v>
      </c>
      <c r="CU164" s="17">
        <f>CT164*VLOOKUP('Données projet'!$B$13,Paramètres!$A$1:$I$89,3,0)*VLOOKUP('Données projet'!$B$13,Paramètres!$A$1:$I$89,5,0)</f>
        <v>-1.8621904018800707E-13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340.49092994349405</v>
      </c>
      <c r="CZ164" s="59">
        <f t="shared" si="150"/>
        <v>331.54434271908832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20.020373190653604</v>
      </c>
      <c r="DG164" s="21">
        <f>EXP(-LN(2)/25)*DG163+(1-EXP(-LN(2)/25))/(LN(2)/25)*Calculateur!DB164*Calculateur!DD164*VLOOKUP('Données projet'!$B$13,Paramètres!$A$1:$I$89,3,0)*0.475*44/12</f>
        <v>0.35681499934995603</v>
      </c>
      <c r="DH164" s="21">
        <f>EXP(-LN(2)/2)*DH163+(1-EXP(-LN(2)/2))/(LN(2)/2)*DB164*DE164*VLOOKUP('Données projet'!$B$13,Paramètres!$A$1:$I$89,3,0)*0.475*44/12</f>
        <v>3.0537569932503902E-11</v>
      </c>
      <c r="DI164" s="22">
        <f t="shared" si="175"/>
        <v>20.377188190034101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-7.9580786405131221E-13</v>
      </c>
      <c r="DP164" s="17">
        <f>DO164*VLOOKUP('Données projet'!$B$14,Paramètres!$A$1:$I$89,3,0)*VLOOKUP('Données projet'!$B$14,Paramètres!$A$1:$I$89,5,0)</f>
        <v>-8.0694917414803056E-13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586.50020405958992</v>
      </c>
      <c r="DU164" s="59">
        <f t="shared" si="152"/>
        <v>304.44184537595294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178.03432543875473</v>
      </c>
      <c r="EB164" s="21">
        <f>EXP(-LN(2)/25)*EB163+(1-EXP(-LN(2)/25))/(LN(2)/25)*Calculateur!DW164*Calculateur!DY164*VLOOKUP('Données projet'!$B$14,Paramètres!$A$1:$I$89,3,0)*0.475*44/12</f>
        <v>28.432244659078847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206.4665700978336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-4.8771653382573282E-14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536.21423347711345</v>
      </c>
      <c r="T165" s="59">
        <f t="shared" si="142"/>
        <v>312.14361830038712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80.6993089223526</v>
      </c>
      <c r="AA165" s="21">
        <f>EXP(-LN(2)/25)*AA164+(1-EXP(-LN(2)/25))/(LN(2)/25)*Calculateur!V165*Calculateur!X165*VLOOKUP('Données projet'!$B$9,Paramètres!$A$1:$I$89,3,0)*0.475*44/12</f>
        <v>15.172683091148521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95.871992013501114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-7.2004695539362725E-13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528.15559695545812</v>
      </c>
      <c r="AO165" s="59">
        <f t="shared" si="144"/>
        <v>276.26988364830532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155.74622296327345</v>
      </c>
      <c r="AV165" s="21">
        <f>EXP(-LN(2)/25)*AV164+(1-EXP(-LN(2)/25))/(LN(2)/25)*Calculateur!AQ165*Calculateur!AS165*VLOOKUP('Données projet'!$B$10,Paramètres!$A$1:$I$89,3,0)*0.475*44/12</f>
        <v>24.676558140830693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180.42278110410416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-4.1677594708744434E-14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464.3681853739115</v>
      </c>
      <c r="BJ165" s="59">
        <f t="shared" si="146"/>
        <v>272.97841038165217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55.949675242564169</v>
      </c>
      <c r="BQ165" s="21">
        <f>EXP(-LN(2)/25)*BQ164+(1-EXP(-LN(2)/25))/(LN(2)/25)*Calculateur!BL165*Calculateur!BN165*VLOOKUP('Données projet'!$B$11,Paramètres!$A$1:$I$89,3,0)*0.475*44/12</f>
        <v>10.519379940724235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66.469055183288404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4.4337866711430253E-14</v>
      </c>
      <c r="CA165" s="13">
        <f t="shared" si="170"/>
        <v>7.3222115536967035E-13</v>
      </c>
      <c r="CB165" s="20">
        <f t="shared" si="171"/>
        <v>1.3525069634579169E-12</v>
      </c>
      <c r="CC165" s="59">
        <f t="shared" si="119"/>
        <v>293.33333333333468</v>
      </c>
      <c r="CD165" s="59">
        <f ca="1">AVERAGE(OFFSET($CC$3,0,0,'Données projet'!$E$12+1,1))-AVERAGE(OFFSET($H$3,0,0,'Données projet'!$E$12+1,1))</f>
        <v>288.82868507674738</v>
      </c>
      <c r="CE165" s="59">
        <f t="shared" si="148"/>
        <v>283.48738729114024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10.534923967415686</v>
      </c>
      <c r="CL165" s="21">
        <f>EXP(-LN(2)/25)*CL164+(1-EXP(-LN(2)/25))/(LN(2)/25)*Calculateur!CG165*Calculateur!CI165*VLOOKUP('Données projet'!$B$12,Paramètres!$A$1:$I$89,3,0)*0.475*44/12</f>
        <v>0.72190391013080202</v>
      </c>
      <c r="CM165" s="21">
        <f>EXP(-LN(2)/2)*CM164+(1-EXP(-LN(2)/2))/(LN(2)/2)*CG165*CJ165*VLOOKUP('Données projet'!$B$12,Paramètres!$A$1:$I$89,3,0)*0.475*44/12</f>
        <v>7.3261905046337596E-13</v>
      </c>
      <c r="CN165" s="22">
        <f t="shared" si="172"/>
        <v>11.25682787754722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-2.8421709430404007E-13</v>
      </c>
      <c r="CU165" s="17">
        <f>CT165*VLOOKUP('Données projet'!$B$13,Paramètres!$A$1:$I$89,3,0)*VLOOKUP('Données projet'!$B$13,Paramètres!$A$1:$I$89,5,0)</f>
        <v>-1.8621904018800707E-13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340.49092994349405</v>
      </c>
      <c r="CZ165" s="59">
        <f t="shared" si="150"/>
        <v>331.54434271908832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19.627785883606776</v>
      </c>
      <c r="DG165" s="21">
        <f>EXP(-LN(2)/25)*DG164+(1-EXP(-LN(2)/25))/(LN(2)/25)*Calculateur!DB165*Calculateur!DD165*VLOOKUP('Données projet'!$B$13,Paramètres!$A$1:$I$89,3,0)*0.475*44/12</f>
        <v>0.34705787442864616</v>
      </c>
      <c r="DH165" s="21">
        <f>EXP(-LN(2)/2)*DH164+(1-EXP(-LN(2)/2))/(LN(2)/2)*DB165*DE165*VLOOKUP('Données projet'!$B$13,Paramètres!$A$1:$I$89,3,0)*0.475*44/12</f>
        <v>2.159332278023193E-11</v>
      </c>
      <c r="DI165" s="22">
        <f t="shared" si="175"/>
        <v>19.974843758057016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-7.9580786405131221E-13</v>
      </c>
      <c r="DP165" s="17">
        <f>DO165*VLOOKUP('Données projet'!$B$14,Paramètres!$A$1:$I$89,3,0)*VLOOKUP('Données projet'!$B$14,Paramètres!$A$1:$I$89,5,0)</f>
        <v>-8.0694917414803056E-13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586.50020405958992</v>
      </c>
      <c r="DU165" s="59">
        <f t="shared" si="152"/>
        <v>304.44184537595294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174.54318090711689</v>
      </c>
      <c r="EB165" s="21">
        <f>EXP(-LN(2)/25)*EB164+(1-EXP(-LN(2)/25))/(LN(2)/25)*Calculateur!DW165*Calculateur!DY165*VLOOKUP('Données projet'!$B$14,Paramètres!$A$1:$I$89,3,0)*0.475*44/12</f>
        <v>27.654763433689574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202.19794434080646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-4.8771653382573282E-14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536.21423347711345</v>
      </c>
      <c r="T166" s="59">
        <f t="shared" si="142"/>
        <v>312.14361830038712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79.11684469610347</v>
      </c>
      <c r="AA166" s="21">
        <f>EXP(-LN(2)/25)*AA165+(1-EXP(-LN(2)/25))/(LN(2)/25)*Calculateur!V166*Calculateur!X166*VLOOKUP('Données projet'!$B$9,Paramètres!$A$1:$I$89,3,0)*0.475*44/12</f>
        <v>14.757785274124338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93.874629970227801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-7.2004695539362725E-13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528.15559695545812</v>
      </c>
      <c r="AO166" s="59">
        <f t="shared" si="144"/>
        <v>276.26988364830532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152.6921345267796</v>
      </c>
      <c r="AV166" s="21">
        <f>EXP(-LN(2)/25)*AV165+(1-EXP(-LN(2)/25))/(LN(2)/25)*Calculateur!AQ166*Calculateur!AS166*VLOOKUP('Données projet'!$B$10,Paramètres!$A$1:$I$89,3,0)*0.475*44/12</f>
        <v>24.001776360785883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176.69391088756549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-4.1677594708744434E-14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464.3681853739115</v>
      </c>
      <c r="BJ166" s="59">
        <f t="shared" si="146"/>
        <v>272.97841038165217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54.852536236989728</v>
      </c>
      <c r="BQ166" s="21">
        <f>EXP(-LN(2)/25)*BQ165+(1-EXP(-LN(2)/25))/(LN(2)/25)*Calculateur!BL166*Calculateur!BN166*VLOOKUP('Données projet'!$B$11,Paramètres!$A$1:$I$89,3,0)*0.475*44/12</f>
        <v>10.231726943054982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65.084263180044715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4.4337866711430253E-14</v>
      </c>
      <c r="CA166" s="13">
        <f t="shared" si="170"/>
        <v>7.3222115536967035E-13</v>
      </c>
      <c r="CB166" s="20">
        <f t="shared" si="171"/>
        <v>1.3525069634579169E-12</v>
      </c>
      <c r="CC166" s="59">
        <f t="shared" si="119"/>
        <v>293.33333333333468</v>
      </c>
      <c r="CD166" s="59">
        <f ca="1">AVERAGE(OFFSET($CC$3,0,0,'Données projet'!$E$12+1,1))-AVERAGE(OFFSET($H$3,0,0,'Données projet'!$E$12+1,1))</f>
        <v>288.82868507674738</v>
      </c>
      <c r="CE166" s="59">
        <f t="shared" si="148"/>
        <v>283.48738729114024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10.328340534083802</v>
      </c>
      <c r="CL166" s="21">
        <f>EXP(-LN(2)/25)*CL165+(1-EXP(-LN(2)/25))/(LN(2)/25)*Calculateur!CG166*Calculateur!CI166*VLOOKUP('Données projet'!$B$12,Paramètres!$A$1:$I$89,3,0)*0.475*44/12</f>
        <v>0.70216340974499858</v>
      </c>
      <c r="CM166" s="21">
        <f>EXP(-LN(2)/2)*CM165+(1-EXP(-LN(2)/2))/(LN(2)/2)*CG166*CJ166*VLOOKUP('Données projet'!$B$12,Paramètres!$A$1:$I$89,3,0)*0.475*44/12</f>
        <v>5.1803989860910259E-13</v>
      </c>
      <c r="CN166" s="22">
        <f t="shared" si="172"/>
        <v>11.03050394382932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-2.8421709430404007E-13</v>
      </c>
      <c r="CU166" s="17">
        <f>CT166*VLOOKUP('Données projet'!$B$13,Paramètres!$A$1:$I$89,3,0)*VLOOKUP('Données projet'!$B$13,Paramètres!$A$1:$I$89,5,0)</f>
        <v>-1.8621904018800707E-13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340.49092994349405</v>
      </c>
      <c r="CZ166" s="59">
        <f t="shared" si="150"/>
        <v>331.54434271908832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19.242896974196523</v>
      </c>
      <c r="DG166" s="21">
        <f>EXP(-LN(2)/25)*DG165+(1-EXP(-LN(2)/25))/(LN(2)/25)*Calculateur!DB166*Calculateur!DD166*VLOOKUP('Données projet'!$B$13,Paramètres!$A$1:$I$89,3,0)*0.475*44/12</f>
        <v>0.33756755860141441</v>
      </c>
      <c r="DH166" s="21">
        <f>EXP(-LN(2)/2)*DH165+(1-EXP(-LN(2)/2))/(LN(2)/2)*DB166*DE166*VLOOKUP('Données projet'!$B$13,Paramètres!$A$1:$I$89,3,0)*0.475*44/12</f>
        <v>1.5268784966251951E-11</v>
      </c>
      <c r="DI166" s="22">
        <f t="shared" si="175"/>
        <v>19.580464532813206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-7.9580786405131221E-13</v>
      </c>
      <c r="DP166" s="17">
        <f>DO166*VLOOKUP('Données projet'!$B$14,Paramètres!$A$1:$I$89,3,0)*VLOOKUP('Données projet'!$B$14,Paramètres!$A$1:$I$89,5,0)</f>
        <v>-8.0694917414803056E-13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586.50020405958992</v>
      </c>
      <c r="DU166" s="59">
        <f t="shared" si="152"/>
        <v>304.44184537595294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171.12049559035654</v>
      </c>
      <c r="EB166" s="21">
        <f>EXP(-LN(2)/25)*EB165+(1-EXP(-LN(2)/25))/(LN(2)/25)*Calculateur!DW166*Calculateur!DY166*VLOOKUP('Données projet'!$B$14,Paramètres!$A$1:$I$89,3,0)*0.475*44/12</f>
        <v>26.89854247329453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198.01903806365107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-4.8771653382573282E-14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536.21423347711345</v>
      </c>
      <c r="T167" s="59">
        <f t="shared" si="142"/>
        <v>312.14361830038712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77.565411628123215</v>
      </c>
      <c r="AA167" s="21">
        <f>EXP(-LN(2)/25)*AA166+(1-EXP(-LN(2)/25))/(LN(2)/25)*Calculateur!V167*Calculateur!X167*VLOOKUP('Données projet'!$B$9,Paramètres!$A$1:$I$89,3,0)*0.475*44/12</f>
        <v>14.35423285972521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91.91964448784843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-7.2004695539362725E-13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528.15559695545812</v>
      </c>
      <c r="AO167" s="59">
        <f t="shared" si="144"/>
        <v>276.26988364830532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149.6979349017154</v>
      </c>
      <c r="AV167" s="21">
        <f>EXP(-LN(2)/25)*AV166+(1-EXP(-LN(2)/25))/(LN(2)/25)*Calculateur!AQ167*Calculateur!AS167*VLOOKUP('Données projet'!$B$10,Paramètres!$A$1:$I$89,3,0)*0.475*44/12</f>
        <v>23.34544652400163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173.04338142571703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-4.1677594708744434E-14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464.3681853739115</v>
      </c>
      <c r="BJ167" s="59">
        <f t="shared" si="146"/>
        <v>272.97841038165217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53.776911458125888</v>
      </c>
      <c r="BQ167" s="21">
        <f>EXP(-LN(2)/25)*BQ166+(1-EXP(-LN(2)/25))/(LN(2)/25)*Calculateur!BL167*Calculateur!BN167*VLOOKUP('Données projet'!$B$11,Paramètres!$A$1:$I$89,3,0)*0.475*44/12</f>
        <v>9.9519398317340091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63.728851289859897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4.4337866711430253E-14</v>
      </c>
      <c r="CA167" s="13">
        <f t="shared" si="170"/>
        <v>7.3222115536967035E-13</v>
      </c>
      <c r="CB167" s="20">
        <f t="shared" si="171"/>
        <v>1.3525069634579169E-12</v>
      </c>
      <c r="CC167" s="59">
        <f t="shared" si="119"/>
        <v>293.33333333333468</v>
      </c>
      <c r="CD167" s="59">
        <f ca="1">AVERAGE(OFFSET($CC$3,0,0,'Données projet'!$E$12+1,1))-AVERAGE(OFFSET($H$3,0,0,'Données projet'!$E$12+1,1))</f>
        <v>288.82868507674738</v>
      </c>
      <c r="CE167" s="59">
        <f t="shared" si="148"/>
        <v>283.48738729114024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10.125808075876105</v>
      </c>
      <c r="CL167" s="21">
        <f>EXP(-LN(2)/25)*CL166+(1-EXP(-LN(2)/25))/(LN(2)/25)*Calculateur!CG167*Calculateur!CI167*VLOOKUP('Données projet'!$B$12,Paramètres!$A$1:$I$89,3,0)*0.475*44/12</f>
        <v>0.68296271438035272</v>
      </c>
      <c r="CM167" s="21">
        <f>EXP(-LN(2)/2)*CM166+(1-EXP(-LN(2)/2))/(LN(2)/2)*CG167*CJ167*VLOOKUP('Données projet'!$B$12,Paramètres!$A$1:$I$89,3,0)*0.475*44/12</f>
        <v>3.6630952523168798E-13</v>
      </c>
      <c r="CN167" s="22">
        <f t="shared" si="172"/>
        <v>10.808770790256823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-2.8421709430404007E-13</v>
      </c>
      <c r="CU167" s="17">
        <f>CT167*VLOOKUP('Données projet'!$B$13,Paramètres!$A$1:$I$89,3,0)*VLOOKUP('Données projet'!$B$13,Paramètres!$A$1:$I$89,5,0)</f>
        <v>-1.8621904018800707E-13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340.49092994349405</v>
      </c>
      <c r="CZ167" s="59">
        <f t="shared" si="150"/>
        <v>331.54434271908832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18.865555501540751</v>
      </c>
      <c r="DG167" s="21">
        <f>EXP(-LN(2)/25)*DG166+(1-EXP(-LN(2)/25))/(LN(2)/25)*Calculateur!DB167*Calculateur!DD167*VLOOKUP('Données projet'!$B$13,Paramètres!$A$1:$I$89,3,0)*0.475*44/12</f>
        <v>0.32833675595955236</v>
      </c>
      <c r="DH167" s="21">
        <f>EXP(-LN(2)/2)*DH166+(1-EXP(-LN(2)/2))/(LN(2)/2)*DB167*DE167*VLOOKUP('Données projet'!$B$13,Paramètres!$A$1:$I$89,3,0)*0.475*44/12</f>
        <v>1.0796661390115965E-11</v>
      </c>
      <c r="DI167" s="22">
        <f t="shared" si="175"/>
        <v>19.193892257511099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-7.9580786405131221E-13</v>
      </c>
      <c r="DP167" s="17">
        <f>DO167*VLOOKUP('Données projet'!$B$14,Paramètres!$A$1:$I$89,3,0)*VLOOKUP('Données projet'!$B$14,Paramètres!$A$1:$I$89,5,0)</f>
        <v>-8.0694917414803056E-13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586.50020405958992</v>
      </c>
      <c r="DU167" s="59">
        <f t="shared" si="152"/>
        <v>304.44184537595294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167.76492704502596</v>
      </c>
      <c r="EB167" s="21">
        <f>EXP(-LN(2)/25)*EB166+(1-EXP(-LN(2)/25))/(LN(2)/25)*Calculateur!DW167*Calculateur!DY167*VLOOKUP('Données projet'!$B$14,Paramètres!$A$1:$I$89,3,0)*0.475*44/12</f>
        <v>26.163000414829419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193.92792745985537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-4.8771653382573282E-14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536.21423347711345</v>
      </c>
      <c r="T168" s="59">
        <f t="shared" si="142"/>
        <v>312.14361830038712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76.044401216325312</v>
      </c>
      <c r="AA168" s="21">
        <f>EXP(-LN(2)/25)*AA167+(1-EXP(-LN(2)/25))/(LN(2)/25)*Calculateur!V168*Calculateur!X168*VLOOKUP('Données projet'!$B$9,Paramètres!$A$1:$I$89,3,0)*0.475*44/12</f>
        <v>13.961715607319725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90.006116823645044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-7.2004695539362725E-13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528.15559695545812</v>
      </c>
      <c r="AO168" s="59">
        <f t="shared" si="144"/>
        <v>276.26988364830532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146.76244970501725</v>
      </c>
      <c r="AV168" s="21">
        <f>EXP(-LN(2)/25)*AV167+(1-EXP(-LN(2)/25))/(LN(2)/25)*Calculateur!AQ168*Calculateur!AS168*VLOOKUP('Données projet'!$B$10,Paramètres!$A$1:$I$89,3,0)*0.475*44/12</f>
        <v>22.70706406111913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169.46951376613637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-4.1677594708744434E-14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464.3681853739115</v>
      </c>
      <c r="BJ168" s="59">
        <f t="shared" si="146"/>
        <v>272.97841038165217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52.722379025109234</v>
      </c>
      <c r="BQ168" s="21">
        <f>EXP(-LN(2)/25)*BQ167+(1-EXP(-LN(2)/25))/(LN(2)/25)*Calculateur!BL168*Calculateur!BN168*VLOOKUP('Données projet'!$B$11,Paramètres!$A$1:$I$89,3,0)*0.475*44/12</f>
        <v>9.6798035136854725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62.402182538794705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4.4337866711430253E-14</v>
      </c>
      <c r="CA168" s="13">
        <f t="shared" si="170"/>
        <v>7.3222115536967035E-13</v>
      </c>
      <c r="CB168" s="20">
        <f t="shared" si="171"/>
        <v>1.3525069634579169E-12</v>
      </c>
      <c r="CC168" s="59">
        <f t="shared" si="119"/>
        <v>293.33333333333468</v>
      </c>
      <c r="CD168" s="59">
        <f ca="1">AVERAGE(OFFSET($CC$3,0,0,'Données projet'!$E$12+1,1))-AVERAGE(OFFSET($H$3,0,0,'Données projet'!$E$12+1,1))</f>
        <v>288.82868507674738</v>
      </c>
      <c r="CE168" s="59">
        <f t="shared" si="148"/>
        <v>283.48738729114024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9.9272471556412576</v>
      </c>
      <c r="CL168" s="21">
        <f>EXP(-LN(2)/25)*CL167+(1-EXP(-LN(2)/25))/(LN(2)/25)*Calculateur!CG168*Calculateur!CI168*VLOOKUP('Données projet'!$B$12,Paramètres!$A$1:$I$89,3,0)*0.475*44/12</f>
        <v>0.66428706304017371</v>
      </c>
      <c r="CM168" s="21">
        <f>EXP(-LN(2)/2)*CM167+(1-EXP(-LN(2)/2))/(LN(2)/2)*CG168*CJ168*VLOOKUP('Données projet'!$B$12,Paramètres!$A$1:$I$89,3,0)*0.475*44/12</f>
        <v>2.590199493045513E-13</v>
      </c>
      <c r="CN168" s="22">
        <f t="shared" si="172"/>
        <v>10.591534218681691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-2.8421709430404007E-13</v>
      </c>
      <c r="CU168" s="17">
        <f>CT168*VLOOKUP('Données projet'!$B$13,Paramètres!$A$1:$I$89,3,0)*VLOOKUP('Données projet'!$B$13,Paramètres!$A$1:$I$89,5,0)</f>
        <v>-1.8621904018800707E-13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340.49092994349405</v>
      </c>
      <c r="CZ168" s="59">
        <f t="shared" si="150"/>
        <v>331.54434271908832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18.495613465008184</v>
      </c>
      <c r="DG168" s="21">
        <f>EXP(-LN(2)/25)*DG167+(1-EXP(-LN(2)/25))/(LN(2)/25)*Calculateur!DB168*Calculateur!DD168*VLOOKUP('Données projet'!$B$13,Paramètres!$A$1:$I$89,3,0)*0.475*44/12</f>
        <v>0.31935837010135881</v>
      </c>
      <c r="DH168" s="21">
        <f>EXP(-LN(2)/2)*DH167+(1-EXP(-LN(2)/2))/(LN(2)/2)*DB168*DE168*VLOOKUP('Données projet'!$B$13,Paramètres!$A$1:$I$89,3,0)*0.475*44/12</f>
        <v>7.6343924831259755E-12</v>
      </c>
      <c r="DI168" s="22">
        <f t="shared" si="175"/>
        <v>18.814971835117177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-7.9580786405131221E-13</v>
      </c>
      <c r="DP168" s="17">
        <f>DO168*VLOOKUP('Données projet'!$B$14,Paramètres!$A$1:$I$89,3,0)*VLOOKUP('Données projet'!$B$14,Paramètres!$A$1:$I$89,5,0)</f>
        <v>-8.0694917414803056E-13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586.50020405958992</v>
      </c>
      <c r="DU168" s="59">
        <f t="shared" si="152"/>
        <v>304.44184537595294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164.4751591521746</v>
      </c>
      <c r="EB168" s="21">
        <f>EXP(-LN(2)/25)*EB167+(1-EXP(-LN(2)/25))/(LN(2)/25)*Calculateur!DW168*Calculateur!DY168*VLOOKUP('Données projet'!$B$14,Paramètres!$A$1:$I$89,3,0)*0.475*44/12</f>
        <v>25.447571792633514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189.92273094480811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-4.8771653382573282E-14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536.21423347711345</v>
      </c>
      <c r="T169" s="59">
        <f t="shared" si="142"/>
        <v>312.14361830038712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74.553216890978021</v>
      </c>
      <c r="AA169" s="21">
        <f>EXP(-LN(2)/25)*AA168+(1-EXP(-LN(2)/25))/(LN(2)/25)*Calculateur!V169*Calculateur!X169*VLOOKUP('Données projet'!$B$9,Paramètres!$A$1:$I$89,3,0)*0.475*44/12</f>
        <v>13.579931759822854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88.133148650800877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-7.2004695539362725E-13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528.15559695545812</v>
      </c>
      <c r="AO169" s="59">
        <f t="shared" si="144"/>
        <v>276.26988364830532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143.88452758255718</v>
      </c>
      <c r="AV169" s="21">
        <f>EXP(-LN(2)/25)*AV168+(1-EXP(-LN(2)/25))/(LN(2)/25)*Calculateur!AQ169*Calculateur!AS169*VLOOKUP('Données projet'!$B$10,Paramètres!$A$1:$I$89,3,0)*0.475*44/12</f>
        <v>22.086138200255228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165.9706657828124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-4.1677594708744434E-14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464.3681853739115</v>
      </c>
      <c r="BJ169" s="59">
        <f t="shared" si="146"/>
        <v>272.97841038165217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51.68852532990276</v>
      </c>
      <c r="BQ169" s="21">
        <f>EXP(-LN(2)/25)*BQ168+(1-EXP(-LN(2)/25))/(LN(2)/25)*Calculateur!BL169*Calculateur!BN169*VLOOKUP('Données projet'!$B$11,Paramètres!$A$1:$I$89,3,0)*0.475*44/12</f>
        <v>9.4151087775650009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61.103634107467762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4.4337866711430253E-14</v>
      </c>
      <c r="CA169" s="13">
        <f t="shared" si="170"/>
        <v>7.3222115536967035E-13</v>
      </c>
      <c r="CB169" s="20">
        <f t="shared" si="171"/>
        <v>1.3525069634579169E-12</v>
      </c>
      <c r="CC169" s="59">
        <f t="shared" si="119"/>
        <v>293.33333333333468</v>
      </c>
      <c r="CD169" s="59">
        <f ca="1">AVERAGE(OFFSET($CC$3,0,0,'Données projet'!$E$12+1,1))-AVERAGE(OFFSET($H$3,0,0,'Données projet'!$E$12+1,1))</f>
        <v>288.82868507674738</v>
      </c>
      <c r="CE169" s="59">
        <f t="shared" si="148"/>
        <v>283.48738729114024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9.7325798939420132</v>
      </c>
      <c r="CL169" s="21">
        <f>EXP(-LN(2)/25)*CL168+(1-EXP(-LN(2)/25))/(LN(2)/25)*Calculateur!CG169*Calculateur!CI169*VLOOKUP('Données projet'!$B$12,Paramètres!$A$1:$I$89,3,0)*0.475*44/12</f>
        <v>0.64612209836800172</v>
      </c>
      <c r="CM169" s="21">
        <f>EXP(-LN(2)/2)*CM168+(1-EXP(-LN(2)/2))/(LN(2)/2)*CG169*CJ169*VLOOKUP('Données projet'!$B$12,Paramètres!$A$1:$I$89,3,0)*0.475*44/12</f>
        <v>1.8315476261584399E-13</v>
      </c>
      <c r="CN169" s="22">
        <f t="shared" si="172"/>
        <v>10.378701992310198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-2.8421709430404007E-13</v>
      </c>
      <c r="CU169" s="17">
        <f>CT169*VLOOKUP('Données projet'!$B$13,Paramètres!$A$1:$I$89,3,0)*VLOOKUP('Données projet'!$B$13,Paramètres!$A$1:$I$89,5,0)</f>
        <v>-1.8621904018800707E-13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340.49092994349405</v>
      </c>
      <c r="CZ169" s="59">
        <f t="shared" si="150"/>
        <v>331.54434271908832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18.132925766169659</v>
      </c>
      <c r="DG169" s="21">
        <f>EXP(-LN(2)/25)*DG168+(1-EXP(-LN(2)/25))/(LN(2)/25)*Calculateur!DB169*Calculateur!DD169*VLOOKUP('Données projet'!$B$13,Paramètres!$A$1:$I$89,3,0)*0.475*44/12</f>
        <v>0.31062549867661038</v>
      </c>
      <c r="DH169" s="21">
        <f>EXP(-LN(2)/2)*DH168+(1-EXP(-LN(2)/2))/(LN(2)/2)*DB169*DE169*VLOOKUP('Données projet'!$B$13,Paramètres!$A$1:$I$89,3,0)*0.475*44/12</f>
        <v>5.3983306950579825E-12</v>
      </c>
      <c r="DI169" s="22">
        <f t="shared" si="175"/>
        <v>18.443551264851667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-7.9580786405131221E-13</v>
      </c>
      <c r="DP169" s="17">
        <f>DO169*VLOOKUP('Données projet'!$B$14,Paramètres!$A$1:$I$89,3,0)*VLOOKUP('Données projet'!$B$14,Paramètres!$A$1:$I$89,5,0)</f>
        <v>-8.0694917414803056E-13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586.50020405958992</v>
      </c>
      <c r="DU169" s="59">
        <f t="shared" si="152"/>
        <v>304.44184537595294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161.24990160114177</v>
      </c>
      <c r="EB169" s="21">
        <f>EXP(-LN(2)/25)*EB168+(1-EXP(-LN(2)/25))/(LN(2)/25)*Calculateur!DW169*Calculateur!DY169*VLOOKUP('Données projet'!$B$14,Paramètres!$A$1:$I$89,3,0)*0.475*44/12</f>
        <v>24.751706603734313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186.00160820487608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-4.8771653382573282E-14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536.21423347711345</v>
      </c>
      <c r="T170" s="59">
        <f t="shared" si="142"/>
        <v>312.14361830038712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73.091273780718168</v>
      </c>
      <c r="AA170" s="21">
        <f>EXP(-LN(2)/25)*AA169+(1-EXP(-LN(2)/25))/(LN(2)/25)*Calculateur!V170*Calculateur!X170*VLOOKUP('Données projet'!$B$9,Paramètres!$A$1:$I$89,3,0)*0.475*44/12</f>
        <v>13.208587811712924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86.299861592431085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-7.2004695539362725E-13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528.15559695545812</v>
      </c>
      <c r="AO170" s="59">
        <f t="shared" si="144"/>
        <v>276.26988364830532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141.06303975755938</v>
      </c>
      <c r="AV170" s="21">
        <f>EXP(-LN(2)/25)*AV169+(1-EXP(-LN(2)/25))/(LN(2)/25)*Calculateur!AQ170*Calculateur!AS170*VLOOKUP('Données projet'!$B$10,Paramètres!$A$1:$I$89,3,0)*0.475*44/12</f>
        <v>21.482191589709718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162.54523134726909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-4.1677594708744434E-14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464.3681853739115</v>
      </c>
      <c r="BJ170" s="59">
        <f t="shared" si="146"/>
        <v>272.97841038165217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50.674944875070793</v>
      </c>
      <c r="BQ170" s="21">
        <f>EXP(-LN(2)/25)*BQ169+(1-EXP(-LN(2)/25))/(LN(2)/25)*Calculateur!BL170*Calculateur!BN170*VLOOKUP('Données projet'!$B$11,Paramètres!$A$1:$I$89,3,0)*0.475*44/12</f>
        <v>9.1576521329234346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59.832597007994224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4.4337866711430253E-14</v>
      </c>
      <c r="CA170" s="13">
        <f t="shared" si="170"/>
        <v>7.3222115536967035E-13</v>
      </c>
      <c r="CB170" s="20">
        <f t="shared" si="171"/>
        <v>1.3525069634579169E-12</v>
      </c>
      <c r="CC170" s="59">
        <f t="shared" si="119"/>
        <v>293.33333333333468</v>
      </c>
      <c r="CD170" s="59">
        <f ca="1">AVERAGE(OFFSET($CC$3,0,0,'Données projet'!$E$12+1,1))-AVERAGE(OFFSET($H$3,0,0,'Données projet'!$E$12+1,1))</f>
        <v>288.82868507674738</v>
      </c>
      <c r="CE170" s="59">
        <f t="shared" si="148"/>
        <v>283.48738729114024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9.5417299385093859</v>
      </c>
      <c r="CL170" s="21">
        <f>EXP(-LN(2)/25)*CL169+(1-EXP(-LN(2)/25))/(LN(2)/25)*Calculateur!CG170*Calculateur!CI170*VLOOKUP('Données projet'!$B$12,Paramètres!$A$1:$I$89,3,0)*0.475*44/12</f>
        <v>0.6284538556100443</v>
      </c>
      <c r="CM170" s="21">
        <f>EXP(-LN(2)/2)*CM169+(1-EXP(-LN(2)/2))/(LN(2)/2)*CG170*CJ170*VLOOKUP('Données projet'!$B$12,Paramètres!$A$1:$I$89,3,0)*0.475*44/12</f>
        <v>1.2950997465227565E-13</v>
      </c>
      <c r="CN170" s="22">
        <f t="shared" si="172"/>
        <v>10.170183794119559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-2.8421709430404007E-13</v>
      </c>
      <c r="CU170" s="17">
        <f>CT170*VLOOKUP('Données projet'!$B$13,Paramètres!$A$1:$I$89,3,0)*VLOOKUP('Données projet'!$B$13,Paramètres!$A$1:$I$89,5,0)</f>
        <v>-1.8621904018800707E-13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340.49092994349405</v>
      </c>
      <c r="CZ170" s="59">
        <f t="shared" si="150"/>
        <v>331.54434271908832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17.777350151887706</v>
      </c>
      <c r="DG170" s="21">
        <f>EXP(-LN(2)/25)*DG169+(1-EXP(-LN(2)/25))/(LN(2)/25)*Calculateur!DB170*Calculateur!DD170*VLOOKUP('Données projet'!$B$13,Paramètres!$A$1:$I$89,3,0)*0.475*44/12</f>
        <v>0.30213142808021343</v>
      </c>
      <c r="DH170" s="21">
        <f>EXP(-LN(2)/2)*DH169+(1-EXP(-LN(2)/2))/(LN(2)/2)*DB170*DE170*VLOOKUP('Données projet'!$B$13,Paramètres!$A$1:$I$89,3,0)*0.475*44/12</f>
        <v>3.8171962415629878E-12</v>
      </c>
      <c r="DI170" s="22">
        <f t="shared" si="175"/>
        <v>18.079481579971734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-7.9580786405131221E-13</v>
      </c>
      <c r="DP170" s="17">
        <f>DO170*VLOOKUP('Données projet'!$B$14,Paramètres!$A$1:$I$89,3,0)*VLOOKUP('Données projet'!$B$14,Paramètres!$A$1:$I$89,5,0)</f>
        <v>-8.0694917414803056E-13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586.50020405958992</v>
      </c>
      <c r="DU170" s="59">
        <f t="shared" si="152"/>
        <v>304.44184537595294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158.08788938347183</v>
      </c>
      <c r="EB170" s="21">
        <f>EXP(-LN(2)/25)*EB169+(1-EXP(-LN(2)/25))/(LN(2)/25)*Calculateur!DW170*Calculateur!DY170*VLOOKUP('Données projet'!$B$14,Paramètres!$A$1:$I$89,3,0)*0.475*44/12</f>
        <v>24.074869885019517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182.16275926849136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-4.8771653382573282E-14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536.21423347711345</v>
      </c>
      <c r="T171" s="59">
        <f t="shared" si="142"/>
        <v>312.14361830038712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71.65799848315325</v>
      </c>
      <c r="AA171" s="21">
        <f>EXP(-LN(2)/25)*AA170+(1-EXP(-LN(2)/25))/(LN(2)/25)*Calculateur!V171*Calculateur!X171*VLOOKUP('Données projet'!$B$9,Paramètres!$A$1:$I$89,3,0)*0.475*44/12</f>
        <v>12.84739828339219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84.505396766545445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-7.2004695539362725E-13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528.15559695545812</v>
      </c>
      <c r="AO171" s="59">
        <f t="shared" si="144"/>
        <v>276.26988364830532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138.29687958787216</v>
      </c>
      <c r="AV171" s="21">
        <f>EXP(-LN(2)/25)*AV170+(1-EXP(-LN(2)/25))/(LN(2)/25)*Calculateur!AQ171*Calculateur!AS171*VLOOKUP('Données projet'!$B$10,Paramètres!$A$1:$I$89,3,0)*0.475*44/12</f>
        <v>20.894759930989746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159.1916395188619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-4.1677594708744434E-14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464.3681853739115</v>
      </c>
      <c r="BJ171" s="59">
        <f t="shared" si="146"/>
        <v>272.97841038165217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49.681240114735054</v>
      </c>
      <c r="BQ171" s="21">
        <f>EXP(-LN(2)/25)*BQ170+(1-EXP(-LN(2)/25))/(LN(2)/25)*Calculateur!BL171*Calculateur!BN171*VLOOKUP('Données projet'!$B$11,Paramètres!$A$1:$I$89,3,0)*0.475*44/12</f>
        <v>8.9072356537686481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58.588475768503699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4.4337866711430253E-14</v>
      </c>
      <c r="CA171" s="13">
        <f t="shared" si="170"/>
        <v>7.3222115536967035E-13</v>
      </c>
      <c r="CB171" s="20">
        <f t="shared" si="171"/>
        <v>1.3525069634579169E-12</v>
      </c>
      <c r="CC171" s="59">
        <f t="shared" si="119"/>
        <v>293.33333333333468</v>
      </c>
      <c r="CD171" s="59">
        <f ca="1">AVERAGE(OFFSET($CC$3,0,0,'Données projet'!$E$12+1,1))-AVERAGE(OFFSET($H$3,0,0,'Données projet'!$E$12+1,1))</f>
        <v>288.82868507674738</v>
      </c>
      <c r="CE171" s="59">
        <f t="shared" si="148"/>
        <v>283.48738729114024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9.3546224342958144</v>
      </c>
      <c r="CL171" s="21">
        <f>EXP(-LN(2)/25)*CL170+(1-EXP(-LN(2)/25))/(LN(2)/25)*Calculateur!CG171*Calculateur!CI171*VLOOKUP('Données projet'!$B$12,Paramètres!$A$1:$I$89,3,0)*0.475*44/12</f>
        <v>0.61126875187943575</v>
      </c>
      <c r="CM171" s="21">
        <f>EXP(-LN(2)/2)*CM170+(1-EXP(-LN(2)/2))/(LN(2)/2)*CG171*CJ171*VLOOKUP('Données projet'!$B$12,Paramètres!$A$1:$I$89,3,0)*0.475*44/12</f>
        <v>9.1577381307921994E-14</v>
      </c>
      <c r="CN171" s="22">
        <f t="shared" si="172"/>
        <v>9.9658911861753428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-2.8421709430404007E-13</v>
      </c>
      <c r="CU171" s="17">
        <f>CT171*VLOOKUP('Données projet'!$B$13,Paramètres!$A$1:$I$89,3,0)*VLOOKUP('Données projet'!$B$13,Paramètres!$A$1:$I$89,5,0)</f>
        <v>-1.8621904018800707E-13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340.49092994349405</v>
      </c>
      <c r="CZ171" s="59">
        <f t="shared" si="150"/>
        <v>331.54434271908832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17.428747158522114</v>
      </c>
      <c r="DG171" s="21">
        <f>EXP(-LN(2)/25)*DG170+(1-EXP(-LN(2)/25))/(LN(2)/25)*Calculateur!DB171*Calculateur!DD171*VLOOKUP('Données projet'!$B$13,Paramètres!$A$1:$I$89,3,0)*0.475*44/12</f>
        <v>0.2938696282909587</v>
      </c>
      <c r="DH171" s="21">
        <f>EXP(-LN(2)/2)*DH170+(1-EXP(-LN(2)/2))/(LN(2)/2)*DB171*DE171*VLOOKUP('Données projet'!$B$13,Paramètres!$A$1:$I$89,3,0)*0.475*44/12</f>
        <v>2.6991653475289912E-12</v>
      </c>
      <c r="DI171" s="22">
        <f t="shared" si="175"/>
        <v>17.722616786815774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-7.9580786405131221E-13</v>
      </c>
      <c r="DP171" s="17">
        <f>DO171*VLOOKUP('Données projet'!$B$14,Paramètres!$A$1:$I$89,3,0)*VLOOKUP('Données projet'!$B$14,Paramètres!$A$1:$I$89,5,0)</f>
        <v>-8.0694917414803056E-13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586.50020405958992</v>
      </c>
      <c r="DU171" s="59">
        <f t="shared" si="152"/>
        <v>304.44184537595294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154.98788229675338</v>
      </c>
      <c r="EB171" s="21">
        <f>EXP(-LN(2)/25)*EB170+(1-EXP(-LN(2)/25))/(LN(2)/25)*Calculateur!DW171*Calculateur!DY171*VLOOKUP('Données projet'!$B$14,Paramètres!$A$1:$I$89,3,0)*0.475*44/12</f>
        <v>23.416541301971275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178.40442359872466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-4.8771653382573282E-14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536.21423347711345</v>
      </c>
      <c r="T172" s="59">
        <f t="shared" si="142"/>
        <v>312.14361830038712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70.252828839961978</v>
      </c>
      <c r="AA172" s="21">
        <f>EXP(-LN(2)/25)*AA171+(1-EXP(-LN(2)/25))/(LN(2)/25)*Calculateur!V172*Calculateur!X172*VLOOKUP('Données projet'!$B$9,Paramètres!$A$1:$I$89,3,0)*0.475*44/12</f>
        <v>12.496085501717518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82.748914341679495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-7.2004695539362725E-13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528.15559695545812</v>
      </c>
      <c r="AO172" s="59">
        <f t="shared" si="144"/>
        <v>276.26988364830532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135.5849621319214</v>
      </c>
      <c r="AV172" s="21">
        <f>EXP(-LN(2)/25)*AV171+(1-EXP(-LN(2)/25))/(LN(2)/25)*Calculateur!AQ172*Calculateur!AS172*VLOOKUP('Données projet'!$B$10,Paramètres!$A$1:$I$89,3,0)*0.475*44/12</f>
        <v>20.323391621869163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155.90835375379055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-4.1677594708744434E-14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464.3681853739115</v>
      </c>
      <c r="BJ172" s="59">
        <f t="shared" si="146"/>
        <v>272.97841038165217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48.707021298649437</v>
      </c>
      <c r="BQ172" s="21">
        <f>EXP(-LN(2)/25)*BQ171+(1-EXP(-LN(2)/25))/(LN(2)/25)*Calculateur!BL172*Calculateur!BN172*VLOOKUP('Données projet'!$B$11,Paramètres!$A$1:$I$89,3,0)*0.475*44/12</f>
        <v>8.6636668264051799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57.370688125054613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4.4337866711430253E-14</v>
      </c>
      <c r="CA172" s="13">
        <f t="shared" si="170"/>
        <v>7.3222115536967035E-13</v>
      </c>
      <c r="CB172" s="20">
        <f t="shared" si="171"/>
        <v>1.3525069634579169E-12</v>
      </c>
      <c r="CC172" s="59">
        <f t="shared" si="119"/>
        <v>293.33333333333468</v>
      </c>
      <c r="CD172" s="59">
        <f ca="1">AVERAGE(OFFSET($CC$3,0,0,'Données projet'!$E$12+1,1))-AVERAGE(OFFSET($H$3,0,0,'Données projet'!$E$12+1,1))</f>
        <v>288.82868507674738</v>
      </c>
      <c r="CE172" s="59">
        <f t="shared" si="148"/>
        <v>283.48738729114024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9.1711839941155624</v>
      </c>
      <c r="CL172" s="21">
        <f>EXP(-LN(2)/25)*CL171+(1-EXP(-LN(2)/25))/(LN(2)/25)*Calculateur!CG172*Calculateur!CI172*VLOOKUP('Données projet'!$B$12,Paramètres!$A$1:$I$89,3,0)*0.475*44/12</f>
        <v>0.59455357571406597</v>
      </c>
      <c r="CM172" s="21">
        <f>EXP(-LN(2)/2)*CM171+(1-EXP(-LN(2)/2))/(LN(2)/2)*CG172*CJ172*VLOOKUP('Données projet'!$B$12,Paramètres!$A$1:$I$89,3,0)*0.475*44/12</f>
        <v>6.4754987326137824E-14</v>
      </c>
      <c r="CN172" s="22">
        <f t="shared" si="172"/>
        <v>9.7657375698296924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-2.8421709430404007E-13</v>
      </c>
      <c r="CU172" s="17">
        <f>CT172*VLOOKUP('Données projet'!$B$13,Paramètres!$A$1:$I$89,3,0)*VLOOKUP('Données projet'!$B$13,Paramètres!$A$1:$I$89,5,0)</f>
        <v>-1.8621904018800707E-13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340.49092994349405</v>
      </c>
      <c r="CZ172" s="59">
        <f t="shared" si="150"/>
        <v>331.54434271908832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17.086980057229589</v>
      </c>
      <c r="DG172" s="21">
        <f>EXP(-LN(2)/25)*DG171+(1-EXP(-LN(2)/25))/(LN(2)/25)*Calculateur!DB172*Calculateur!DD172*VLOOKUP('Données projet'!$B$13,Paramètres!$A$1:$I$89,3,0)*0.475*44/12</f>
        <v>0.2858337478514103</v>
      </c>
      <c r="DH172" s="21">
        <f>EXP(-LN(2)/2)*DH171+(1-EXP(-LN(2)/2))/(LN(2)/2)*DB172*DE172*VLOOKUP('Données projet'!$B$13,Paramètres!$A$1:$I$89,3,0)*0.475*44/12</f>
        <v>1.9085981207814939E-12</v>
      </c>
      <c r="DI172" s="22">
        <f t="shared" si="175"/>
        <v>17.372813805082906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-7.9580786405131221E-13</v>
      </c>
      <c r="DP172" s="17">
        <f>DO172*VLOOKUP('Données projet'!$B$14,Paramètres!$A$1:$I$89,3,0)*VLOOKUP('Données projet'!$B$14,Paramètres!$A$1:$I$89,5,0)</f>
        <v>-8.0694917414803056E-13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586.50020405958992</v>
      </c>
      <c r="DU172" s="59">
        <f t="shared" si="152"/>
        <v>304.44184537595294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151.94866445818786</v>
      </c>
      <c r="EB172" s="21">
        <f>EXP(-LN(2)/25)*EB171+(1-EXP(-LN(2)/25))/(LN(2)/25)*Calculateur!DW172*Calculateur!DY172*VLOOKUP('Données projet'!$B$14,Paramètres!$A$1:$I$89,3,0)*0.475*44/12</f>
        <v>22.776214748646481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174.72487920683434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-4.8771653382573282E-14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536.21423347711345</v>
      </c>
      <c r="T173" s="59">
        <f t="shared" si="142"/>
        <v>312.14361830038712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68.875213716404829</v>
      </c>
      <c r="AA173" s="21">
        <f>EXP(-LN(2)/25)*AA172+(1-EXP(-LN(2)/25))/(LN(2)/25)*Calculateur!V173*Calculateur!X173*VLOOKUP('Données projet'!$B$9,Paramètres!$A$1:$I$89,3,0)*0.475*44/12</f>
        <v>12.154379386532476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81.029593102937298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-7.2004695539362725E-13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528.15559695545812</v>
      </c>
      <c r="AO173" s="59">
        <f t="shared" si="144"/>
        <v>276.26988364830532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132.9262237231755</v>
      </c>
      <c r="AV173" s="21">
        <f>EXP(-LN(2)/25)*AV172+(1-EXP(-LN(2)/25))/(LN(2)/25)*Calculateur!AQ173*Calculateur!AS173*VLOOKUP('Données projet'!$B$10,Paramètres!$A$1:$I$89,3,0)*0.475*44/12</f>
        <v>19.767647409208436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152.69387113238395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-4.1677594708744434E-14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464.3681853739115</v>
      </c>
      <c r="BJ173" s="59">
        <f t="shared" si="146"/>
        <v>272.97841038165217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47.751906319332456</v>
      </c>
      <c r="BQ173" s="21">
        <f>EXP(-LN(2)/25)*BQ172+(1-EXP(-LN(2)/25))/(LN(2)/25)*Calculateur!BL173*Calculateur!BN173*VLOOKUP('Données projet'!$B$11,Paramètres!$A$1:$I$89,3,0)*0.475*44/12</f>
        <v>8.426758401434693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56.178664720767145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4.4337866711430253E-14</v>
      </c>
      <c r="CA173" s="13">
        <f t="shared" si="170"/>
        <v>7.3222115536967035E-13</v>
      </c>
      <c r="CB173" s="20">
        <f t="shared" si="171"/>
        <v>1.3525069634579169E-12</v>
      </c>
      <c r="CC173" s="59">
        <f t="shared" si="119"/>
        <v>293.33333333333468</v>
      </c>
      <c r="CD173" s="59">
        <f ca="1">AVERAGE(OFFSET($CC$3,0,0,'Données projet'!$E$12+1,1))-AVERAGE(OFFSET($H$3,0,0,'Données projet'!$E$12+1,1))</f>
        <v>288.82868507674738</v>
      </c>
      <c r="CE173" s="59">
        <f t="shared" si="148"/>
        <v>283.48738729114024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8.9913426698608436</v>
      </c>
      <c r="CL173" s="21">
        <f>EXP(-LN(2)/25)*CL172+(1-EXP(-LN(2)/25))/(LN(2)/25)*Calculateur!CG173*Calculateur!CI173*VLOOKUP('Données projet'!$B$12,Paramètres!$A$1:$I$89,3,0)*0.475*44/12</f>
        <v>0.5782954769199512</v>
      </c>
      <c r="CM173" s="21">
        <f>EXP(-LN(2)/2)*CM172+(1-EXP(-LN(2)/2))/(LN(2)/2)*CG173*CJ173*VLOOKUP('Données projet'!$B$12,Paramètres!$A$1:$I$89,3,0)*0.475*44/12</f>
        <v>4.5788690653960997E-14</v>
      </c>
      <c r="CN173" s="22">
        <f t="shared" si="172"/>
        <v>9.5696381467808411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-2.8421709430404007E-13</v>
      </c>
      <c r="CU173" s="17">
        <f>CT173*VLOOKUP('Données projet'!$B$13,Paramètres!$A$1:$I$89,3,0)*VLOOKUP('Données projet'!$B$13,Paramètres!$A$1:$I$89,5,0)</f>
        <v>-1.8621904018800707E-13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340.49092994349405</v>
      </c>
      <c r="CZ173" s="59">
        <f t="shared" si="150"/>
        <v>331.54434271908832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16.75191480033606</v>
      </c>
      <c r="DG173" s="21">
        <f>EXP(-LN(2)/25)*DG172+(1-EXP(-LN(2)/25))/(LN(2)/25)*Calculateur!DB173*Calculateur!DD173*VLOOKUP('Données projet'!$B$13,Paramètres!$A$1:$I$89,3,0)*0.475*44/12</f>
        <v>0.27801760898507</v>
      </c>
      <c r="DH173" s="21">
        <f>EXP(-LN(2)/2)*DH172+(1-EXP(-LN(2)/2))/(LN(2)/2)*DB173*DE173*VLOOKUP('Données projet'!$B$13,Paramètres!$A$1:$I$89,3,0)*0.475*44/12</f>
        <v>1.3495826737644956E-12</v>
      </c>
      <c r="DI173" s="22">
        <f t="shared" si="175"/>
        <v>17.02993240932248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-7.9580786405131221E-13</v>
      </c>
      <c r="DP173" s="17">
        <f>DO173*VLOOKUP('Données projet'!$B$14,Paramètres!$A$1:$I$89,3,0)*VLOOKUP('Données projet'!$B$14,Paramètres!$A$1:$I$89,5,0)</f>
        <v>-8.0694917414803056E-13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586.50020405958992</v>
      </c>
      <c r="DU173" s="59">
        <f t="shared" si="152"/>
        <v>304.44184537595294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148.96904382769677</v>
      </c>
      <c r="EB173" s="21">
        <f>EXP(-LN(2)/25)*EB172+(1-EXP(-LN(2)/25))/(LN(2)/25)*Calculateur!DW173*Calculateur!DY173*VLOOKUP('Données projet'!$B$14,Paramètres!$A$1:$I$89,3,0)*0.475*44/12</f>
        <v>22.153397958595665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171.12244178629243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-4.8771653382573282E-14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536.21423347711345</v>
      </c>
      <c r="T174" s="59">
        <f t="shared" si="142"/>
        <v>312.14361830038712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67.524612785158382</v>
      </c>
      <c r="AA174" s="21">
        <f>EXP(-LN(2)/25)*AA173+(1-EXP(-LN(2)/25))/(LN(2)/25)*Calculateur!V174*Calculateur!X174*VLOOKUP('Données projet'!$B$9,Paramètres!$A$1:$I$89,3,0)*0.475*44/12</f>
        <v>11.822017243036713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79.346630028195094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-7.2004695539362725E-13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528.15559695545812</v>
      </c>
      <c r="AO174" s="59">
        <f t="shared" si="144"/>
        <v>276.26988364830532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130.3196215529548</v>
      </c>
      <c r="AV174" s="21">
        <f>EXP(-LN(2)/25)*AV173+(1-EXP(-LN(2)/25))/(LN(2)/25)*Calculateur!AQ174*Calculateur!AS174*VLOOKUP('Données projet'!$B$10,Paramètres!$A$1:$I$89,3,0)*0.475*44/12</f>
        <v>19.227100051268234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149.54672160422302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-4.1677594708744434E-14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464.3681853739115</v>
      </c>
      <c r="BJ174" s="59">
        <f t="shared" si="146"/>
        <v>272.97841038165217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46.815520562197271</v>
      </c>
      <c r="BQ174" s="21">
        <f>EXP(-LN(2)/25)*BQ173+(1-EXP(-LN(2)/25))/(LN(2)/25)*Calculateur!BL174*Calculateur!BN174*VLOOKUP('Données projet'!$B$11,Paramètres!$A$1:$I$89,3,0)*0.475*44/12</f>
        <v>8.1963282498034964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55.011848812000764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4.4337866711430253E-14</v>
      </c>
      <c r="CA174" s="13">
        <f t="shared" si="170"/>
        <v>7.3222115536967035E-13</v>
      </c>
      <c r="CB174" s="20">
        <f t="shared" si="171"/>
        <v>1.3525069634579169E-12</v>
      </c>
      <c r="CC174" s="59">
        <f t="shared" si="119"/>
        <v>293.33333333333468</v>
      </c>
      <c r="CD174" s="59">
        <f ca="1">AVERAGE(OFFSET($CC$3,0,0,'Données projet'!$E$12+1,1))-AVERAGE(OFFSET($H$3,0,0,'Données projet'!$E$12+1,1))</f>
        <v>288.82868507674738</v>
      </c>
      <c r="CE174" s="59">
        <f t="shared" si="148"/>
        <v>283.48738729114024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8.8150279242823828</v>
      </c>
      <c r="CL174" s="21">
        <f>EXP(-LN(2)/25)*CL173+(1-EXP(-LN(2)/25))/(LN(2)/25)*Calculateur!CG174*Calculateur!CI174*VLOOKUP('Données projet'!$B$12,Paramètres!$A$1:$I$89,3,0)*0.475*44/12</f>
        <v>0.56248195669233769</v>
      </c>
      <c r="CM174" s="21">
        <f>EXP(-LN(2)/2)*CM173+(1-EXP(-LN(2)/2))/(LN(2)/2)*CG174*CJ174*VLOOKUP('Données projet'!$B$12,Paramètres!$A$1:$I$89,3,0)*0.475*44/12</f>
        <v>3.2377493663068912E-14</v>
      </c>
      <c r="CN174" s="22">
        <f t="shared" si="172"/>
        <v>9.3775098809747526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-2.8421709430404007E-13</v>
      </c>
      <c r="CU174" s="17">
        <f>CT174*VLOOKUP('Données projet'!$B$13,Paramètres!$A$1:$I$89,3,0)*VLOOKUP('Données projet'!$B$13,Paramètres!$A$1:$I$89,5,0)</f>
        <v>-1.8621904018800707E-13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340.49092994349405</v>
      </c>
      <c r="CZ174" s="59">
        <f t="shared" si="150"/>
        <v>331.54434271908832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16.423419968760587</v>
      </c>
      <c r="DG174" s="21">
        <f>EXP(-LN(2)/25)*DG173+(1-EXP(-LN(2)/25))/(LN(2)/25)*Calculateur!DB174*Calculateur!DD174*VLOOKUP('Données projet'!$B$13,Paramètres!$A$1:$I$89,3,0)*0.475*44/12</f>
        <v>0.27041520284706261</v>
      </c>
      <c r="DH174" s="21">
        <f>EXP(-LN(2)/2)*DH173+(1-EXP(-LN(2)/2))/(LN(2)/2)*DB174*DE174*VLOOKUP('Données projet'!$B$13,Paramètres!$A$1:$I$89,3,0)*0.475*44/12</f>
        <v>9.5429906039074694E-13</v>
      </c>
      <c r="DI174" s="22">
        <f t="shared" si="175"/>
        <v>16.693835171608605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-7.9580786405131221E-13</v>
      </c>
      <c r="DP174" s="17">
        <f>DO174*VLOOKUP('Données projet'!$B$14,Paramètres!$A$1:$I$89,3,0)*VLOOKUP('Données projet'!$B$14,Paramètres!$A$1:$I$89,5,0)</f>
        <v>-8.0694917414803056E-13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586.50020405958992</v>
      </c>
      <c r="DU174" s="59">
        <f t="shared" si="152"/>
        <v>304.44184537595294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146.04785174038048</v>
      </c>
      <c r="EB174" s="21">
        <f>EXP(-LN(2)/25)*EB173+(1-EXP(-LN(2)/25))/(LN(2)/25)*Calculateur!DW174*Calculateur!DY174*VLOOKUP('Données projet'!$B$14,Paramètres!$A$1:$I$89,3,0)*0.475*44/12</f>
        <v>21.547612126421299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167.59546386680177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-4.8771653382573282E-14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536.21423347711345</v>
      </c>
      <c r="T175" s="59">
        <f t="shared" si="142"/>
        <v>312.14361830038712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66.200496314388445</v>
      </c>
      <c r="AA175" s="21">
        <f>EXP(-LN(2)/25)*AA174+(1-EXP(-LN(2)/25))/(LN(2)/25)*Calculateur!V175*Calculateur!X175*VLOOKUP('Données projet'!$B$9,Paramètres!$A$1:$I$89,3,0)*0.475*44/12</f>
        <v>11.498743559833008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77.699239874221448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-7.2004695539362725E-13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528.15559695545812</v>
      </c>
      <c r="AO175" s="59">
        <f t="shared" si="144"/>
        <v>276.26988364830532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127.7641332614218</v>
      </c>
      <c r="AV175" s="21">
        <f>EXP(-LN(2)/25)*AV174+(1-EXP(-LN(2)/25))/(LN(2)/25)*Calculateur!AQ175*Calculateur!AS175*VLOOKUP('Données projet'!$B$10,Paramètres!$A$1:$I$89,3,0)*0.475*44/12</f>
        <v>18.701333989257058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146.46546725067887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-4.1677594708744434E-14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464.3681853739115</v>
      </c>
      <c r="BJ175" s="59">
        <f t="shared" si="146"/>
        <v>272.97841038165217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45.897496758620591</v>
      </c>
      <c r="BQ175" s="21">
        <f>EXP(-LN(2)/25)*BQ174+(1-EXP(-LN(2)/25))/(LN(2)/25)*Calculateur!BL175*Calculateur!BN175*VLOOKUP('Données projet'!$B$11,Paramètres!$A$1:$I$89,3,0)*0.475*44/12</f>
        <v>7.9721992227864504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53.869695981407041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4.4337866711430253E-14</v>
      </c>
      <c r="CA175" s="13">
        <f t="shared" si="170"/>
        <v>7.3222115536967035E-13</v>
      </c>
      <c r="CB175" s="20">
        <f t="shared" si="171"/>
        <v>1.3525069634579169E-12</v>
      </c>
      <c r="CC175" s="59">
        <f t="shared" si="119"/>
        <v>293.33333333333468</v>
      </c>
      <c r="CD175" s="59">
        <f ca="1">AVERAGE(OFFSET($CC$3,0,0,'Données projet'!$E$12+1,1))-AVERAGE(OFFSET($H$3,0,0,'Données projet'!$E$12+1,1))</f>
        <v>288.82868507674738</v>
      </c>
      <c r="CE175" s="59">
        <f t="shared" si="148"/>
        <v>283.48738729114024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8.6421706033233399</v>
      </c>
      <c r="CL175" s="21">
        <f>EXP(-LN(2)/25)*CL174+(1-EXP(-LN(2)/25))/(LN(2)/25)*Calculateur!CG175*Calculateur!CI175*VLOOKUP('Données projet'!$B$12,Paramètres!$A$1:$I$89,3,0)*0.475*44/12</f>
        <v>0.54710085800694519</v>
      </c>
      <c r="CM175" s="21">
        <f>EXP(-LN(2)/2)*CM174+(1-EXP(-LN(2)/2))/(LN(2)/2)*CG175*CJ175*VLOOKUP('Données projet'!$B$12,Paramètres!$A$1:$I$89,3,0)*0.475*44/12</f>
        <v>2.2894345326980499E-14</v>
      </c>
      <c r="CN175" s="22">
        <f t="shared" si="172"/>
        <v>9.1892714613303088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-2.8421709430404007E-13</v>
      </c>
      <c r="CU175" s="17">
        <f>CT175*VLOOKUP('Données projet'!$B$13,Paramètres!$A$1:$I$89,3,0)*VLOOKUP('Données projet'!$B$13,Paramètres!$A$1:$I$89,5,0)</f>
        <v>-1.8621904018800707E-13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340.49092994349405</v>
      </c>
      <c r="CZ175" s="59">
        <f t="shared" si="150"/>
        <v>331.54434271908832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16.101366720470246</v>
      </c>
      <c r="DG175" s="21">
        <f>EXP(-LN(2)/25)*DG174+(1-EXP(-LN(2)/25))/(LN(2)/25)*Calculateur!DB175*Calculateur!DD175*VLOOKUP('Données projet'!$B$13,Paramètres!$A$1:$I$89,3,0)*0.475*44/12</f>
        <v>0.26302068490469221</v>
      </c>
      <c r="DH175" s="21">
        <f>EXP(-LN(2)/2)*DH174+(1-EXP(-LN(2)/2))/(LN(2)/2)*DB175*DE175*VLOOKUP('Données projet'!$B$13,Paramètres!$A$1:$I$89,3,0)*0.475*44/12</f>
        <v>6.7479133688224781E-13</v>
      </c>
      <c r="DI175" s="22">
        <f t="shared" si="175"/>
        <v>16.364387405375613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-7.9580786405131221E-13</v>
      </c>
      <c r="DP175" s="17">
        <f>DO175*VLOOKUP('Données projet'!$B$14,Paramètres!$A$1:$I$89,3,0)*VLOOKUP('Données projet'!$B$14,Paramètres!$A$1:$I$89,5,0)</f>
        <v>-8.0694917414803056E-13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586.50020405958992</v>
      </c>
      <c r="DU175" s="59">
        <f t="shared" si="152"/>
        <v>304.44184537595294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143.18394244814522</v>
      </c>
      <c r="EB175" s="21">
        <f>EXP(-LN(2)/25)*EB174+(1-EXP(-LN(2)/25))/(LN(2)/25)*Calculateur!DW175*Calculateur!DY175*VLOOKUP('Données projet'!$B$14,Paramètres!$A$1:$I$89,3,0)*0.475*44/12</f>
        <v>20.958391539684634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164.14233398782986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-4.8771653382573282E-14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536.21423347711345</v>
      </c>
      <c r="T176" s="59">
        <f t="shared" si="142"/>
        <v>312.14361830038712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64.902344959979018</v>
      </c>
      <c r="AA176" s="21">
        <f>EXP(-LN(2)/25)*AA175+(1-EXP(-LN(2)/25))/(LN(2)/25)*Calculateur!V176*Calculateur!X176*VLOOKUP('Données projet'!$B$9,Paramètres!$A$1:$I$89,3,0)*0.475*44/12</f>
        <v>11.18430981249673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76.086654772475754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-7.2004695539362725E-13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528.15559695545812</v>
      </c>
      <c r="AO176" s="59">
        <f t="shared" si="144"/>
        <v>276.26988364830532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125.25875653659182</v>
      </c>
      <c r="AV176" s="21">
        <f>EXP(-LN(2)/25)*AV175+(1-EXP(-LN(2)/25))/(LN(2)/25)*Calculateur!AQ176*Calculateur!AS176*VLOOKUP('Données projet'!$B$10,Paramètres!$A$1:$I$89,3,0)*0.475*44/12</f>
        <v>18.189945027860411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143.44870156445222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-4.1677594708744434E-14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464.3681853739115</v>
      </c>
      <c r="BJ176" s="59">
        <f t="shared" si="146"/>
        <v>272.97841038165217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44.997474841892817</v>
      </c>
      <c r="BQ176" s="21">
        <f>EXP(-LN(2)/25)*BQ175+(1-EXP(-LN(2)/25))/(LN(2)/25)*Calculateur!BL176*Calculateur!BN176*VLOOKUP('Données projet'!$B$11,Paramètres!$A$1:$I$89,3,0)*0.475*44/12</f>
        <v>7.7541990157996183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52.751673857692438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4.4337866711430253E-14</v>
      </c>
      <c r="CA176" s="13">
        <f t="shared" si="170"/>
        <v>7.3222115536967035E-13</v>
      </c>
      <c r="CB176" s="20">
        <f t="shared" si="171"/>
        <v>1.3525069634579169E-12</v>
      </c>
      <c r="CC176" s="59">
        <f t="shared" si="119"/>
        <v>293.33333333333468</v>
      </c>
      <c r="CD176" s="59">
        <f ca="1">AVERAGE(OFFSET($CC$3,0,0,'Données projet'!$E$12+1,1))-AVERAGE(OFFSET($H$3,0,0,'Données projet'!$E$12+1,1))</f>
        <v>288.82868507674738</v>
      </c>
      <c r="CE176" s="59">
        <f t="shared" si="148"/>
        <v>283.48738729114024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8.4727029089957497</v>
      </c>
      <c r="CL176" s="21">
        <f>EXP(-LN(2)/25)*CL175+(1-EXP(-LN(2)/25))/(LN(2)/25)*Calculateur!CG176*Calculateur!CI176*VLOOKUP('Données projet'!$B$12,Paramètres!$A$1:$I$89,3,0)*0.475*44/12</f>
        <v>0.53214035627396161</v>
      </c>
      <c r="CM176" s="21">
        <f>EXP(-LN(2)/2)*CM175+(1-EXP(-LN(2)/2))/(LN(2)/2)*CG176*CJ176*VLOOKUP('Données projet'!$B$12,Paramètres!$A$1:$I$89,3,0)*0.475*44/12</f>
        <v>1.6188746831534456E-14</v>
      </c>
      <c r="CN176" s="22">
        <f t="shared" si="172"/>
        <v>9.0048432652697272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-2.8421709430404007E-13</v>
      </c>
      <c r="CU176" s="17">
        <f>CT176*VLOOKUP('Données projet'!$B$13,Paramètres!$A$1:$I$89,3,0)*VLOOKUP('Données projet'!$B$13,Paramètres!$A$1:$I$89,5,0)</f>
        <v>-1.8621904018800707E-13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340.49092994349405</v>
      </c>
      <c r="CZ176" s="59">
        <f t="shared" si="150"/>
        <v>331.54434271908832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15.785628739945794</v>
      </c>
      <c r="DG176" s="21">
        <f>EXP(-LN(2)/25)*DG175+(1-EXP(-LN(2)/25))/(LN(2)/25)*Calculateur!DB176*Calculateur!DD176*VLOOKUP('Données projet'!$B$13,Paramètres!$A$1:$I$89,3,0)*0.475*44/12</f>
        <v>0.25582837044431672</v>
      </c>
      <c r="DH176" s="21">
        <f>EXP(-LN(2)/2)*DH175+(1-EXP(-LN(2)/2))/(LN(2)/2)*DB176*DE176*VLOOKUP('Données projet'!$B$13,Paramètres!$A$1:$I$89,3,0)*0.475*44/12</f>
        <v>4.7714953019537347E-13</v>
      </c>
      <c r="DI176" s="22">
        <f t="shared" si="175"/>
        <v>16.041457110390589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-7.9580786405131221E-13</v>
      </c>
      <c r="DP176" s="17">
        <f>DO176*VLOOKUP('Données projet'!$B$14,Paramètres!$A$1:$I$89,3,0)*VLOOKUP('Données projet'!$B$14,Paramètres!$A$1:$I$89,5,0)</f>
        <v>-8.0694917414803056E-13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586.50020405958992</v>
      </c>
      <c r="DU176" s="59">
        <f t="shared" si="152"/>
        <v>304.44184537595294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140.37619267031852</v>
      </c>
      <c r="EB176" s="21">
        <f>EXP(-LN(2)/25)*EB175+(1-EXP(-LN(2)/25))/(LN(2)/25)*Calculateur!DW176*Calculateur!DY176*VLOOKUP('Données projet'!$B$14,Paramètres!$A$1:$I$89,3,0)*0.475*44/12</f>
        <v>20.385283220878048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160.76147589119657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-4.8771653382573282E-14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536.21423347711345</v>
      </c>
      <c r="T177" s="59">
        <f t="shared" si="142"/>
        <v>312.14361830038712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63.629649561835414</v>
      </c>
      <c r="AA177" s="21">
        <f>EXP(-LN(2)/25)*AA176+(1-EXP(-LN(2)/25))/(LN(2)/25)*Calculateur!V177*Calculateur!X177*VLOOKUP('Données projet'!$B$9,Paramètres!$A$1:$I$89,3,0)*0.475*44/12</f>
        <v>10.878474272516716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74.508123834352133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-7.2004695539362725E-13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528.15559695545812</v>
      </c>
      <c r="AO177" s="59">
        <f t="shared" si="144"/>
        <v>276.26988364830532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122.80250872120683</v>
      </c>
      <c r="AV177" s="21">
        <f>EXP(-LN(2)/25)*AV176+(1-EXP(-LN(2)/25))/(LN(2)/25)*Calculateur!AQ177*Calculateur!AS177*VLOOKUP('Données projet'!$B$10,Paramètres!$A$1:$I$89,3,0)*0.475*44/12</f>
        <v>17.692540024505931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140.49504874571278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-4.1677594708744434E-14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464.3681853739115</v>
      </c>
      <c r="BJ177" s="59">
        <f t="shared" si="146"/>
        <v>272.97841038165217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44.115101805992907</v>
      </c>
      <c r="BQ177" s="21">
        <f>EXP(-LN(2)/25)*BQ176+(1-EXP(-LN(2)/25))/(LN(2)/25)*Calculateur!BL177*Calculateur!BN177*VLOOKUP('Données projet'!$B$11,Paramètres!$A$1:$I$89,3,0)*0.475*44/12</f>
        <v>7.5421600359369743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51.657261841929881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4.4337866711430253E-14</v>
      </c>
      <c r="CA177" s="13">
        <f t="shared" si="170"/>
        <v>7.3222115536967035E-13</v>
      </c>
      <c r="CB177" s="20">
        <f t="shared" si="171"/>
        <v>1.3525069634579169E-12</v>
      </c>
      <c r="CC177" s="59">
        <f t="shared" si="119"/>
        <v>293.33333333333468</v>
      </c>
      <c r="CD177" s="59">
        <f ca="1">AVERAGE(OFFSET($CC$3,0,0,'Données projet'!$E$12+1,1))-AVERAGE(OFFSET($H$3,0,0,'Données projet'!$E$12+1,1))</f>
        <v>288.82868507674738</v>
      </c>
      <c r="CE177" s="59">
        <f t="shared" si="148"/>
        <v>283.48738729114024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8.3065583727888352</v>
      </c>
      <c r="CL177" s="21">
        <f>EXP(-LN(2)/25)*CL176+(1-EXP(-LN(2)/25))/(LN(2)/25)*Calculateur!CG177*Calculateur!CI177*VLOOKUP('Données projet'!$B$12,Paramètres!$A$1:$I$89,3,0)*0.475*44/12</f>
        <v>0.51758895024760498</v>
      </c>
      <c r="CM177" s="21">
        <f>EXP(-LN(2)/2)*CM176+(1-EXP(-LN(2)/2))/(LN(2)/2)*CG177*CJ177*VLOOKUP('Données projet'!$B$12,Paramètres!$A$1:$I$89,3,0)*0.475*44/12</f>
        <v>1.1447172663490249E-14</v>
      </c>
      <c r="CN177" s="22">
        <f t="shared" si="172"/>
        <v>8.8241473230364509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-2.8421709430404007E-13</v>
      </c>
      <c r="CU177" s="17">
        <f>CT177*VLOOKUP('Données projet'!$B$13,Paramètres!$A$1:$I$89,3,0)*VLOOKUP('Données projet'!$B$13,Paramètres!$A$1:$I$89,5,0)</f>
        <v>-1.8621904018800707E-13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340.49092994349405</v>
      </c>
      <c r="CZ177" s="59">
        <f t="shared" si="150"/>
        <v>331.54434271908832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15.476082188638275</v>
      </c>
      <c r="DG177" s="21">
        <f>EXP(-LN(2)/25)*DG176+(1-EXP(-LN(2)/25))/(LN(2)/25)*Calculateur!DB177*Calculateur!DD177*VLOOKUP('Données projet'!$B$13,Paramètres!$A$1:$I$89,3,0)*0.475*44/12</f>
        <v>0.24883273020108759</v>
      </c>
      <c r="DH177" s="21">
        <f>EXP(-LN(2)/2)*DH176+(1-EXP(-LN(2)/2))/(LN(2)/2)*DB177*DE177*VLOOKUP('Données projet'!$B$13,Paramètres!$A$1:$I$89,3,0)*0.475*44/12</f>
        <v>3.373956684411239E-13</v>
      </c>
      <c r="DI177" s="22">
        <f t="shared" si="175"/>
        <v>15.724914918839699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-7.9580786405131221E-13</v>
      </c>
      <c r="DP177" s="17">
        <f>DO177*VLOOKUP('Données projet'!$B$14,Paramètres!$A$1:$I$89,3,0)*VLOOKUP('Données projet'!$B$14,Paramètres!$A$1:$I$89,5,0)</f>
        <v>-8.0694917414803056E-13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586.50020405958992</v>
      </c>
      <c r="DU177" s="59">
        <f t="shared" si="152"/>
        <v>304.44184537595294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137.62350115307672</v>
      </c>
      <c r="EB177" s="21">
        <f>EXP(-LN(2)/25)*EB176+(1-EXP(-LN(2)/25))/(LN(2)/25)*Calculateur!DW177*Calculateur!DY177*VLOOKUP('Données projet'!$B$14,Paramètres!$A$1:$I$89,3,0)*0.475*44/12</f>
        <v>19.827846579187685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157.4513477322644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-4.8771653382573282E-14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536.21423347711345</v>
      </c>
      <c r="T178" s="59">
        <f t="shared" si="142"/>
        <v>312.14361830038712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62.381910944181861</v>
      </c>
      <c r="AA178" s="21">
        <f>EXP(-LN(2)/25)*AA177+(1-EXP(-LN(2)/25))/(LN(2)/25)*Calculateur!V178*Calculateur!X178*VLOOKUP('Données projet'!$B$9,Paramètres!$A$1:$I$89,3,0)*0.475*44/12</f>
        <v>10.581001821460648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72.962912765642514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-7.2004695539362725E-13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528.15559695545812</v>
      </c>
      <c r="AO178" s="59">
        <f t="shared" si="144"/>
        <v>276.26988364830532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120.39442642731832</v>
      </c>
      <c r="AV178" s="21">
        <f>EXP(-LN(2)/25)*AV177+(1-EXP(-LN(2)/25))/(LN(2)/25)*Calculateur!AQ178*Calculateur!AS178*VLOOKUP('Données projet'!$B$10,Paramètres!$A$1:$I$89,3,0)*0.475*44/12</f>
        <v>17.208736587125571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137.60316301444391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-4.1677594708744434E-14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464.3681853739115</v>
      </c>
      <c r="BJ178" s="59">
        <f t="shared" si="146"/>
        <v>272.97841038165217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43.250031567132588</v>
      </c>
      <c r="BQ178" s="21">
        <f>EXP(-LN(2)/25)*BQ177+(1-EXP(-LN(2)/25))/(LN(2)/25)*Calculateur!BL178*Calculateur!BN178*VLOOKUP('Données projet'!$B$11,Paramètres!$A$1:$I$89,3,0)*0.475*44/12</f>
        <v>7.3359192731293197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50.585950840261908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4.4337866711430253E-14</v>
      </c>
      <c r="CA178" s="13">
        <f t="shared" si="170"/>
        <v>7.3222115536967035E-13</v>
      </c>
      <c r="CB178" s="20">
        <f t="shared" si="171"/>
        <v>1.3525069634579169E-12</v>
      </c>
      <c r="CC178" s="59">
        <f t="shared" si="119"/>
        <v>293.33333333333468</v>
      </c>
      <c r="CD178" s="59">
        <f ca="1">AVERAGE(OFFSET($CC$3,0,0,'Données projet'!$E$12+1,1))-AVERAGE(OFFSET($H$3,0,0,'Données projet'!$E$12+1,1))</f>
        <v>288.82868507674738</v>
      </c>
      <c r="CE178" s="59">
        <f t="shared" si="148"/>
        <v>283.48738729114024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8.1436718295987784</v>
      </c>
      <c r="CL178" s="21">
        <f>EXP(-LN(2)/25)*CL177+(1-EXP(-LN(2)/25))/(LN(2)/25)*Calculateur!CG178*Calculateur!CI178*VLOOKUP('Données projet'!$B$12,Paramètres!$A$1:$I$89,3,0)*0.475*44/12</f>
        <v>0.5034354531842643</v>
      </c>
      <c r="CM178" s="21">
        <f>EXP(-LN(2)/2)*CM177+(1-EXP(-LN(2)/2))/(LN(2)/2)*CG178*CJ178*VLOOKUP('Données projet'!$B$12,Paramètres!$A$1:$I$89,3,0)*0.475*44/12</f>
        <v>8.094373415767228E-15</v>
      </c>
      <c r="CN178" s="22">
        <f t="shared" si="172"/>
        <v>8.6471072827830522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-2.8421709430404007E-13</v>
      </c>
      <c r="CU178" s="17">
        <f>CT178*VLOOKUP('Données projet'!$B$13,Paramètres!$A$1:$I$89,3,0)*VLOOKUP('Données projet'!$B$13,Paramètres!$A$1:$I$89,5,0)</f>
        <v>-1.8621904018800707E-13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340.49092994349405</v>
      </c>
      <c r="CZ178" s="59">
        <f t="shared" si="150"/>
        <v>331.54434271908832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15.172605656397142</v>
      </c>
      <c r="DG178" s="21">
        <f>EXP(-LN(2)/25)*DG177+(1-EXP(-LN(2)/25))/(LN(2)/25)*Calculateur!DB178*Calculateur!DD178*VLOOKUP('Données projet'!$B$13,Paramètres!$A$1:$I$89,3,0)*0.475*44/12</f>
        <v>0.2420283861081943</v>
      </c>
      <c r="DH178" s="21">
        <f>EXP(-LN(2)/2)*DH177+(1-EXP(-LN(2)/2))/(LN(2)/2)*DB178*DE178*VLOOKUP('Données projet'!$B$13,Paramètres!$A$1:$I$89,3,0)*0.475*44/12</f>
        <v>2.3857476509768673E-13</v>
      </c>
      <c r="DI178" s="22">
        <f t="shared" si="175"/>
        <v>15.414634042505574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-7.9580786405131221E-13</v>
      </c>
      <c r="DP178" s="17">
        <f>DO178*VLOOKUP('Données projet'!$B$14,Paramètres!$A$1:$I$89,3,0)*VLOOKUP('Données projet'!$B$14,Paramètres!$A$1:$I$89,5,0)</f>
        <v>-8.0694917414803056E-13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586.50020405958992</v>
      </c>
      <c r="DU178" s="59">
        <f t="shared" si="152"/>
        <v>304.44184537595294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134.92478823751199</v>
      </c>
      <c r="EB178" s="21">
        <f>EXP(-LN(2)/25)*EB177+(1-EXP(-LN(2)/25))/(LN(2)/25)*Calculateur!DW178*Calculateur!DY178*VLOOKUP('Données projet'!$B$14,Paramètres!$A$1:$I$89,3,0)*0.475*44/12</f>
        <v>19.285653071778665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154.21044130929064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-4.8771653382573282E-14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536.21423347711345</v>
      </c>
      <c r="T179" s="59">
        <f t="shared" si="142"/>
        <v>312.14361830038712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61.158639719775081</v>
      </c>
      <c r="AA179" s="21">
        <f>EXP(-LN(2)/25)*AA178+(1-EXP(-LN(2)/25))/(LN(2)/25)*Calculateur!V179*Calculateur!X179*VLOOKUP('Données projet'!$B$9,Paramètres!$A$1:$I$89,3,0)*0.475*44/12</f>
        <v>10.291663770222103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71.450303489997182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-7.2004695539362725E-13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528.15559695545812</v>
      </c>
      <c r="AO179" s="59">
        <f t="shared" si="144"/>
        <v>276.26988364830532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118.03356515842779</v>
      </c>
      <c r="AV179" s="21">
        <f>EXP(-LN(2)/25)*AV178+(1-EXP(-LN(2)/25))/(LN(2)/25)*Calculateur!AQ179*Calculateur!AS179*VLOOKUP('Données projet'!$B$10,Paramètres!$A$1:$I$89,3,0)*0.475*44/12</f>
        <v>16.738162780182495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134.7717279386103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-4.1677594708744434E-14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464.3681853739115</v>
      </c>
      <c r="BJ179" s="59">
        <f t="shared" si="146"/>
        <v>272.97841038165217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42.401924828015574</v>
      </c>
      <c r="BQ179" s="21">
        <f>EXP(-LN(2)/25)*BQ178+(1-EXP(-LN(2)/25))/(LN(2)/25)*Calculateur!BL179*Calculateur!BN179*VLOOKUP('Données projet'!$B$11,Paramètres!$A$1:$I$89,3,0)*0.475*44/12</f>
        <v>7.1353181748263701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49.537243002841947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4.4337866711430253E-14</v>
      </c>
      <c r="CA179" s="13">
        <f t="shared" si="170"/>
        <v>7.3222115536967035E-13</v>
      </c>
      <c r="CB179" s="20">
        <f t="shared" si="171"/>
        <v>1.3525069634579169E-12</v>
      </c>
      <c r="CC179" s="59">
        <f t="shared" si="119"/>
        <v>293.33333333333468</v>
      </c>
      <c r="CD179" s="59">
        <f ca="1">AVERAGE(OFFSET($CC$3,0,0,'Données projet'!$E$12+1,1))-AVERAGE(OFFSET($H$3,0,0,'Données projet'!$E$12+1,1))</f>
        <v>288.82868507674738</v>
      </c>
      <c r="CE179" s="59">
        <f t="shared" si="148"/>
        <v>283.48738729114024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7.9839793921696973</v>
      </c>
      <c r="CL179" s="21">
        <f>EXP(-LN(2)/25)*CL178+(1-EXP(-LN(2)/25))/(LN(2)/25)*Calculateur!CG179*Calculateur!CI179*VLOOKUP('Données projet'!$B$12,Paramètres!$A$1:$I$89,3,0)*0.475*44/12</f>
        <v>0.48966898424242072</v>
      </c>
      <c r="CM179" s="21">
        <f>EXP(-LN(2)/2)*CM178+(1-EXP(-LN(2)/2))/(LN(2)/2)*CG179*CJ179*VLOOKUP('Données projet'!$B$12,Paramètres!$A$1:$I$89,3,0)*0.475*44/12</f>
        <v>5.7235863317451247E-15</v>
      </c>
      <c r="CN179" s="22">
        <f t="shared" si="172"/>
        <v>8.4736483764121235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-2.8421709430404007E-13</v>
      </c>
      <c r="CU179" s="17">
        <f>CT179*VLOOKUP('Données projet'!$B$13,Paramètres!$A$1:$I$89,3,0)*VLOOKUP('Données projet'!$B$13,Paramètres!$A$1:$I$89,5,0)</f>
        <v>-1.8621904018800707E-13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340.49092994349405</v>
      </c>
      <c r="CZ179" s="59">
        <f t="shared" si="150"/>
        <v>331.54434271908832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14.875080113850851</v>
      </c>
      <c r="DG179" s="21">
        <f>EXP(-LN(2)/25)*DG178+(1-EXP(-LN(2)/25))/(LN(2)/25)*Calculateur!DB179*Calculateur!DD179*VLOOKUP('Données projet'!$B$13,Paramètres!$A$1:$I$89,3,0)*0.475*44/12</f>
        <v>0.23541010716234606</v>
      </c>
      <c r="DH179" s="21">
        <f>EXP(-LN(2)/2)*DH178+(1-EXP(-LN(2)/2))/(LN(2)/2)*DB179*DE179*VLOOKUP('Données projet'!$B$13,Paramètres!$A$1:$I$89,3,0)*0.475*44/12</f>
        <v>1.6869783422056195E-13</v>
      </c>
      <c r="DI179" s="22">
        <f t="shared" si="175"/>
        <v>15.110490221013366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-7.9580786405131221E-13</v>
      </c>
      <c r="DP179" s="17">
        <f>DO179*VLOOKUP('Données projet'!$B$14,Paramètres!$A$1:$I$89,3,0)*VLOOKUP('Données projet'!$B$14,Paramètres!$A$1:$I$89,5,0)</f>
        <v>-8.0694917414803056E-13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586.50020405958992</v>
      </c>
      <c r="DU179" s="59">
        <f t="shared" si="152"/>
        <v>304.44184537595294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132.27899543616914</v>
      </c>
      <c r="EB179" s="21">
        <f>EXP(-LN(2)/25)*EB178+(1-EXP(-LN(2)/25))/(LN(2)/25)*Calculateur!DW179*Calculateur!DY179*VLOOKUP('Données projet'!$B$14,Paramètres!$A$1:$I$89,3,0)*0.475*44/12</f>
        <v>18.758285874342459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151.03728131051159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-4.8771653382573282E-14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536.21423347711345</v>
      </c>
      <c r="T180" s="59">
        <f t="shared" si="142"/>
        <v>312.14361830038712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59.959356097957148</v>
      </c>
      <c r="AA180" s="21">
        <f>EXP(-LN(2)/25)*AA179+(1-EXP(-LN(2)/25))/(LN(2)/25)*Calculateur!V180*Calculateur!X180*VLOOKUP('Données projet'!$B$9,Paramètres!$A$1:$I$89,3,0)*0.475*44/12</f>
        <v>10.010237683210304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69.969593781167447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-7.2004695539362725E-13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528.15559695545812</v>
      </c>
      <c r="AO180" s="59">
        <f t="shared" si="144"/>
        <v>276.26988364830532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115.71899893903701</v>
      </c>
      <c r="AV180" s="21">
        <f>EXP(-LN(2)/25)*AV179+(1-EXP(-LN(2)/25))/(LN(2)/25)*Calculateur!AQ180*Calculateur!AS180*VLOOKUP('Données projet'!$B$10,Paramètres!$A$1:$I$89,3,0)*0.475*44/12</f>
        <v>16.280456838736679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131.99945577777368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-4.1677594708744434E-14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464.3681853739115</v>
      </c>
      <c r="BJ180" s="59">
        <f t="shared" si="146"/>
        <v>272.97841038165217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41.57044894475861</v>
      </c>
      <c r="BQ180" s="21">
        <f>EXP(-LN(2)/25)*BQ179+(1-EXP(-LN(2)/25))/(LN(2)/25)*Calculateur!BL180*Calculateur!BN180*VLOOKUP('Données projet'!$B$11,Paramètres!$A$1:$I$89,3,0)*0.475*44/12</f>
        <v>6.9402025241056684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48.510651468864282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4.4337866711430253E-14</v>
      </c>
      <c r="CA180" s="13">
        <f t="shared" si="170"/>
        <v>7.3222115536967035E-13</v>
      </c>
      <c r="CB180" s="20">
        <f t="shared" si="171"/>
        <v>1.3525069634579169E-12</v>
      </c>
      <c r="CC180" s="59">
        <f t="shared" si="119"/>
        <v>293.33333333333468</v>
      </c>
      <c r="CD180" s="59">
        <f ca="1">AVERAGE(OFFSET($CC$3,0,0,'Données projet'!$E$12+1,1))-AVERAGE(OFFSET($H$3,0,0,'Données projet'!$E$12+1,1))</f>
        <v>288.82868507674738</v>
      </c>
      <c r="CE180" s="59">
        <f t="shared" si="148"/>
        <v>283.48738729114024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7.8274184260358313</v>
      </c>
      <c r="CL180" s="21">
        <f>EXP(-LN(2)/25)*CL179+(1-EXP(-LN(2)/25))/(LN(2)/25)*Calculateur!CG180*Calculateur!CI180*VLOOKUP('Données projet'!$B$12,Paramètres!$A$1:$I$89,3,0)*0.475*44/12</f>
        <v>0.47627896011773901</v>
      </c>
      <c r="CM180" s="21">
        <f>EXP(-LN(2)/2)*CM179+(1-EXP(-LN(2)/2))/(LN(2)/2)*CG180*CJ180*VLOOKUP('Données projet'!$B$12,Paramètres!$A$1:$I$89,3,0)*0.475*44/12</f>
        <v>4.047186707883614E-15</v>
      </c>
      <c r="CN180" s="22">
        <f t="shared" si="172"/>
        <v>8.3036973861535746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-2.8421709430404007E-13</v>
      </c>
      <c r="CU180" s="17">
        <f>CT180*VLOOKUP('Données projet'!$B$13,Paramètres!$A$1:$I$89,3,0)*VLOOKUP('Données projet'!$B$13,Paramètres!$A$1:$I$89,5,0)</f>
        <v>-1.8621904018800707E-13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340.49092994349405</v>
      </c>
      <c r="CZ180" s="59">
        <f t="shared" si="150"/>
        <v>331.54434271908832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14.583388865721231</v>
      </c>
      <c r="DG180" s="21">
        <f>EXP(-LN(2)/25)*DG179+(1-EXP(-LN(2)/25))/(LN(2)/25)*Calculateur!DB180*Calculateur!DD180*VLOOKUP('Données projet'!$B$13,Paramètres!$A$1:$I$89,3,0)*0.475*44/12</f>
        <v>0.22897280540231221</v>
      </c>
      <c r="DH180" s="21">
        <f>EXP(-LN(2)/2)*DH179+(1-EXP(-LN(2)/2))/(LN(2)/2)*DB180*DE180*VLOOKUP('Données projet'!$B$13,Paramètres!$A$1:$I$89,3,0)*0.475*44/12</f>
        <v>1.1928738254884337E-13</v>
      </c>
      <c r="DI180" s="22">
        <f t="shared" si="175"/>
        <v>14.812361671123663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-7.9580786405131221E-13</v>
      </c>
      <c r="DP180" s="17">
        <f>DO180*VLOOKUP('Données projet'!$B$14,Paramètres!$A$1:$I$89,3,0)*VLOOKUP('Données projet'!$B$14,Paramètres!$A$1:$I$89,5,0)</f>
        <v>-8.0694917414803056E-13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586.50020405958992</v>
      </c>
      <c r="DU180" s="59">
        <f t="shared" si="152"/>
        <v>304.44184537595294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129.68508501788637</v>
      </c>
      <c r="EB180" s="21">
        <f>EXP(-LN(2)/25)*EB179+(1-EXP(-LN(2)/25))/(LN(2)/25)*Calculateur!DW180*Calculateur!DY180*VLOOKUP('Données projet'!$B$14,Paramètres!$A$1:$I$89,3,0)*0.475*44/12</f>
        <v>18.245339560653182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147.93042457853954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-4.8771653382573282E-14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536.21423347711345</v>
      </c>
      <c r="T181" s="59">
        <f t="shared" si="142"/>
        <v>312.14361830038712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58.783589696472283</v>
      </c>
      <c r="AA181" s="21">
        <f>EXP(-LN(2)/25)*AA180+(1-EXP(-LN(2)/25))/(LN(2)/25)*Calculateur!V181*Calculateur!X181*VLOOKUP('Données projet'!$B$9,Paramètres!$A$1:$I$89,3,0)*0.475*44/12</f>
        <v>9.7365072073473975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68.520096903819677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-7.2004695539362725E-13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528.15559695545812</v>
      </c>
      <c r="AO181" s="59">
        <f t="shared" si="144"/>
        <v>276.26988364830532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113.44981995146249</v>
      </c>
      <c r="AV181" s="21">
        <f>EXP(-LN(2)/25)*AV180+(1-EXP(-LN(2)/25))/(LN(2)/25)*Calculateur!AQ181*Calculateur!AS181*VLOOKUP('Données projet'!$B$10,Paramètres!$A$1:$I$89,3,0)*0.475*44/12</f>
        <v>15.835266890329409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129.28508684179189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-4.1677594708744434E-14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464.3681853739115</v>
      </c>
      <c r="BJ181" s="59">
        <f t="shared" si="146"/>
        <v>272.97841038165217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40.755277796422106</v>
      </c>
      <c r="BQ181" s="21">
        <f>EXP(-LN(2)/25)*BQ180+(1-EXP(-LN(2)/25))/(LN(2)/25)*Calculateur!BL181*Calculateur!BN181*VLOOKUP('Données projet'!$B$11,Paramètres!$A$1:$I$89,3,0)*0.475*44/12</f>
        <v>6.7504223211146099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47.505700117536719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4.4337866711430253E-14</v>
      </c>
      <c r="CA181" s="13">
        <f t="shared" si="170"/>
        <v>7.3222115536967035E-13</v>
      </c>
      <c r="CB181" s="20">
        <f t="shared" si="171"/>
        <v>1.3525069634579169E-12</v>
      </c>
      <c r="CC181" s="59">
        <f t="shared" si="119"/>
        <v>293.33333333333468</v>
      </c>
      <c r="CD181" s="59">
        <f ca="1">AVERAGE(OFFSET($CC$3,0,0,'Données projet'!$E$12+1,1))-AVERAGE(OFFSET($H$3,0,0,'Données projet'!$E$12+1,1))</f>
        <v>288.82868507674738</v>
      </c>
      <c r="CE181" s="59">
        <f t="shared" si="148"/>
        <v>283.48738729114024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7.67392752495509</v>
      </c>
      <c r="CL181" s="21">
        <f>EXP(-LN(2)/25)*CL180+(1-EXP(-LN(2)/25))/(LN(2)/25)*Calculateur!CG181*Calculateur!CI181*VLOOKUP('Données projet'!$B$12,Paramètres!$A$1:$I$89,3,0)*0.475*44/12</f>
        <v>0.46325508690689748</v>
      </c>
      <c r="CM181" s="21">
        <f>EXP(-LN(2)/2)*CM180+(1-EXP(-LN(2)/2))/(LN(2)/2)*CG181*CJ181*VLOOKUP('Données projet'!$B$12,Paramètres!$A$1:$I$89,3,0)*0.475*44/12</f>
        <v>2.8617931658725623E-15</v>
      </c>
      <c r="CN181" s="22">
        <f t="shared" si="172"/>
        <v>8.1371826118619914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-2.8421709430404007E-13</v>
      </c>
      <c r="CU181" s="17">
        <f>CT181*VLOOKUP('Données projet'!$B$13,Paramètres!$A$1:$I$89,3,0)*VLOOKUP('Données projet'!$B$13,Paramètres!$A$1:$I$89,5,0)</f>
        <v>-1.8621904018800707E-13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340.49092994349405</v>
      </c>
      <c r="CZ181" s="59">
        <f t="shared" si="150"/>
        <v>331.54434271908832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14.297417505053339</v>
      </c>
      <c r="DG181" s="21">
        <f>EXP(-LN(2)/25)*DG180+(1-EXP(-LN(2)/25))/(LN(2)/25)*Calculateur!DB181*Calculateur!DD181*VLOOKUP('Données projet'!$B$13,Paramètres!$A$1:$I$89,3,0)*0.475*44/12</f>
        <v>0.22271153199742946</v>
      </c>
      <c r="DH181" s="21">
        <f>EXP(-LN(2)/2)*DH180+(1-EXP(-LN(2)/2))/(LN(2)/2)*DB181*DE181*VLOOKUP('Données projet'!$B$13,Paramètres!$A$1:$I$89,3,0)*0.475*44/12</f>
        <v>8.4348917110280976E-14</v>
      </c>
      <c r="DI181" s="22">
        <f t="shared" si="175"/>
        <v>14.520129037050852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-7.9580786405131221E-13</v>
      </c>
      <c r="DP181" s="17">
        <f>DO181*VLOOKUP('Données projet'!$B$14,Paramètres!$A$1:$I$89,3,0)*VLOOKUP('Données projet'!$B$14,Paramètres!$A$1:$I$89,5,0)</f>
        <v>-8.0694917414803056E-13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586.50020405958992</v>
      </c>
      <c r="DU181" s="59">
        <f t="shared" si="152"/>
        <v>304.44184537595294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127.14203960077698</v>
      </c>
      <c r="EB181" s="21">
        <f>EXP(-LN(2)/25)*EB180+(1-EXP(-LN(2)/25))/(LN(2)/25)*Calculateur!DW181*Calculateur!DY181*VLOOKUP('Données projet'!$B$14,Paramètres!$A$1:$I$89,3,0)*0.475*44/12</f>
        <v>17.746419790886414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144.88845939166339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-4.8771653382573282E-14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536.21423347711345</v>
      </c>
      <c r="T182" s="59">
        <f t="shared" si="142"/>
        <v>312.14361830038712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57.630879356973843</v>
      </c>
      <c r="AA182" s="21">
        <f>EXP(-LN(2)/25)*AA181+(1-EXP(-LN(2)/25))/(LN(2)/25)*Calculateur!V182*Calculateur!X182*VLOOKUP('Données projet'!$B$9,Paramètres!$A$1:$I$89,3,0)*0.475*44/12</f>
        <v>9.4702619057418218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67.101141262715657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-7.2004695539362725E-13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528.15559695545812</v>
      </c>
      <c r="AO182" s="59">
        <f t="shared" si="144"/>
        <v>276.26988364830532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111.22513817977179</v>
      </c>
      <c r="AV182" s="21">
        <f>EXP(-LN(2)/25)*AV181+(1-EXP(-LN(2)/25))/(LN(2)/25)*Calculateur!AQ182*Calculateur!AS182*VLOOKUP('Données projet'!$B$10,Paramètres!$A$1:$I$89,3,0)*0.475*44/12</f>
        <v>15.402250684472858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126.62738886424465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-4.1677594708744434E-14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464.3681853739115</v>
      </c>
      <c r="BJ182" s="59">
        <f t="shared" si="146"/>
        <v>272.97841038165217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39.956091657099172</v>
      </c>
      <c r="BQ182" s="21">
        <f>EXP(-LN(2)/25)*BQ181+(1-EXP(-LN(2)/25))/(LN(2)/25)*Calculateur!BL182*Calculateur!BN182*VLOOKUP('Données projet'!$B$11,Paramètres!$A$1:$I$89,3,0)*0.475*44/12</f>
        <v>6.5658316677544493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46.521923324853624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4.4337866711430253E-14</v>
      </c>
      <c r="CA182" s="13">
        <f t="shared" si="170"/>
        <v>7.3222115536967035E-13</v>
      </c>
      <c r="CB182" s="20">
        <f t="shared" si="171"/>
        <v>1.3525069634579169E-12</v>
      </c>
      <c r="CC182" s="59">
        <f t="shared" si="119"/>
        <v>293.33333333333468</v>
      </c>
      <c r="CD182" s="59">
        <f ca="1">AVERAGE(OFFSET($CC$3,0,0,'Données projet'!$E$12+1,1))-AVERAGE(OFFSET($H$3,0,0,'Données projet'!$E$12+1,1))</f>
        <v>288.82868507674738</v>
      </c>
      <c r="CE182" s="59">
        <f t="shared" si="148"/>
        <v>283.48738729114024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7.5234464868243371</v>
      </c>
      <c r="CL182" s="21">
        <f>EXP(-LN(2)/25)*CL181+(1-EXP(-LN(2)/25))/(LN(2)/25)*Calculateur!CG182*Calculateur!CI182*VLOOKUP('Données projet'!$B$12,Paramètres!$A$1:$I$89,3,0)*0.475*44/12</f>
        <v>0.45058735219390211</v>
      </c>
      <c r="CM182" s="21">
        <f>EXP(-LN(2)/2)*CM181+(1-EXP(-LN(2)/2))/(LN(2)/2)*CG182*CJ182*VLOOKUP('Données projet'!$B$12,Paramètres!$A$1:$I$89,3,0)*0.475*44/12</f>
        <v>2.023593353941807E-15</v>
      </c>
      <c r="CN182" s="22">
        <f t="shared" si="172"/>
        <v>7.974033839018241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-2.8421709430404007E-13</v>
      </c>
      <c r="CU182" s="17">
        <f>CT182*VLOOKUP('Données projet'!$B$13,Paramètres!$A$1:$I$89,3,0)*VLOOKUP('Données projet'!$B$13,Paramètres!$A$1:$I$89,5,0)</f>
        <v>-1.8621904018800707E-13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340.49092994349405</v>
      </c>
      <c r="CZ182" s="59">
        <f t="shared" si="150"/>
        <v>331.54434271908832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14.017053868342837</v>
      </c>
      <c r="DG182" s="21">
        <f>EXP(-LN(2)/25)*DG181+(1-EXP(-LN(2)/25))/(LN(2)/25)*Calculateur!DB182*Calculateur!DD182*VLOOKUP('Données projet'!$B$13,Paramètres!$A$1:$I$89,3,0)*0.475*44/12</f>
        <v>0.21662147344306931</v>
      </c>
      <c r="DH182" s="21">
        <f>EXP(-LN(2)/2)*DH181+(1-EXP(-LN(2)/2))/(LN(2)/2)*DB182*DE182*VLOOKUP('Données projet'!$B$13,Paramètres!$A$1:$I$89,3,0)*0.475*44/12</f>
        <v>5.9643691274421684E-14</v>
      </c>
      <c r="DI182" s="22">
        <f t="shared" si="175"/>
        <v>14.233675341785966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-7.9580786405131221E-13</v>
      </c>
      <c r="DP182" s="17">
        <f>DO182*VLOOKUP('Données projet'!$B$14,Paramètres!$A$1:$I$89,3,0)*VLOOKUP('Données projet'!$B$14,Paramètres!$A$1:$I$89,5,0)</f>
        <v>-8.0694917414803056E-13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586.50020405958992</v>
      </c>
      <c r="DU182" s="59">
        <f t="shared" si="152"/>
        <v>304.44184537595294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124.64886175319258</v>
      </c>
      <c r="EB182" s="21">
        <f>EXP(-LN(2)/25)*EB181+(1-EXP(-LN(2)/25))/(LN(2)/25)*Calculateur!DW182*Calculateur!DY182*VLOOKUP('Données projet'!$B$14,Paramètres!$A$1:$I$89,3,0)*0.475*44/12</f>
        <v>17.261143008460969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141.91000476165354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-4.8771653382573282E-14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536.21423347711345</v>
      </c>
      <c r="T183" s="59">
        <f t="shared" si="142"/>
        <v>312.14361830038712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56.500772964149085</v>
      </c>
      <c r="AA183" s="21">
        <f>EXP(-LN(2)/25)*AA182+(1-EXP(-LN(2)/25))/(LN(2)/25)*Calculateur!V183*Calculateur!X183*VLOOKUP('Données projet'!$B$9,Paramètres!$A$1:$I$89,3,0)*0.475*44/12</f>
        <v>9.2112970959098828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65.712070060058963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-7.2004695539362725E-13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528.15559695545812</v>
      </c>
      <c r="AO183" s="59">
        <f t="shared" si="144"/>
        <v>276.26988364830532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109.04408106070206</v>
      </c>
      <c r="AV183" s="21">
        <f>EXP(-LN(2)/25)*AV182+(1-EXP(-LN(2)/25))/(LN(2)/25)*Calculateur!AQ183*Calculateur!AS183*VLOOKUP('Données projet'!$B$10,Paramètres!$A$1:$I$89,3,0)*0.475*44/12</f>
        <v>14.981075329536786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124.02515639023883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-4.1677594708744434E-14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464.3681853739115</v>
      </c>
      <c r="BJ183" s="59">
        <f t="shared" si="146"/>
        <v>272.97841038165217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39.172577070512951</v>
      </c>
      <c r="BQ183" s="21">
        <f>EXP(-LN(2)/25)*BQ182+(1-EXP(-LN(2)/25))/(LN(2)/25)*Calculateur!BL183*Calculateur!BN183*VLOOKUP('Données projet'!$B$11,Paramètres!$A$1:$I$89,3,0)*0.475*44/12</f>
        <v>6.3862886555176228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45.558865726030575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4.4337866711430253E-14</v>
      </c>
      <c r="CA183" s="13">
        <f t="shared" si="170"/>
        <v>7.3222115536967035E-13</v>
      </c>
      <c r="CB183" s="20">
        <f t="shared" si="171"/>
        <v>1.3525069634579169E-12</v>
      </c>
      <c r="CC183" s="59">
        <f t="shared" si="119"/>
        <v>293.33333333333468</v>
      </c>
      <c r="CD183" s="59">
        <f ca="1">AVERAGE(OFFSET($CC$3,0,0,'Données projet'!$E$12+1,1))-AVERAGE(OFFSET($H$3,0,0,'Données projet'!$E$12+1,1))</f>
        <v>288.82868507674738</v>
      </c>
      <c r="CE183" s="59">
        <f t="shared" si="148"/>
        <v>283.48738729114024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7.3759162900669573</v>
      </c>
      <c r="CL183" s="21">
        <f>EXP(-LN(2)/25)*CL182+(1-EXP(-LN(2)/25))/(LN(2)/25)*Calculateur!CG183*Calculateur!CI183*VLOOKUP('Données projet'!$B$12,Paramètres!$A$1:$I$89,3,0)*0.475*44/12</f>
        <v>0.43826601735280085</v>
      </c>
      <c r="CM183" s="21">
        <f>EXP(-LN(2)/2)*CM182+(1-EXP(-LN(2)/2))/(LN(2)/2)*CG183*CJ183*VLOOKUP('Données projet'!$B$12,Paramètres!$A$1:$I$89,3,0)*0.475*44/12</f>
        <v>1.4308965829362812E-15</v>
      </c>
      <c r="CN183" s="22">
        <f t="shared" si="172"/>
        <v>7.8141823074197596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-2.8421709430404007E-13</v>
      </c>
      <c r="CU183" s="17">
        <f>CT183*VLOOKUP('Données projet'!$B$13,Paramètres!$A$1:$I$89,3,0)*VLOOKUP('Données projet'!$B$13,Paramètres!$A$1:$I$89,5,0)</f>
        <v>-1.8621904018800707E-13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340.49092994349405</v>
      </c>
      <c r="CZ183" s="59">
        <f t="shared" si="150"/>
        <v>331.54434271908832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13.742187991543295</v>
      </c>
      <c r="DG183" s="21">
        <f>EXP(-LN(2)/25)*DG182+(1-EXP(-LN(2)/25))/(LN(2)/25)*Calculateur!DB183*Calculateur!DD183*VLOOKUP('Données projet'!$B$13,Paramètres!$A$1:$I$89,3,0)*0.475*44/12</f>
        <v>0.2106979478601404</v>
      </c>
      <c r="DH183" s="21">
        <f>EXP(-LN(2)/2)*DH182+(1-EXP(-LN(2)/2))/(LN(2)/2)*DB183*DE183*VLOOKUP('Données projet'!$B$13,Paramètres!$A$1:$I$89,3,0)*0.475*44/12</f>
        <v>4.2174458555140488E-14</v>
      </c>
      <c r="DI183" s="22">
        <f t="shared" si="175"/>
        <v>13.952885939403478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-7.9580786405131221E-13</v>
      </c>
      <c r="DP183" s="17">
        <f>DO183*VLOOKUP('Données projet'!$B$14,Paramètres!$A$1:$I$89,3,0)*VLOOKUP('Données projet'!$B$14,Paramètres!$A$1:$I$89,5,0)</f>
        <v>-8.0694917414803056E-13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586.50020405958992</v>
      </c>
      <c r="DU183" s="59">
        <f t="shared" si="152"/>
        <v>304.44184537595294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122.20457360251096</v>
      </c>
      <c r="EB183" s="21">
        <f>EXP(-LN(2)/25)*EB182+(1-EXP(-LN(2)/25))/(LN(2)/25)*Calculateur!DW183*Calculateur!DY183*VLOOKUP('Données projet'!$B$14,Paramètres!$A$1:$I$89,3,0)*0.475*44/12</f>
        <v>16.789136145170545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138.99370974768152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-4.8771653382573282E-14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536.21423347711345</v>
      </c>
      <c r="T184" s="59">
        <f t="shared" si="142"/>
        <v>312.14361830038712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55.392827268390782</v>
      </c>
      <c r="AA184" s="21">
        <f>EXP(-LN(2)/25)*AA183+(1-EXP(-LN(2)/25))/(LN(2)/25)*Calculateur!V184*Calculateur!X184*VLOOKUP('Données projet'!$B$9,Paramètres!$A$1:$I$89,3,0)*0.475*44/12</f>
        <v>8.9594136924211654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64.35224096081194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-7.2004695539362725E-13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528.15559695545812</v>
      </c>
      <c r="AO184" s="59">
        <f t="shared" si="144"/>
        <v>276.26988364830532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106.90579314142379</v>
      </c>
      <c r="AV184" s="21">
        <f>EXP(-LN(2)/25)*AV183+(1-EXP(-LN(2)/25))/(LN(2)/25)*Calculateur!AQ184*Calculateur!AS184*VLOOKUP('Données projet'!$B$10,Paramètres!$A$1:$I$89,3,0)*0.475*44/12</f>
        <v>14.571417036830091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121.47721017825387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-4.1677594708744434E-14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464.3681853739115</v>
      </c>
      <c r="BJ184" s="59">
        <f t="shared" si="146"/>
        <v>272.97841038165217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38.404426727072973</v>
      </c>
      <c r="BQ184" s="21">
        <f>EXP(-LN(2)/25)*BQ183+(1-EXP(-LN(2)/25))/(LN(2)/25)*Calculateur!BL184*Calculateur!BN184*VLOOKUP('Données projet'!$B$11,Paramètres!$A$1:$I$89,3,0)*0.475*44/12</f>
        <v>6.2116552563921692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44.616081983465143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4.4337866711430253E-14</v>
      </c>
      <c r="CA184" s="13">
        <f t="shared" si="170"/>
        <v>7.3222115536967035E-13</v>
      </c>
      <c r="CB184" s="20">
        <f t="shared" si="171"/>
        <v>1.3525069634579169E-12</v>
      </c>
      <c r="CC184" s="59">
        <f t="shared" si="119"/>
        <v>293.33333333333468</v>
      </c>
      <c r="CD184" s="59">
        <f ca="1">AVERAGE(OFFSET($CC$3,0,0,'Données projet'!$E$12+1,1))-AVERAGE(OFFSET($H$3,0,0,'Données projet'!$E$12+1,1))</f>
        <v>288.82868507674738</v>
      </c>
      <c r="CE184" s="59">
        <f t="shared" si="148"/>
        <v>283.48738729114024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7.2312790704834553</v>
      </c>
      <c r="CL184" s="21">
        <f>EXP(-LN(2)/25)*CL183+(1-EXP(-LN(2)/25))/(LN(2)/25)*Calculateur!CG184*Calculateur!CI184*VLOOKUP('Données projet'!$B$12,Paramètres!$A$1:$I$89,3,0)*0.475*44/12</f>
        <v>0.42628161006088033</v>
      </c>
      <c r="CM184" s="21">
        <f>EXP(-LN(2)/2)*CM183+(1-EXP(-LN(2)/2))/(LN(2)/2)*CG184*CJ184*VLOOKUP('Données projet'!$B$12,Paramètres!$A$1:$I$89,3,0)*0.475*44/12</f>
        <v>1.0117966769709035E-15</v>
      </c>
      <c r="CN184" s="22">
        <f t="shared" si="172"/>
        <v>7.6575606805443366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-2.8421709430404007E-13</v>
      </c>
      <c r="CU184" s="17">
        <f>CT184*VLOOKUP('Données projet'!$B$13,Paramètres!$A$1:$I$89,3,0)*VLOOKUP('Données projet'!$B$13,Paramètres!$A$1:$I$89,5,0)</f>
        <v>-1.8621904018800707E-13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340.49092994349405</v>
      </c>
      <c r="CZ184" s="59">
        <f t="shared" si="150"/>
        <v>331.54434271908832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13.472712066936161</v>
      </c>
      <c r="DG184" s="21">
        <f>EXP(-LN(2)/25)*DG183+(1-EXP(-LN(2)/25))/(LN(2)/25)*Calculateur!DB184*Calculateur!DD184*VLOOKUP('Données projet'!$B$13,Paramètres!$A$1:$I$89,3,0)*0.475*44/12</f>
        <v>0.20493640139578134</v>
      </c>
      <c r="DH184" s="21">
        <f>EXP(-LN(2)/2)*DH183+(1-EXP(-LN(2)/2))/(LN(2)/2)*DB184*DE184*VLOOKUP('Données projet'!$B$13,Paramètres!$A$1:$I$89,3,0)*0.475*44/12</f>
        <v>2.9821845637210842E-14</v>
      </c>
      <c r="DI184" s="22">
        <f t="shared" si="175"/>
        <v>13.677648468331972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-7.9580786405131221E-13</v>
      </c>
      <c r="DP184" s="17">
        <f>DO184*VLOOKUP('Données projet'!$B$14,Paramètres!$A$1:$I$89,3,0)*VLOOKUP('Données projet'!$B$14,Paramètres!$A$1:$I$89,5,0)</f>
        <v>-8.0694917414803056E-13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586.50020405958992</v>
      </c>
      <c r="DU184" s="59">
        <f t="shared" si="152"/>
        <v>304.44184537595294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119.80821645159565</v>
      </c>
      <c r="EB184" s="21">
        <f>EXP(-LN(2)/25)*EB183+(1-EXP(-LN(2)/25))/(LN(2)/25)*Calculateur!DW184*Calculateur!DY184*VLOOKUP('Données projet'!$B$14,Paramètres!$A$1:$I$89,3,0)*0.475*44/12</f>
        <v>16.330036334378558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136.1382527859742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-4.8771653382573282E-14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536.21423347711345</v>
      </c>
      <c r="T185" s="59">
        <f t="shared" si="142"/>
        <v>312.14361830038712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54.306607711946157</v>
      </c>
      <c r="AA185" s="21">
        <f>EXP(-LN(2)/25)*AA184+(1-EXP(-LN(2)/25))/(LN(2)/25)*Calculateur!V185*Calculateur!X185*VLOOKUP('Données projet'!$B$9,Paramètres!$A$1:$I$89,3,0)*0.475*44/12</f>
        <v>8.7144180538468188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63.021025765792977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-7.2004695539362725E-13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528.15559695545812</v>
      </c>
      <c r="AO185" s="59">
        <f t="shared" si="144"/>
        <v>276.26988364830532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104.80943574401572</v>
      </c>
      <c r="AV185" s="21">
        <f>EXP(-LN(2)/25)*AV184+(1-EXP(-LN(2)/25))/(LN(2)/25)*Calculateur!AQ185*Calculateur!AS185*VLOOKUP('Données projet'!$B$10,Paramètres!$A$1:$I$89,3,0)*0.475*44/12</f>
        <v>14.172960871680454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118.98239661569617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-4.1677594708744434E-14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464.3681853739115</v>
      </c>
      <c r="BJ185" s="59">
        <f t="shared" si="146"/>
        <v>272.97841038165217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37.651339343342407</v>
      </c>
      <c r="BQ185" s="21">
        <f>EXP(-LN(2)/25)*BQ184+(1-EXP(-LN(2)/25))/(LN(2)/25)*Calculateur!BL185*Calculateur!BN185*VLOOKUP('Données projet'!$B$11,Paramètres!$A$1:$I$89,3,0)*0.475*44/12</f>
        <v>6.0417972167493721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43.69313656009178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4.4337866711430253E-14</v>
      </c>
      <c r="CA185" s="13">
        <f t="shared" si="170"/>
        <v>7.3222115536967035E-13</v>
      </c>
      <c r="CB185" s="20">
        <f t="shared" si="171"/>
        <v>1.3525069634579169E-12</v>
      </c>
      <c r="CC185" s="59">
        <f t="shared" si="119"/>
        <v>293.33333333333468</v>
      </c>
      <c r="CD185" s="59">
        <f ca="1">AVERAGE(OFFSET($CC$3,0,0,'Données projet'!$E$12+1,1))-AVERAGE(OFFSET($H$3,0,0,'Données projet'!$E$12+1,1))</f>
        <v>288.82868507674738</v>
      </c>
      <c r="CE185" s="59">
        <f t="shared" si="148"/>
        <v>283.48738729114024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7.0894780985559924</v>
      </c>
      <c r="CL185" s="21">
        <f>EXP(-LN(2)/25)*CL184+(1-EXP(-LN(2)/25))/(LN(2)/25)*Calculateur!CG185*Calculateur!CI185*VLOOKUP('Données projet'!$B$12,Paramètres!$A$1:$I$89,3,0)*0.475*44/12</f>
        <v>0.41462491701658999</v>
      </c>
      <c r="CM185" s="21">
        <f>EXP(-LN(2)/2)*CM184+(1-EXP(-LN(2)/2))/(LN(2)/2)*CG185*CJ185*VLOOKUP('Données projet'!$B$12,Paramètres!$A$1:$I$89,3,0)*0.475*44/12</f>
        <v>7.1544829146814058E-16</v>
      </c>
      <c r="CN185" s="22">
        <f t="shared" si="172"/>
        <v>7.504103015572583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-2.8421709430404007E-13</v>
      </c>
      <c r="CU185" s="17">
        <f>CT185*VLOOKUP('Données projet'!$B$13,Paramètres!$A$1:$I$89,3,0)*VLOOKUP('Données projet'!$B$13,Paramètres!$A$1:$I$89,5,0)</f>
        <v>-1.8621904018800707E-13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340.49092994349405</v>
      </c>
      <c r="CZ185" s="59">
        <f t="shared" si="150"/>
        <v>331.54434271908832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13.208520400846488</v>
      </c>
      <c r="DG185" s="21">
        <f>EXP(-LN(2)/25)*DG184+(1-EXP(-LN(2)/25))/(LN(2)/25)*Calculateur!DB185*Calculateur!DD185*VLOOKUP('Données projet'!$B$13,Paramètres!$A$1:$I$89,3,0)*0.475*44/12</f>
        <v>0.19933240472247674</v>
      </c>
      <c r="DH185" s="21">
        <f>EXP(-LN(2)/2)*DH184+(1-EXP(-LN(2)/2))/(LN(2)/2)*DB185*DE185*VLOOKUP('Données projet'!$B$13,Paramètres!$A$1:$I$89,3,0)*0.475*44/12</f>
        <v>2.1087229277570244E-14</v>
      </c>
      <c r="DI185" s="22">
        <f t="shared" si="175"/>
        <v>13.407852805568986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-7.9580786405131221E-13</v>
      </c>
      <c r="DP185" s="17">
        <f>DO185*VLOOKUP('Données projet'!$B$14,Paramètres!$A$1:$I$89,3,0)*VLOOKUP('Données projet'!$B$14,Paramètres!$A$1:$I$89,5,0)</f>
        <v>-8.0694917414803056E-13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586.50020405958992</v>
      </c>
      <c r="DU185" s="59">
        <f t="shared" si="152"/>
        <v>304.44184537595294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117.45885040277626</v>
      </c>
      <c r="EB185" s="21">
        <f>EXP(-LN(2)/25)*EB184+(1-EXP(-LN(2)/25))/(LN(2)/25)*Calculateur!DW185*Calculateur!DY185*VLOOKUP('Données projet'!$B$14,Paramètres!$A$1:$I$89,3,0)*0.475*44/12</f>
        <v>15.883490632055688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133.34234103483195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-4.8771653382573282E-14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536.21423347711345</v>
      </c>
      <c r="T186" s="59">
        <f t="shared" si="142"/>
        <v>312.14361830038712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53.241688258474895</v>
      </c>
      <c r="AA186" s="21">
        <f>EXP(-LN(2)/25)*AA185+(1-EXP(-LN(2)/25))/(LN(2)/25)*Calculateur!V186*Calculateur!X186*VLOOKUP('Données projet'!$B$9,Paramètres!$A$1:$I$89,3,0)*0.475*44/12</f>
        <v>8.4761218338930497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61.717810092367941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-7.2004695539362725E-13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528.15559695545812</v>
      </c>
      <c r="AO186" s="59">
        <f t="shared" si="144"/>
        <v>276.26988364830532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102.75418663651907</v>
      </c>
      <c r="AV186" s="21">
        <f>EXP(-LN(2)/25)*AV185+(1-EXP(-LN(2)/25))/(LN(2)/25)*Calculateur!AQ186*Calculateur!AS186*VLOOKUP('Données projet'!$B$10,Paramètres!$A$1:$I$89,3,0)*0.475*44/12</f>
        <v>13.785400511320733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116.5395871478398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-4.1677594708744434E-14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464.3681853739115</v>
      </c>
      <c r="BJ186" s="59">
        <f t="shared" si="146"/>
        <v>272.97841038165217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36.913019543868849</v>
      </c>
      <c r="BQ186" s="21">
        <f>EXP(-LN(2)/25)*BQ185+(1-EXP(-LN(2)/25))/(LN(2)/25)*Calculateur!BL186*Calculateur!BN186*VLOOKUP('Données projet'!$B$11,Paramètres!$A$1:$I$89,3,0)*0.475*44/12</f>
        <v>5.8765839541330536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42.789603498001902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4.4337866711430253E-14</v>
      </c>
      <c r="CA186" s="13">
        <f t="shared" si="170"/>
        <v>7.3222115536967035E-13</v>
      </c>
      <c r="CB186" s="20">
        <f t="shared" si="171"/>
        <v>1.3525069634579169E-12</v>
      </c>
      <c r="CC186" s="59">
        <f t="shared" si="119"/>
        <v>293.33333333333468</v>
      </c>
      <c r="CD186" s="59">
        <f ca="1">AVERAGE(OFFSET($CC$3,0,0,'Données projet'!$E$12+1,1))-AVERAGE(OFFSET($H$3,0,0,'Données projet'!$E$12+1,1))</f>
        <v>288.82868507674738</v>
      </c>
      <c r="CE186" s="59">
        <f t="shared" si="148"/>
        <v>283.48738729114024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6.9504577571979747</v>
      </c>
      <c r="CL186" s="21">
        <f>EXP(-LN(2)/25)*CL185+(1-EXP(-LN(2)/25))/(LN(2)/25)*Calculateur!CG186*Calculateur!CI186*VLOOKUP('Données projet'!$B$12,Paramètres!$A$1:$I$89,3,0)*0.475*44/12</f>
        <v>0.40328697685659459</v>
      </c>
      <c r="CM186" s="21">
        <f>EXP(-LN(2)/2)*CM185+(1-EXP(-LN(2)/2))/(LN(2)/2)*CG186*CJ186*VLOOKUP('Données projet'!$B$12,Paramètres!$A$1:$I$89,3,0)*0.475*44/12</f>
        <v>5.0589833848545175E-16</v>
      </c>
      <c r="CN186" s="22">
        <f t="shared" si="172"/>
        <v>7.3537447340545699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-2.8421709430404007E-13</v>
      </c>
      <c r="CU186" s="17">
        <f>CT186*VLOOKUP('Données projet'!$B$13,Paramètres!$A$1:$I$89,3,0)*VLOOKUP('Données projet'!$B$13,Paramètres!$A$1:$I$89,5,0)</f>
        <v>-1.8621904018800707E-13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340.49092994349405</v>
      </c>
      <c r="CZ186" s="59">
        <f t="shared" si="150"/>
        <v>331.54434271908832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12.94950937218783</v>
      </c>
      <c r="DG186" s="21">
        <f>EXP(-LN(2)/25)*DG185+(1-EXP(-LN(2)/25))/(LN(2)/25)*Calculateur!DB186*Calculateur!DD186*VLOOKUP('Données projet'!$B$13,Paramètres!$A$1:$I$89,3,0)*0.475*44/12</f>
        <v>0.19388164963290502</v>
      </c>
      <c r="DH186" s="21">
        <f>EXP(-LN(2)/2)*DH185+(1-EXP(-LN(2)/2))/(LN(2)/2)*DB186*DE186*VLOOKUP('Données projet'!$B$13,Paramètres!$A$1:$I$89,3,0)*0.475*44/12</f>
        <v>1.4910922818605421E-14</v>
      </c>
      <c r="DI186" s="22">
        <f t="shared" si="175"/>
        <v>13.143391021820749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-7.9580786405131221E-13</v>
      </c>
      <c r="DP186" s="17">
        <f>DO186*VLOOKUP('Données projet'!$B$14,Paramètres!$A$1:$I$89,3,0)*VLOOKUP('Données projet'!$B$14,Paramètres!$A$1:$I$89,5,0)</f>
        <v>-8.0694917414803056E-13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586.50020405958992</v>
      </c>
      <c r="DU186" s="59">
        <f t="shared" si="152"/>
        <v>304.44184537595294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115.15555398920243</v>
      </c>
      <c r="EB186" s="21">
        <f>EXP(-LN(2)/25)*EB185+(1-EXP(-LN(2)/25))/(LN(2)/25)*Calculateur!DW186*Calculateur!DY186*VLOOKUP('Données projet'!$B$14,Paramètres!$A$1:$I$89,3,0)*0.475*44/12</f>
        <v>15.449155745445655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130.60470973464808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-4.8771653382573282E-14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536.21423347711345</v>
      </c>
      <c r="T187" s="59">
        <f t="shared" si="142"/>
        <v>312.14361830038712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52.197651225949478</v>
      </c>
      <c r="AA187" s="21">
        <f>EXP(-LN(2)/25)*AA186+(1-EXP(-LN(2)/25))/(LN(2)/25)*Calculateur!V187*Calculateur!X187*VLOOKUP('Données projet'!$B$9,Paramètres!$A$1:$I$89,3,0)*0.475*44/12</f>
        <v>8.2443418366053702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60.44199306255485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-7.2004695539362725E-13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528.15559695545812</v>
      </c>
      <c r="AO187" s="59">
        <f t="shared" si="144"/>
        <v>276.26988364830532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100.73923971044225</v>
      </c>
      <c r="AV187" s="21">
        <f>EXP(-LN(2)/25)*AV186+(1-EXP(-LN(2)/25))/(LN(2)/25)*Calculateur!AQ187*Calculateur!AS187*VLOOKUP('Données projet'!$B$10,Paramètres!$A$1:$I$89,3,0)*0.475*44/12</f>
        <v>13.408438009395962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114.14767771983821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-4.1677594708744434E-14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464.3681853739115</v>
      </c>
      <c r="BJ187" s="59">
        <f t="shared" si="146"/>
        <v>272.97841038165217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36.189177745332358</v>
      </c>
      <c r="BQ187" s="21">
        <f>EXP(-LN(2)/25)*BQ186+(1-EXP(-LN(2)/25))/(LN(2)/25)*Calculateur!BL187*Calculateur!BN187*VLOOKUP('Données projet'!$B$11,Paramètres!$A$1:$I$89,3,0)*0.475*44/12</f>
        <v>5.7158884568711663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41.905066202203528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4.4337866711430253E-14</v>
      </c>
      <c r="CA187" s="13">
        <f t="shared" si="170"/>
        <v>7.3222115536967035E-13</v>
      </c>
      <c r="CB187" s="20">
        <f t="shared" si="171"/>
        <v>1.3525069634579169E-12</v>
      </c>
      <c r="CC187" s="59">
        <f t="shared" si="119"/>
        <v>293.33333333333468</v>
      </c>
      <c r="CD187" s="59">
        <f ca="1">AVERAGE(OFFSET($CC$3,0,0,'Données projet'!$E$12+1,1))-AVERAGE(OFFSET($H$3,0,0,'Données projet'!$E$12+1,1))</f>
        <v>288.82868507674738</v>
      </c>
      <c r="CE187" s="59">
        <f t="shared" si="148"/>
        <v>283.48738729114024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6.8141635199399522</v>
      </c>
      <c r="CL187" s="21">
        <f>EXP(-LN(2)/25)*CL186+(1-EXP(-LN(2)/25))/(LN(2)/25)*Calculateur!CG187*Calculateur!CI187*VLOOKUP('Données projet'!$B$12,Paramètres!$A$1:$I$89,3,0)*0.475*44/12</f>
        <v>0.39225907326651061</v>
      </c>
      <c r="CM187" s="21">
        <f>EXP(-LN(2)/2)*CM186+(1-EXP(-LN(2)/2))/(LN(2)/2)*CG187*CJ187*VLOOKUP('Données projet'!$B$12,Paramètres!$A$1:$I$89,3,0)*0.475*44/12</f>
        <v>3.5772414573407029E-16</v>
      </c>
      <c r="CN187" s="22">
        <f t="shared" si="172"/>
        <v>7.2064225932064625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-2.8421709430404007E-13</v>
      </c>
      <c r="CU187" s="17">
        <f>CT187*VLOOKUP('Données projet'!$B$13,Paramètres!$A$1:$I$89,3,0)*VLOOKUP('Données projet'!$B$13,Paramètres!$A$1:$I$89,5,0)</f>
        <v>-1.8621904018800707E-13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340.49092994349405</v>
      </c>
      <c r="CZ187" s="59">
        <f t="shared" si="150"/>
        <v>331.54434271908832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12.69557739182004</v>
      </c>
      <c r="DG187" s="21">
        <f>EXP(-LN(2)/25)*DG186+(1-EXP(-LN(2)/25))/(LN(2)/25)*Calculateur!DB187*Calculateur!DD187*VLOOKUP('Données projet'!$B$13,Paramètres!$A$1:$I$89,3,0)*0.475*44/12</f>
        <v>0.18857994572790041</v>
      </c>
      <c r="DH187" s="21">
        <f>EXP(-LN(2)/2)*DH186+(1-EXP(-LN(2)/2))/(LN(2)/2)*DB187*DE187*VLOOKUP('Données projet'!$B$13,Paramètres!$A$1:$I$89,3,0)*0.475*44/12</f>
        <v>1.0543614638785122E-14</v>
      </c>
      <c r="DI187" s="22">
        <f t="shared" si="175"/>
        <v>12.884157337547951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-7.9580786405131221E-13</v>
      </c>
      <c r="DP187" s="17">
        <f>DO187*VLOOKUP('Données projet'!$B$14,Paramètres!$A$1:$I$89,3,0)*VLOOKUP('Données projet'!$B$14,Paramètres!$A$1:$I$89,5,0)</f>
        <v>-8.0694917414803056E-13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586.50020405958992</v>
      </c>
      <c r="DU187" s="59">
        <f t="shared" si="152"/>
        <v>304.44184537595294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112.89742381342668</v>
      </c>
      <c r="EB187" s="21">
        <f>EXP(-LN(2)/25)*EB186+(1-EXP(-LN(2)/25))/(LN(2)/25)*Calculateur!DW187*Calculateur!DY187*VLOOKUP('Données projet'!$B$14,Paramètres!$A$1:$I$89,3,0)*0.475*44/12</f>
        <v>15.026697769150653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127.92412158257734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-4.8771653382573282E-14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536.21423347711345</v>
      </c>
      <c r="T188" s="59">
        <f t="shared" si="142"/>
        <v>312.14361830038712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51.174087122832169</v>
      </c>
      <c r="AA188" s="21">
        <f>EXP(-LN(2)/25)*AA187+(1-EXP(-LN(2)/25))/(LN(2)/25)*Calculateur!V188*Calculateur!X188*VLOOKUP('Données projet'!$B$9,Paramètres!$A$1:$I$89,3,0)*0.475*44/12</f>
        <v>8.018899875532302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59.192986998364475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-7.2004695539362725E-13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528.15559695545812</v>
      </c>
      <c r="AO188" s="59">
        <f t="shared" si="144"/>
        <v>276.26988364830532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98.763804664589529</v>
      </c>
      <c r="AV188" s="21">
        <f>EXP(-LN(2)/25)*AV187+(1-EXP(-LN(2)/25))/(LN(2)/25)*Calculateur!AQ188*Calculateur!AS188*VLOOKUP('Données projet'!$B$10,Paramètres!$A$1:$I$89,3,0)*0.475*44/12</f>
        <v>13.041783566909919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111.80558823149944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-4.1677594708744434E-14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464.3681853739115</v>
      </c>
      <c r="BJ188" s="59">
        <f t="shared" si="146"/>
        <v>272.97841038165217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35.479530042965266</v>
      </c>
      <c r="BQ188" s="21">
        <f>EXP(-LN(2)/25)*BQ187+(1-EXP(-LN(2)/25))/(LN(2)/25)*Calculateur!BL188*Calculateur!BN188*VLOOKUP('Données projet'!$B$11,Paramètres!$A$1:$I$89,3,0)*0.475*44/12</f>
        <v>5.5595871864325144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41.039117229397782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4.4337866711430253E-14</v>
      </c>
      <c r="CA188" s="13">
        <f t="shared" si="170"/>
        <v>7.3222115536967035E-13</v>
      </c>
      <c r="CB188" s="20">
        <f t="shared" si="171"/>
        <v>1.3525069634579169E-12</v>
      </c>
      <c r="CC188" s="59">
        <f t="shared" si="119"/>
        <v>293.33333333333468</v>
      </c>
      <c r="CD188" s="59">
        <f ca="1">AVERAGE(OFFSET($CC$3,0,0,'Données projet'!$E$12+1,1))-AVERAGE(OFFSET($H$3,0,0,'Données projet'!$E$12+1,1))</f>
        <v>288.82868507674738</v>
      </c>
      <c r="CE188" s="59">
        <f t="shared" si="148"/>
        <v>283.48738729114024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6.6805419295432831</v>
      </c>
      <c r="CL188" s="21">
        <f>EXP(-LN(2)/25)*CL187+(1-EXP(-LN(2)/25))/(LN(2)/25)*Calculateur!CG188*Calculateur!CI188*VLOOKUP('Données projet'!$B$12,Paramètres!$A$1:$I$89,3,0)*0.475*44/12</f>
        <v>0.38153272828002971</v>
      </c>
      <c r="CM188" s="21">
        <f>EXP(-LN(2)/2)*CM187+(1-EXP(-LN(2)/2))/(LN(2)/2)*CG188*CJ188*VLOOKUP('Données projet'!$B$12,Paramètres!$A$1:$I$89,3,0)*0.475*44/12</f>
        <v>2.5294916924272587E-16</v>
      </c>
      <c r="CN188" s="22">
        <f t="shared" si="172"/>
        <v>7.0620746578233131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-2.8421709430404007E-13</v>
      </c>
      <c r="CU188" s="17">
        <f>CT188*VLOOKUP('Données projet'!$B$13,Paramètres!$A$1:$I$89,3,0)*VLOOKUP('Données projet'!$B$13,Paramètres!$A$1:$I$89,5,0)</f>
        <v>-1.8621904018800707E-13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340.49092994349405</v>
      </c>
      <c r="CZ188" s="59">
        <f t="shared" si="150"/>
        <v>331.54434271908832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12.446624862704047</v>
      </c>
      <c r="DG188" s="21">
        <f>EXP(-LN(2)/25)*DG187+(1-EXP(-LN(2)/25))/(LN(2)/25)*Calculateur!DB188*Calculateur!DD188*VLOOKUP('Données projet'!$B$13,Paramètres!$A$1:$I$89,3,0)*0.475*44/12</f>
        <v>0.18342321719498264</v>
      </c>
      <c r="DH188" s="21">
        <f>EXP(-LN(2)/2)*DH187+(1-EXP(-LN(2)/2))/(LN(2)/2)*DB188*DE188*VLOOKUP('Données projet'!$B$13,Paramètres!$A$1:$I$89,3,0)*0.475*44/12</f>
        <v>7.4554614093027105E-15</v>
      </c>
      <c r="DI188" s="22">
        <f t="shared" si="175"/>
        <v>12.630048079899037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-7.9580786405131221E-13</v>
      </c>
      <c r="DP188" s="17">
        <f>DO188*VLOOKUP('Données projet'!$B$14,Paramètres!$A$1:$I$89,3,0)*VLOOKUP('Données projet'!$B$14,Paramètres!$A$1:$I$89,5,0)</f>
        <v>-8.0694917414803056E-13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586.50020405958992</v>
      </c>
      <c r="DU188" s="59">
        <f t="shared" si="152"/>
        <v>304.44184537595294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110.68357419307449</v>
      </c>
      <c r="EB188" s="21">
        <f>EXP(-LN(2)/25)*EB187+(1-EXP(-LN(2)/25))/(LN(2)/25)*Calculateur!DW188*Calculateur!DY188*VLOOKUP('Données projet'!$B$14,Paramètres!$A$1:$I$89,3,0)*0.475*44/12</f>
        <v>14.615791928433536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125.29936612150803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-4.8771653382573282E-14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536.21423347711345</v>
      </c>
      <c r="T189" s="59">
        <f t="shared" si="142"/>
        <v>312.14361830038712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50.170594487464534</v>
      </c>
      <c r="AA189" s="21">
        <f>EXP(-LN(2)/25)*AA188+(1-EXP(-LN(2)/25))/(LN(2)/25)*Calculateur!V189*Calculateur!X189*VLOOKUP('Données projet'!$B$9,Paramètres!$A$1:$I$89,3,0)*0.475*44/12</f>
        <v>7.7996226367402546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57.970217124204787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-7.2004695539362725E-13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528.15559695545812</v>
      </c>
      <c r="AO189" s="59">
        <f t="shared" si="144"/>
        <v>276.26988364830532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96.827106695089569</v>
      </c>
      <c r="AV189" s="21">
        <f>EXP(-LN(2)/25)*AV188+(1-EXP(-LN(2)/25))/(LN(2)/25)*Calculateur!AQ189*Calculateur!AS189*VLOOKUP('Données projet'!$B$10,Paramètres!$A$1:$I$89,3,0)*0.475*44/12</f>
        <v>12.685155309435176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109.51226200452474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-4.1677594708744434E-14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464.3681853739115</v>
      </c>
      <c r="BJ189" s="59">
        <f t="shared" si="146"/>
        <v>272.97841038165217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34.783798099199231</v>
      </c>
      <c r="BQ189" s="21">
        <f>EXP(-LN(2)/25)*BQ188+(1-EXP(-LN(2)/25))/(LN(2)/25)*Calculateur!BL189*Calculateur!BN189*VLOOKUP('Données projet'!$B$11,Paramètres!$A$1:$I$89,3,0)*0.475*44/12</f>
        <v>5.4075599824535336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40.191358081652766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4.4337866711430253E-14</v>
      </c>
      <c r="CA189" s="13">
        <f t="shared" si="170"/>
        <v>7.3222115536967035E-13</v>
      </c>
      <c r="CB189" s="20">
        <f t="shared" si="171"/>
        <v>1.3525069634579169E-12</v>
      </c>
      <c r="CC189" s="59">
        <f t="shared" si="119"/>
        <v>293.33333333333468</v>
      </c>
      <c r="CD189" s="59">
        <f ca="1">AVERAGE(OFFSET($CC$3,0,0,'Données projet'!$E$12+1,1))-AVERAGE(OFFSET($H$3,0,0,'Données projet'!$E$12+1,1))</f>
        <v>288.82868507674738</v>
      </c>
      <c r="CE189" s="59">
        <f t="shared" si="148"/>
        <v>283.48738729114024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6.5495405770331701</v>
      </c>
      <c r="CL189" s="21">
        <f>EXP(-LN(2)/25)*CL188+(1-EXP(-LN(2)/25))/(LN(2)/25)*Calculateur!CG189*Calculateur!CI189*VLOOKUP('Données projet'!$B$12,Paramètres!$A$1:$I$89,3,0)*0.475*44/12</f>
        <v>0.3710996957612781</v>
      </c>
      <c r="CM189" s="21">
        <f>EXP(-LN(2)/2)*CM188+(1-EXP(-LN(2)/2))/(LN(2)/2)*CG189*CJ189*VLOOKUP('Données projet'!$B$12,Paramètres!$A$1:$I$89,3,0)*0.475*44/12</f>
        <v>1.7886207286703515E-16</v>
      </c>
      <c r="CN189" s="22">
        <f t="shared" si="172"/>
        <v>6.920640272794448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-2.8421709430404007E-13</v>
      </c>
      <c r="CU189" s="17">
        <f>CT189*VLOOKUP('Données projet'!$B$13,Paramètres!$A$1:$I$89,3,0)*VLOOKUP('Données projet'!$B$13,Paramètres!$A$1:$I$89,5,0)</f>
        <v>-1.8621904018800707E-13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340.49092994349405</v>
      </c>
      <c r="CZ189" s="59">
        <f t="shared" si="150"/>
        <v>331.54434271908832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12.20255414083797</v>
      </c>
      <c r="DG189" s="21">
        <f>EXP(-LN(2)/25)*DG188+(1-EXP(-LN(2)/25))/(LN(2)/25)*Calculateur!DB189*Calculateur!DD189*VLOOKUP('Données projet'!$B$13,Paramètres!$A$1:$I$89,3,0)*0.475*44/12</f>
        <v>0.17840749967497807</v>
      </c>
      <c r="DH189" s="21">
        <f>EXP(-LN(2)/2)*DH188+(1-EXP(-LN(2)/2))/(LN(2)/2)*DB189*DE189*VLOOKUP('Données projet'!$B$13,Paramètres!$A$1:$I$89,3,0)*0.475*44/12</f>
        <v>5.271807319392561E-15</v>
      </c>
      <c r="DI189" s="22">
        <f t="shared" si="175"/>
        <v>12.380961640512954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-7.9580786405131221E-13</v>
      </c>
      <c r="DP189" s="17">
        <f>DO189*VLOOKUP('Données projet'!$B$14,Paramètres!$A$1:$I$89,3,0)*VLOOKUP('Données projet'!$B$14,Paramètres!$A$1:$I$89,5,0)</f>
        <v>-8.0694917414803056E-13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586.50020405958992</v>
      </c>
      <c r="DU189" s="59">
        <f t="shared" si="152"/>
        <v>304.44184537595294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108.51313681346247</v>
      </c>
      <c r="EB189" s="21">
        <f>EXP(-LN(2)/25)*EB188+(1-EXP(-LN(2)/25))/(LN(2)/25)*Calculateur!DW189*Calculateur!DY189*VLOOKUP('Données projet'!$B$14,Paramètres!$A$1:$I$89,3,0)*0.475*44/12</f>
        <v>14.216122329539429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122.7292591430019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-4.8771653382573282E-14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536.21423347711345</v>
      </c>
      <c r="T190" s="59">
        <f t="shared" si="142"/>
        <v>312.14361830038712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49.186779730606389</v>
      </c>
      <c r="AA190" s="21">
        <f>EXP(-LN(2)/25)*AA189+(1-EXP(-LN(2)/25))/(LN(2)/25)*Calculateur!V190*Calculateur!X190*VLOOKUP('Données projet'!$B$9,Paramètres!$A$1:$I$89,3,0)*0.475*44/12</f>
        <v>7.586341545574264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56.773121276180653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-7.2004695539362725E-13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528.15559695545812</v>
      </c>
      <c r="AO190" s="59">
        <f t="shared" si="144"/>
        <v>276.26988364830532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94.928386191502383</v>
      </c>
      <c r="AV190" s="21">
        <f>EXP(-LN(2)/25)*AV189+(1-EXP(-LN(2)/25))/(LN(2)/25)*Calculateur!AQ190*Calculateur!AS190*VLOOKUP('Données projet'!$B$10,Paramètres!$A$1:$I$89,3,0)*0.475*44/12</f>
        <v>12.338279070415346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107.26666526191772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-4.1677594708744434E-14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464.3681853739115</v>
      </c>
      <c r="BJ190" s="59">
        <f t="shared" si="146"/>
        <v>272.97841038165217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34.101709034495869</v>
      </c>
      <c r="BQ190" s="21">
        <f>EXP(-LN(2)/25)*BQ189+(1-EXP(-LN(2)/25))/(LN(2)/25)*Calculateur!BL190*Calculateur!BN190*VLOOKUP('Données projet'!$B$11,Paramètres!$A$1:$I$89,3,0)*0.475*44/12</f>
        <v>5.2596899703621212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39.361399004857986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4.4337866711430253E-14</v>
      </c>
      <c r="CA190" s="13">
        <f t="shared" si="170"/>
        <v>7.3222115536967035E-13</v>
      </c>
      <c r="CB190" s="20">
        <f t="shared" si="171"/>
        <v>1.3525069634579169E-12</v>
      </c>
      <c r="CC190" s="59">
        <f t="shared" si="119"/>
        <v>293.33333333333468</v>
      </c>
      <c r="CD190" s="59">
        <f ca="1">AVERAGE(OFFSET($CC$3,0,0,'Données projet'!$E$12+1,1))-AVERAGE(OFFSET($H$3,0,0,'Données projet'!$E$12+1,1))</f>
        <v>288.82868507674738</v>
      </c>
      <c r="CE190" s="59">
        <f t="shared" si="148"/>
        <v>283.48738729114024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6.4211080811428456</v>
      </c>
      <c r="CL190" s="21">
        <f>EXP(-LN(2)/25)*CL189+(1-EXP(-LN(2)/25))/(LN(2)/25)*Calculateur!CG190*Calculateur!CI190*VLOOKUP('Données projet'!$B$12,Paramètres!$A$1:$I$89,3,0)*0.475*44/12</f>
        <v>0.36095195506540112</v>
      </c>
      <c r="CM190" s="21">
        <f>EXP(-LN(2)/2)*CM189+(1-EXP(-LN(2)/2))/(LN(2)/2)*CG190*CJ190*VLOOKUP('Données projet'!$B$12,Paramètres!$A$1:$I$89,3,0)*0.475*44/12</f>
        <v>1.2647458462136294E-16</v>
      </c>
      <c r="CN190" s="22">
        <f t="shared" si="172"/>
        <v>6.7820600362082466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-2.8421709430404007E-13</v>
      </c>
      <c r="CU190" s="17">
        <f>CT190*VLOOKUP('Données projet'!$B$13,Paramètres!$A$1:$I$89,3,0)*VLOOKUP('Données projet'!$B$13,Paramètres!$A$1:$I$89,5,0)</f>
        <v>-1.8621904018800707E-13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340.49092994349405</v>
      </c>
      <c r="CZ190" s="59">
        <f t="shared" si="150"/>
        <v>331.54434271908832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11.963269496959246</v>
      </c>
      <c r="DG190" s="21">
        <f>EXP(-LN(2)/25)*DG189+(1-EXP(-LN(2)/25))/(LN(2)/25)*Calculateur!DB190*Calculateur!DD190*VLOOKUP('Données projet'!$B$13,Paramètres!$A$1:$I$89,3,0)*0.475*44/12</f>
        <v>0.17352893721432314</v>
      </c>
      <c r="DH190" s="21">
        <f>EXP(-LN(2)/2)*DH189+(1-EXP(-LN(2)/2))/(LN(2)/2)*DB190*DE190*VLOOKUP('Données projet'!$B$13,Paramètres!$A$1:$I$89,3,0)*0.475*44/12</f>
        <v>3.7277307046513552E-15</v>
      </c>
      <c r="DI190" s="22">
        <f t="shared" si="175"/>
        <v>12.136798434173572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-7.9580786405131221E-13</v>
      </c>
      <c r="DP190" s="17">
        <f>DO190*VLOOKUP('Données projet'!$B$14,Paramètres!$A$1:$I$89,3,0)*VLOOKUP('Données projet'!$B$14,Paramètres!$A$1:$I$89,5,0)</f>
        <v>-8.0694917414803056E-13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586.50020405958992</v>
      </c>
      <c r="DU190" s="59">
        <f t="shared" si="152"/>
        <v>304.44184537595294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106.38526038702855</v>
      </c>
      <c r="EB190" s="21">
        <f>EXP(-LN(2)/25)*EB189+(1-EXP(-LN(2)/25))/(LN(2)/25)*Calculateur!DW190*Calculateur!DY190*VLOOKUP('Données projet'!$B$14,Paramètres!$A$1:$I$89,3,0)*0.475*44/12</f>
        <v>13.827381716844791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120.21264210387335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-4.8771653382573282E-14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536.21423347711345</v>
      </c>
      <c r="T191" s="59">
        <f t="shared" si="142"/>
        <v>312.14361830038712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48.222256981062486</v>
      </c>
      <c r="AA191" s="21">
        <f>EXP(-LN(2)/25)*AA190+(1-EXP(-LN(2)/25))/(LN(2)/25)*Calculateur!V191*Calculateur!X191*VLOOKUP('Données projet'!$B$9,Paramètres!$A$1:$I$89,3,0)*0.475*44/12</f>
        <v>7.3788926370621724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55.601149618124659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-7.2004695539362725E-13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528.15559695545812</v>
      </c>
      <c r="AO191" s="59">
        <f t="shared" si="144"/>
        <v>276.26988364830532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93.066898438885389</v>
      </c>
      <c r="AV191" s="21">
        <f>EXP(-LN(2)/25)*AV190+(1-EXP(-LN(2)/25))/(LN(2)/25)*Calculateur!AQ191*Calculateur!AS191*VLOOKUP('Données projet'!$B$10,Paramètres!$A$1:$I$89,3,0)*0.475*44/12</f>
        <v>12.000888180392941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105.06778661927834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-4.1677594708744434E-14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464.3681853739115</v>
      </c>
      <c r="BJ191" s="59">
        <f t="shared" si="146"/>
        <v>272.97841038165217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33.432995320318085</v>
      </c>
      <c r="BQ191" s="21">
        <f>EXP(-LN(2)/25)*BQ190+(1-EXP(-LN(2)/25))/(LN(2)/25)*Calculateur!BL191*Calculateur!BN191*VLOOKUP('Données projet'!$B$11,Paramètres!$A$1:$I$89,3,0)*0.475*44/12</f>
        <v>5.1158634715274944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38.548858791845582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4.4337866711430253E-14</v>
      </c>
      <c r="CA191" s="13">
        <f t="shared" si="170"/>
        <v>7.3222115536967035E-13</v>
      </c>
      <c r="CB191" s="20">
        <f t="shared" si="171"/>
        <v>1.3525069634579169E-12</v>
      </c>
      <c r="CC191" s="59">
        <f t="shared" si="119"/>
        <v>293.33333333333468</v>
      </c>
      <c r="CD191" s="59">
        <f ca="1">AVERAGE(OFFSET($CC$3,0,0,'Données projet'!$E$12+1,1))-AVERAGE(OFFSET($H$3,0,0,'Données projet'!$E$12+1,1))</f>
        <v>288.82868507674738</v>
      </c>
      <c r="CE191" s="59">
        <f t="shared" si="148"/>
        <v>283.48738729114024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6.2951940681608427</v>
      </c>
      <c r="CL191" s="21">
        <f>EXP(-LN(2)/25)*CL190+(1-EXP(-LN(2)/25))/(LN(2)/25)*Calculateur!CG191*Calculateur!CI191*VLOOKUP('Données projet'!$B$12,Paramètres!$A$1:$I$89,3,0)*0.475*44/12</f>
        <v>0.3510817048724994</v>
      </c>
      <c r="CM191" s="21">
        <f>EXP(-LN(2)/2)*CM190+(1-EXP(-LN(2)/2))/(LN(2)/2)*CG191*CJ191*VLOOKUP('Données projet'!$B$12,Paramètres!$A$1:$I$89,3,0)*0.475*44/12</f>
        <v>8.9431036433517573E-17</v>
      </c>
      <c r="CN191" s="22">
        <f t="shared" si="172"/>
        <v>6.6462757730333424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-2.8421709430404007E-13</v>
      </c>
      <c r="CU191" s="17">
        <f>CT191*VLOOKUP('Données projet'!$B$13,Paramètres!$A$1:$I$89,3,0)*VLOOKUP('Données projet'!$B$13,Paramètres!$A$1:$I$89,5,0)</f>
        <v>-1.8621904018800707E-13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340.49092994349405</v>
      </c>
      <c r="CZ191" s="59">
        <f t="shared" si="150"/>
        <v>331.54434271908832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11.728677078997762</v>
      </c>
      <c r="DG191" s="21">
        <f>EXP(-LN(2)/25)*DG190+(1-EXP(-LN(2)/25))/(LN(2)/25)*Calculateur!DB191*Calculateur!DD191*VLOOKUP('Données projet'!$B$13,Paramètres!$A$1:$I$89,3,0)*0.475*44/12</f>
        <v>0.16878377930070726</v>
      </c>
      <c r="DH191" s="21">
        <f>EXP(-LN(2)/2)*DH190+(1-EXP(-LN(2)/2))/(LN(2)/2)*DB191*DE191*VLOOKUP('Données projet'!$B$13,Paramètres!$A$1:$I$89,3,0)*0.475*44/12</f>
        <v>2.6359036596962805E-15</v>
      </c>
      <c r="DI191" s="22">
        <f t="shared" si="175"/>
        <v>11.897460858298471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-7.9580786405131221E-13</v>
      </c>
      <c r="DP191" s="17">
        <f>DO191*VLOOKUP('Données projet'!$B$14,Paramètres!$A$1:$I$89,3,0)*VLOOKUP('Données projet'!$B$14,Paramètres!$A$1:$I$89,5,0)</f>
        <v>-8.0694917414803056E-13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586.50020405958992</v>
      </c>
      <c r="DU191" s="59">
        <f t="shared" si="152"/>
        <v>304.44184537595294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104.29911031944054</v>
      </c>
      <c r="EB191" s="21">
        <f>EXP(-LN(2)/25)*EB190+(1-EXP(-LN(2)/25))/(LN(2)/25)*Calculateur!DW191*Calculateur!DY191*VLOOKUP('Données projet'!$B$14,Paramètres!$A$1:$I$89,3,0)*0.475*44/12</f>
        <v>13.449271236647268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117.74838155608781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-4.8771653382573282E-14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536.21423347711345</v>
      </c>
      <c r="T192" s="59">
        <f t="shared" si="142"/>
        <v>312.14361830038712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47.276647934336346</v>
      </c>
      <c r="AA192" s="21">
        <f>EXP(-LN(2)/25)*AA191+(1-EXP(-LN(2)/25))/(LN(2)/25)*Calculateur!V192*Calculateur!X192*VLOOKUP('Données projet'!$B$9,Paramètres!$A$1:$I$89,3,0)*0.475*44/12</f>
        <v>7.1771164298626084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54.453764364198953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-7.2004695539362725E-13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528.15559695545812</v>
      </c>
      <c r="AO192" s="59">
        <f t="shared" si="144"/>
        <v>276.26988364830532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91.241913325701802</v>
      </c>
      <c r="AV192" s="21">
        <f>EXP(-LN(2)/25)*AV191+(1-EXP(-LN(2)/25))/(LN(2)/25)*Calculateur!AQ192*Calculateur!AS192*VLOOKUP('Données projet'!$B$10,Paramètres!$A$1:$I$89,3,0)*0.475*44/12</f>
        <v>11.672723262000815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102.91463658770262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-4.1677594708744434E-14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464.3681853739115</v>
      </c>
      <c r="BJ192" s="59">
        <f t="shared" si="146"/>
        <v>272.97841038165217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32.777394674200238</v>
      </c>
      <c r="BQ192" s="21">
        <f>EXP(-LN(2)/25)*BQ191+(1-EXP(-LN(2)/25))/(LN(2)/25)*Calculateur!BL192*Calculateur!BN192*VLOOKUP('Données projet'!$B$11,Paramètres!$A$1:$I$89,3,0)*0.475*44/12</f>
        <v>4.9759699158670072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37.753364590067243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4.4337866711430253E-14</v>
      </c>
      <c r="CA192" s="13">
        <f t="shared" si="170"/>
        <v>7.3222115536967035E-13</v>
      </c>
      <c r="CB192" s="20">
        <f t="shared" si="171"/>
        <v>1.3525069634579169E-12</v>
      </c>
      <c r="CC192" s="59">
        <f t="shared" si="119"/>
        <v>293.33333333333468</v>
      </c>
      <c r="CD192" s="59">
        <f ca="1">AVERAGE(OFFSET($CC$3,0,0,'Données projet'!$E$12+1,1))-AVERAGE(OFFSET($H$3,0,0,'Données projet'!$E$12+1,1))</f>
        <v>288.82868507674738</v>
      </c>
      <c r="CE192" s="59">
        <f t="shared" si="148"/>
        <v>283.48738729114024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6.1717491521734527</v>
      </c>
      <c r="CL192" s="21">
        <f>EXP(-LN(2)/25)*CL191+(1-EXP(-LN(2)/25))/(LN(2)/25)*Calculateur!CG192*Calculateur!CI192*VLOOKUP('Données projet'!$B$12,Paramètres!$A$1:$I$89,3,0)*0.475*44/12</f>
        <v>0.34148135719017647</v>
      </c>
      <c r="CM192" s="21">
        <f>EXP(-LN(2)/2)*CM191+(1-EXP(-LN(2)/2))/(LN(2)/2)*CG192*CJ192*VLOOKUP('Données projet'!$B$12,Paramètres!$A$1:$I$89,3,0)*0.475*44/12</f>
        <v>6.3237292310681469E-17</v>
      </c>
      <c r="CN192" s="22">
        <f t="shared" si="172"/>
        <v>6.5132305093636287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-2.8421709430404007E-13</v>
      </c>
      <c r="CU192" s="17">
        <f>CT192*VLOOKUP('Données projet'!$B$13,Paramètres!$A$1:$I$89,3,0)*VLOOKUP('Données projet'!$B$13,Paramètres!$A$1:$I$89,5,0)</f>
        <v>-1.8621904018800707E-13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340.49092994349405</v>
      </c>
      <c r="CZ192" s="59">
        <f t="shared" si="150"/>
        <v>331.54434271908832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11.498684875265257</v>
      </c>
      <c r="DG192" s="21">
        <f>EXP(-LN(2)/25)*DG191+(1-EXP(-LN(2)/25))/(LN(2)/25)*Calculateur!DB192*Calculateur!DD192*VLOOKUP('Données projet'!$B$13,Paramètres!$A$1:$I$89,3,0)*0.475*44/12</f>
        <v>0.16416837797977624</v>
      </c>
      <c r="DH192" s="21">
        <f>EXP(-LN(2)/2)*DH191+(1-EXP(-LN(2)/2))/(LN(2)/2)*DB192*DE192*VLOOKUP('Données projet'!$B$13,Paramètres!$A$1:$I$89,3,0)*0.475*44/12</f>
        <v>1.8638653523256776E-15</v>
      </c>
      <c r="DI192" s="22">
        <f t="shared" si="175"/>
        <v>11.662853253245034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-7.9580786405131221E-13</v>
      </c>
      <c r="DP192" s="17">
        <f>DO192*VLOOKUP('Données projet'!$B$14,Paramètres!$A$1:$I$89,3,0)*VLOOKUP('Données projet'!$B$14,Paramètres!$A$1:$I$89,5,0)</f>
        <v>-8.0694917414803056E-13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586.50020405958992</v>
      </c>
      <c r="DU192" s="59">
        <f t="shared" si="152"/>
        <v>304.44184537595294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102.25386838225204</v>
      </c>
      <c r="EB192" s="21">
        <f>EXP(-LN(2)/25)*EB191+(1-EXP(-LN(2)/25))/(LN(2)/25)*Calculateur!DW192*Calculateur!DY192*VLOOKUP('Données projet'!$B$14,Paramètres!$A$1:$I$89,3,0)*0.475*44/12</f>
        <v>13.081500207414713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115.33536858966676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-4.8771653382573282E-14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536.21423347711345</v>
      </c>
      <c r="T193" s="59">
        <f t="shared" si="142"/>
        <v>312.14361830038712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46.349581704251939</v>
      </c>
      <c r="AA193" s="21">
        <f>EXP(-LN(2)/25)*AA192+(1-EXP(-LN(2)/25))/(LN(2)/25)*Calculateur!V193*Calculateur!X193*VLOOKUP('Données projet'!$B$9,Paramètres!$A$1:$I$89,3,0)*0.475*44/12</f>
        <v>6.9808578036598661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53.330439507911805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-7.2004695539362725E-13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528.15559695545812</v>
      </c>
      <c r="AO193" s="59">
        <f t="shared" si="144"/>
        <v>276.26988364830532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89.452715057456729</v>
      </c>
      <c r="AV193" s="21">
        <f>EXP(-LN(2)/25)*AV192+(1-EXP(-LN(2)/25))/(LN(2)/25)*Calculateur!AQ193*Calculateur!AS193*VLOOKUP('Données projet'!$B$10,Paramètres!$A$1:$I$89,3,0)*0.475*44/12</f>
        <v>11.353532030559565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100.80624708801629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-4.1677594708744434E-14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464.3681853739115</v>
      </c>
      <c r="BJ193" s="59">
        <f t="shared" si="146"/>
        <v>272.97841038165217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32.134649956875855</v>
      </c>
      <c r="BQ193" s="21">
        <f>EXP(-LN(2)/25)*BQ192+(1-EXP(-LN(2)/25))/(LN(2)/25)*Calculateur!BL193*Calculateur!BN193*VLOOKUP('Données projet'!$B$11,Paramètres!$A$1:$I$89,3,0)*0.475*44/12</f>
        <v>4.8399017568427389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36.974551713718597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4.4337866711430253E-14</v>
      </c>
      <c r="CA193" s="13">
        <f t="shared" si="170"/>
        <v>7.3222115536967035E-13</v>
      </c>
      <c r="CB193" s="20">
        <f t="shared" si="171"/>
        <v>1.3525069634579169E-12</v>
      </c>
      <c r="CC193" s="59">
        <f t="shared" si="119"/>
        <v>293.33333333333468</v>
      </c>
      <c r="CD193" s="59">
        <f ca="1">AVERAGE(OFFSET($CC$3,0,0,'Données projet'!$E$12+1,1))-AVERAGE(OFFSET($H$3,0,0,'Données projet'!$E$12+1,1))</f>
        <v>288.82868507674738</v>
      </c>
      <c r="CE193" s="59">
        <f t="shared" si="148"/>
        <v>283.48738729114024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6.0507249156946106</v>
      </c>
      <c r="CL193" s="21">
        <f>EXP(-LN(2)/25)*CL192+(1-EXP(-LN(2)/25))/(LN(2)/25)*Calculateur!CG193*Calculateur!CI193*VLOOKUP('Données projet'!$B$12,Paramètres!$A$1:$I$89,3,0)*0.475*44/12</f>
        <v>0.33214353152008697</v>
      </c>
      <c r="CM193" s="21">
        <f>EXP(-LN(2)/2)*CM192+(1-EXP(-LN(2)/2))/(LN(2)/2)*CG193*CJ193*VLOOKUP('Données projet'!$B$12,Paramètres!$A$1:$I$89,3,0)*0.475*44/12</f>
        <v>4.4715518216758786E-17</v>
      </c>
      <c r="CN193" s="22">
        <f t="shared" si="172"/>
        <v>6.3828684472146975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-2.8421709430404007E-13</v>
      </c>
      <c r="CU193" s="17">
        <f>CT193*VLOOKUP('Données projet'!$B$13,Paramètres!$A$1:$I$89,3,0)*VLOOKUP('Données projet'!$B$13,Paramètres!$A$1:$I$89,5,0)</f>
        <v>-1.8621904018800707E-13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340.49092994349405</v>
      </c>
      <c r="CZ193" s="59">
        <f t="shared" si="150"/>
        <v>331.54434271908832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11.273202678366554</v>
      </c>
      <c r="DG193" s="21">
        <f>EXP(-LN(2)/25)*DG192+(1-EXP(-LN(2)/25))/(LN(2)/25)*Calculateur!DB193*Calculateur!DD193*VLOOKUP('Données projet'!$B$13,Paramètres!$A$1:$I$89,3,0)*0.475*44/12</f>
        <v>0.15967918505067946</v>
      </c>
      <c r="DH193" s="21">
        <f>EXP(-LN(2)/2)*DH192+(1-EXP(-LN(2)/2))/(LN(2)/2)*DB193*DE193*VLOOKUP('Données projet'!$B$13,Paramètres!$A$1:$I$89,3,0)*0.475*44/12</f>
        <v>1.3179518298481402E-15</v>
      </c>
      <c r="DI193" s="22">
        <f t="shared" si="175"/>
        <v>11.432881863417235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-7.9580786405131221E-13</v>
      </c>
      <c r="DP193" s="17">
        <f>DO193*VLOOKUP('Données projet'!$B$14,Paramètres!$A$1:$I$89,3,0)*VLOOKUP('Données projet'!$B$14,Paramètres!$A$1:$I$89,5,0)</f>
        <v>-8.0694917414803056E-13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586.50020405958992</v>
      </c>
      <c r="DU193" s="59">
        <f t="shared" si="152"/>
        <v>304.44184537595294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100.24873239197738</v>
      </c>
      <c r="EB193" s="21">
        <f>EXP(-LN(2)/25)*EB192+(1-EXP(-LN(2)/25))/(LN(2)/25)*Calculateur!DW193*Calculateur!DY193*VLOOKUP('Données projet'!$B$14,Paramètres!$A$1:$I$89,3,0)*0.475*44/12</f>
        <v>12.723785896316761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112.97251828829414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-4.8771653382573282E-14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536.21423347711345</v>
      </c>
      <c r="T194" s="59">
        <f t="shared" si="142"/>
        <v>312.14361830038712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45.44069467748492</v>
      </c>
      <c r="AA194" s="21">
        <f>EXP(-LN(2)/25)*AA193+(1-EXP(-LN(2)/25))/(LN(2)/25)*Calculateur!V194*Calculateur!X194*VLOOKUP('Données projet'!$B$9,Paramètres!$A$1:$I$89,3,0)*0.475*44/12</f>
        <v>6.7899658799114304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52.230660557396348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-7.2004695539362725E-13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528.15559695545812</v>
      </c>
      <c r="AO194" s="59">
        <f t="shared" si="144"/>
        <v>276.26988364830532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87.698601875948754</v>
      </c>
      <c r="AV194" s="21">
        <f>EXP(-LN(2)/25)*AV193+(1-EXP(-LN(2)/25))/(LN(2)/25)*Calculateur!AQ194*Calculateur!AS194*VLOOKUP('Données projet'!$B$10,Paramètres!$A$1:$I$89,3,0)*0.475*44/12</f>
        <v>11.043069100127614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98.741670976076364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-4.1677594708744434E-14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464.3681853739115</v>
      </c>
      <c r="BJ194" s="59">
        <f t="shared" si="146"/>
        <v>272.97841038165217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31.504509071422632</v>
      </c>
      <c r="BQ194" s="21">
        <f>EXP(-LN(2)/25)*BQ193+(1-EXP(-LN(2)/25))/(LN(2)/25)*Calculateur!BL194*Calculateur!BN194*VLOOKUP('Données projet'!$B$11,Paramètres!$A$1:$I$89,3,0)*0.475*44/12</f>
        <v>4.7075543887825022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36.212063460205137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4.4337866711430253E-14</v>
      </c>
      <c r="CA194" s="13">
        <f t="shared" si="170"/>
        <v>7.3222115536967035E-13</v>
      </c>
      <c r="CB194" s="20">
        <f t="shared" si="171"/>
        <v>1.3525069634579169E-12</v>
      </c>
      <c r="CC194" s="59">
        <f t="shared" si="119"/>
        <v>293.33333333333468</v>
      </c>
      <c r="CD194" s="59">
        <f ca="1">AVERAGE(OFFSET($CC$3,0,0,'Données projet'!$E$12+1,1))-AVERAGE(OFFSET($H$3,0,0,'Données projet'!$E$12+1,1))</f>
        <v>288.82868507674738</v>
      </c>
      <c r="CE194" s="59">
        <f t="shared" si="148"/>
        <v>283.48738729114024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5.9320738906756239</v>
      </c>
      <c r="CL194" s="21">
        <f>EXP(-LN(2)/25)*CL193+(1-EXP(-LN(2)/25))/(LN(2)/25)*Calculateur!CG194*Calculateur!CI194*VLOOKUP('Données projet'!$B$12,Paramètres!$A$1:$I$89,3,0)*0.475*44/12</f>
        <v>0.32306104918400097</v>
      </c>
      <c r="CM194" s="21">
        <f>EXP(-LN(2)/2)*CM193+(1-EXP(-LN(2)/2))/(LN(2)/2)*CG194*CJ194*VLOOKUP('Données projet'!$B$12,Paramètres!$A$1:$I$89,3,0)*0.475*44/12</f>
        <v>3.1618646155340734E-17</v>
      </c>
      <c r="CN194" s="22">
        <f t="shared" si="172"/>
        <v>6.2551349398596248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-2.8421709430404007E-13</v>
      </c>
      <c r="CU194" s="17">
        <f>CT194*VLOOKUP('Données projet'!$B$13,Paramètres!$A$1:$I$89,3,0)*VLOOKUP('Données projet'!$B$13,Paramètres!$A$1:$I$89,5,0)</f>
        <v>-1.8621904018800707E-13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340.49092994349405</v>
      </c>
      <c r="CZ194" s="59">
        <f t="shared" si="150"/>
        <v>331.54434271908832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11.052142049818473</v>
      </c>
      <c r="DG194" s="21">
        <f>EXP(-LN(2)/25)*DG193+(1-EXP(-LN(2)/25))/(LN(2)/25)*Calculateur!DB194*Calculateur!DD194*VLOOKUP('Données projet'!$B$13,Paramètres!$A$1:$I$89,3,0)*0.475*44/12</f>
        <v>0.15531274933830524</v>
      </c>
      <c r="DH194" s="21">
        <f>EXP(-LN(2)/2)*DH193+(1-EXP(-LN(2)/2))/(LN(2)/2)*DB194*DE194*VLOOKUP('Données projet'!$B$13,Paramètres!$A$1:$I$89,3,0)*0.475*44/12</f>
        <v>9.3193267616283881E-16</v>
      </c>
      <c r="DI194" s="22">
        <f t="shared" si="175"/>
        <v>11.20745479915678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-7.9580786405131221E-13</v>
      </c>
      <c r="DP194" s="17">
        <f>DO194*VLOOKUP('Données projet'!$B$14,Paramètres!$A$1:$I$89,3,0)*VLOOKUP('Données projet'!$B$14,Paramètres!$A$1:$I$89,5,0)</f>
        <v>-8.0694917414803056E-13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586.50020405958992</v>
      </c>
      <c r="DU194" s="59">
        <f t="shared" si="152"/>
        <v>304.44184537595294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98.282915895459837</v>
      </c>
      <c r="EB194" s="21">
        <f>EXP(-LN(2)/25)*EB193+(1-EXP(-LN(2)/25))/(LN(2)/25)*Calculateur!DW194*Calculateur!DY194*VLOOKUP('Données projet'!$B$14,Paramètres!$A$1:$I$89,3,0)*0.475*44/12</f>
        <v>12.37585330186716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110.65876919732699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-4.8771653382573282E-14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536.21423347711345</v>
      </c>
      <c r="T195" s="59">
        <f t="shared" si="142"/>
        <v>312.14361830038712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44.54963037094646</v>
      </c>
      <c r="AA195" s="21">
        <f>EXP(-LN(2)/25)*AA194+(1-EXP(-LN(2)/25))/(LN(2)/25)*Calculateur!V195*Calculateur!X195*VLOOKUP('Données projet'!$B$9,Paramètres!$A$1:$I$89,3,0)*0.475*44/12</f>
        <v>6.6042939058564656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51.153924276802925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-7.2004695539362725E-13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528.15559695545812</v>
      </c>
      <c r="AO195" s="59">
        <f t="shared" si="144"/>
        <v>276.26988364830532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85.978885784026758</v>
      </c>
      <c r="AV195" s="21">
        <f>EXP(-LN(2)/25)*AV194+(1-EXP(-LN(2)/25))/(LN(2)/25)*Calculateur!AQ195*Calculateur!AS195*VLOOKUP('Données projet'!$B$10,Paramètres!$A$1:$I$89,3,0)*0.475*44/12</f>
        <v>10.741095794854859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96.719981578881615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-4.1677594708744434E-14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464.3681853739115</v>
      </c>
      <c r="BJ195" s="59">
        <f t="shared" si="146"/>
        <v>272.97841038165217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30.886724864385158</v>
      </c>
      <c r="BQ195" s="21">
        <f>EXP(-LN(2)/25)*BQ194+(1-EXP(-LN(2)/25))/(LN(2)/25)*Calculateur!BL195*Calculateur!BN195*VLOOKUP('Données projet'!$B$11,Paramètres!$A$1:$I$89,3,0)*0.475*44/12</f>
        <v>4.5788260664617191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35.465550930846874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4.4337866711430253E-14</v>
      </c>
      <c r="CA195" s="13">
        <f t="shared" si="170"/>
        <v>7.3222115536967035E-13</v>
      </c>
      <c r="CB195" s="20">
        <f t="shared" si="171"/>
        <v>1.3525069634579169E-12</v>
      </c>
      <c r="CC195" s="59">
        <f t="shared" si="119"/>
        <v>293.33333333333468</v>
      </c>
      <c r="CD195" s="59">
        <f ca="1">AVERAGE(OFFSET($CC$3,0,0,'Données projet'!$E$12+1,1))-AVERAGE(OFFSET($H$3,0,0,'Données projet'!$E$12+1,1))</f>
        <v>288.82868507674738</v>
      </c>
      <c r="CE195" s="59">
        <f t="shared" si="148"/>
        <v>283.48738729114024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5.8157495398872801</v>
      </c>
      <c r="CL195" s="21">
        <f>EXP(-LN(2)/25)*CL194+(1-EXP(-LN(2)/25))/(LN(2)/25)*Calculateur!CG195*Calculateur!CI195*VLOOKUP('Données projet'!$B$12,Paramètres!$A$1:$I$89,3,0)*0.475*44/12</f>
        <v>0.31422692780502226</v>
      </c>
      <c r="CM195" s="21">
        <f>EXP(-LN(2)/2)*CM194+(1-EXP(-LN(2)/2))/(LN(2)/2)*CG195*CJ195*VLOOKUP('Données projet'!$B$12,Paramètres!$A$1:$I$89,3,0)*0.475*44/12</f>
        <v>2.2357759108379393E-17</v>
      </c>
      <c r="CN195" s="22">
        <f t="shared" si="172"/>
        <v>6.1299764676923019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-2.8421709430404007E-13</v>
      </c>
      <c r="CU195" s="17">
        <f>CT195*VLOOKUP('Données projet'!$B$13,Paramètres!$A$1:$I$89,3,0)*VLOOKUP('Données projet'!$B$13,Paramètres!$A$1:$I$89,5,0)</f>
        <v>-1.8621904018800707E-13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340.49092994349405</v>
      </c>
      <c r="CZ195" s="59">
        <f t="shared" si="150"/>
        <v>331.54434271908832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10.83541628536255</v>
      </c>
      <c r="DG195" s="21">
        <f>EXP(-LN(2)/25)*DG194+(1-EXP(-LN(2)/25))/(LN(2)/25)*Calculateur!DB195*Calculateur!DD195*VLOOKUP('Données projet'!$B$13,Paramètres!$A$1:$I$89,3,0)*0.475*44/12</f>
        <v>0.15106571404010677</v>
      </c>
      <c r="DH195" s="21">
        <f>EXP(-LN(2)/2)*DH194+(1-EXP(-LN(2)/2))/(LN(2)/2)*DB195*DE195*VLOOKUP('Données projet'!$B$13,Paramètres!$A$1:$I$89,3,0)*0.475*44/12</f>
        <v>6.5897591492407012E-16</v>
      </c>
      <c r="DI195" s="22">
        <f t="shared" si="175"/>
        <v>10.986481999402656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-7.9580786405131221E-13</v>
      </c>
      <c r="DP195" s="17">
        <f>DO195*VLOOKUP('Données projet'!$B$14,Paramètres!$A$1:$I$89,3,0)*VLOOKUP('Données projet'!$B$14,Paramètres!$A$1:$I$89,5,0)</f>
        <v>-8.0694917414803056E-13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586.50020405958992</v>
      </c>
      <c r="DU195" s="59">
        <f t="shared" si="152"/>
        <v>304.44184537595294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96.355647861409324</v>
      </c>
      <c r="EB195" s="21">
        <f>EXP(-LN(2)/25)*EB194+(1-EXP(-LN(2)/25))/(LN(2)/25)*Calculateur!DW195*Calculateur!DY195*VLOOKUP('Données projet'!$B$14,Paramètres!$A$1:$I$89,3,0)*0.475*44/12</f>
        <v>12.037434942509762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108.39308280391909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-4.8771653382573282E-14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536.21423347711345</v>
      </c>
      <c r="T196" s="59">
        <f t="shared" si="142"/>
        <v>312.14361830038712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43.676039291963654</v>
      </c>
      <c r="AA196" s="21">
        <f>EXP(-LN(2)/25)*AA195+(1-EXP(-LN(2)/25))/(LN(2)/25)*Calculateur!V196*Calculateur!X196*VLOOKUP('Données projet'!$B$9,Paramètres!$A$1:$I$89,3,0)*0.475*44/12</f>
        <v>6.4236991416960985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50.099738433659752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-7.2004695539362725E-13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528.15559695545812</v>
      </c>
      <c r="AO196" s="59">
        <f t="shared" si="144"/>
        <v>276.26988364830532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84.292892275744109</v>
      </c>
      <c r="AV196" s="21">
        <f>EXP(-LN(2)/25)*AV195+(1-EXP(-LN(2)/25))/(LN(2)/25)*Calculateur!AQ196*Calculateur!AS196*VLOOKUP('Données projet'!$B$10,Paramètres!$A$1:$I$89,3,0)*0.475*44/12</f>
        <v>10.447379965494873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94.740272241238983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-4.1677594708744434E-14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464.3681853739115</v>
      </c>
      <c r="BJ196" s="59">
        <f t="shared" si="146"/>
        <v>272.97841038165217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30.28105502883653</v>
      </c>
      <c r="BQ196" s="21">
        <f>EXP(-LN(2)/25)*BQ195+(1-EXP(-LN(2)/25))/(LN(2)/25)*Calculateur!BL196*Calculateur!BN196*VLOOKUP('Données projet'!$B$11,Paramètres!$A$1:$I$89,3,0)*0.475*44/12</f>
        <v>4.4536178268843258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34.734672855720859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4.4337866711430253E-14</v>
      </c>
      <c r="CA196" s="13">
        <f t="shared" si="170"/>
        <v>7.3222115536967035E-13</v>
      </c>
      <c r="CB196" s="20">
        <f t="shared" si="171"/>
        <v>1.3525069634579169E-12</v>
      </c>
      <c r="CC196" s="59">
        <f t="shared" ref="CC196:CC203" si="195">CB196+(BT196+BU196)*44/12</f>
        <v>293.33333333333468</v>
      </c>
      <c r="CD196" s="59">
        <f ca="1">AVERAGE(OFFSET($CC$3,0,0,'Données projet'!$E$12+1,1))-AVERAGE(OFFSET($H$3,0,0,'Données projet'!$E$12+1,1))</f>
        <v>288.82868507674738</v>
      </c>
      <c r="CE196" s="59">
        <f t="shared" si="148"/>
        <v>283.48738729114024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5.7017062386670476</v>
      </c>
      <c r="CL196" s="21">
        <f>EXP(-LN(2)/25)*CL195+(1-EXP(-LN(2)/25))/(LN(2)/25)*Calculateur!CG196*Calculateur!CI196*VLOOKUP('Données projet'!$B$12,Paramètres!$A$1:$I$89,3,0)*0.475*44/12</f>
        <v>0.30563437593971798</v>
      </c>
      <c r="CM196" s="21">
        <f>EXP(-LN(2)/2)*CM195+(1-EXP(-LN(2)/2))/(LN(2)/2)*CG196*CJ196*VLOOKUP('Données projet'!$B$12,Paramètres!$A$1:$I$89,3,0)*0.475*44/12</f>
        <v>1.5809323077670367E-17</v>
      </c>
      <c r="CN196" s="22">
        <f t="shared" si="172"/>
        <v>6.0073406146067656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-2.8421709430404007E-13</v>
      </c>
      <c r="CU196" s="17">
        <f>CT196*VLOOKUP('Données projet'!$B$13,Paramètres!$A$1:$I$89,3,0)*VLOOKUP('Données projet'!$B$13,Paramètres!$A$1:$I$89,5,0)</f>
        <v>-1.8621904018800707E-13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340.49092994349405</v>
      </c>
      <c r="CZ196" s="59">
        <f t="shared" si="150"/>
        <v>331.54434271908832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10.622940380957944</v>
      </c>
      <c r="DG196" s="21">
        <f>EXP(-LN(2)/25)*DG195+(1-EXP(-LN(2)/25))/(LN(2)/25)*Calculateur!DB196*Calculateur!DD196*VLOOKUP('Données projet'!$B$13,Paramètres!$A$1:$I$89,3,0)*0.475*44/12</f>
        <v>0.1469348141454794</v>
      </c>
      <c r="DH196" s="21">
        <f>EXP(-LN(2)/2)*DH195+(1-EXP(-LN(2)/2))/(LN(2)/2)*DB196*DE196*VLOOKUP('Données projet'!$B$13,Paramètres!$A$1:$I$89,3,0)*0.475*44/12</f>
        <v>4.659663380814194E-16</v>
      </c>
      <c r="DI196" s="22">
        <f t="shared" si="175"/>
        <v>10.769875195103424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-7.9580786405131221E-13</v>
      </c>
      <c r="DP196" s="17">
        <f>DO196*VLOOKUP('Données projet'!$B$14,Paramètres!$A$1:$I$89,3,0)*VLOOKUP('Données projet'!$B$14,Paramètres!$A$1:$I$89,5,0)</f>
        <v>-8.0694917414803056E-13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586.50020405958992</v>
      </c>
      <c r="DU196" s="59">
        <f t="shared" si="152"/>
        <v>304.44184537595294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94.46617237798911</v>
      </c>
      <c r="EB196" s="21">
        <f>EXP(-LN(2)/25)*EB195+(1-EXP(-LN(2)/25))/(LN(2)/25)*Calculateur!DW196*Calculateur!DY196*VLOOKUP('Données projet'!$B$14,Paramètres!$A$1:$I$89,3,0)*0.475*44/12</f>
        <v>11.708270650985641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106.17444302897475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-4.8771653382573282E-14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536.21423347711345</v>
      </c>
      <c r="T197" s="59">
        <f t="shared" ref="T197:T203" si="204">$T$3</f>
        <v>312.14361830038712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42.819578801201757</v>
      </c>
      <c r="AA197" s="21">
        <f>EXP(-LN(2)/25)*AA196+(1-EXP(-LN(2)/25))/(LN(2)/25)*Calculateur!V197*Calculateur!X197*VLOOKUP('Données projet'!$B$9,Paramètres!$A$1:$I$89,3,0)*0.475*44/12</f>
        <v>6.2480427508587626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49.067621552060523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-7.2004695539362725E-13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528.15559695545812</v>
      </c>
      <c r="AO197" s="59">
        <f t="shared" ref="AO197:AO203" si="205">$AO$3</f>
        <v>276.26988364830532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82.639960071804381</v>
      </c>
      <c r="AV197" s="21">
        <f>EXP(-LN(2)/25)*AV196+(1-EXP(-LN(2)/25))/(LN(2)/25)*Calculateur!AQ197*Calculateur!AS197*VLOOKUP('Données projet'!$B$10,Paramètres!$A$1:$I$89,3,0)*0.475*44/12</f>
        <v>10.161695810934582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92.80165588273897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-4.1677594708744434E-14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464.3681853739115</v>
      </c>
      <c r="BJ197" s="59">
        <f t="shared" ref="BJ197:BJ203" si="206">$BJ$3</f>
        <v>272.97841038165217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29.687262009340891</v>
      </c>
      <c r="BQ197" s="21">
        <f>EXP(-LN(2)/25)*BQ196+(1-EXP(-LN(2)/25))/(LN(2)/25)*Calculateur!BL197*Calculateur!BN197*VLOOKUP('Données projet'!$B$11,Paramètres!$A$1:$I$89,3,0)*0.475*44/12</f>
        <v>4.3318334132025917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34.019095422543487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4.4337866711430253E-14</v>
      </c>
      <c r="CA197" s="13">
        <f t="shared" si="170"/>
        <v>7.3222115536967035E-13</v>
      </c>
      <c r="CB197" s="20">
        <f t="shared" si="171"/>
        <v>1.3525069634579169E-12</v>
      </c>
      <c r="CC197" s="59">
        <f t="shared" si="195"/>
        <v>293.33333333333468</v>
      </c>
      <c r="CD197" s="59">
        <f ca="1">AVERAGE(OFFSET($CC$3,0,0,'Données projet'!$E$12+1,1))-AVERAGE(OFFSET($H$3,0,0,'Données projet'!$E$12+1,1))</f>
        <v>288.82868507674738</v>
      </c>
      <c r="CE197" s="59">
        <f t="shared" ref="CE197:CE203" si="207">$CE$3</f>
        <v>283.48738729114024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5.5898992570241983</v>
      </c>
      <c r="CL197" s="21">
        <f>EXP(-LN(2)/25)*CL196+(1-EXP(-LN(2)/25))/(LN(2)/25)*Calculateur!CG197*Calculateur!CI197*VLOOKUP('Données projet'!$B$12,Paramètres!$A$1:$I$89,3,0)*0.475*44/12</f>
        <v>0.2972767878570331</v>
      </c>
      <c r="CM197" s="21">
        <f>EXP(-LN(2)/2)*CM196+(1-EXP(-LN(2)/2))/(LN(2)/2)*CG197*CJ197*VLOOKUP('Données projet'!$B$12,Paramètres!$A$1:$I$89,3,0)*0.475*44/12</f>
        <v>1.1178879554189697E-17</v>
      </c>
      <c r="CN197" s="22">
        <f t="shared" si="172"/>
        <v>5.8871760448812314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-2.8421709430404007E-13</v>
      </c>
      <c r="CU197" s="17">
        <f>CT197*VLOOKUP('Données projet'!$B$13,Paramètres!$A$1:$I$89,3,0)*VLOOKUP('Données projet'!$B$13,Paramètres!$A$1:$I$89,5,0)</f>
        <v>-1.8621904018800707E-13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340.49092994349405</v>
      </c>
      <c r="CZ197" s="59">
        <f t="shared" ref="CZ197:CZ203" si="208">$CZ$3</f>
        <v>331.54434271908832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10.414630999441208</v>
      </c>
      <c r="DG197" s="21">
        <f>EXP(-LN(2)/25)*DG196+(1-EXP(-LN(2)/25))/(LN(2)/25)*Calculateur!DB197*Calculateur!DD197*VLOOKUP('Données projet'!$B$13,Paramètres!$A$1:$I$89,3,0)*0.475*44/12</f>
        <v>0.14291687392570521</v>
      </c>
      <c r="DH197" s="21">
        <f>EXP(-LN(2)/2)*DH196+(1-EXP(-LN(2)/2))/(LN(2)/2)*DB197*DE197*VLOOKUP('Données projet'!$B$13,Paramètres!$A$1:$I$89,3,0)*0.475*44/12</f>
        <v>3.2948795746203506E-16</v>
      </c>
      <c r="DI197" s="22">
        <f t="shared" si="175"/>
        <v>10.557547873366913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-7.9580786405131221E-13</v>
      </c>
      <c r="DP197" s="17">
        <f>DO197*VLOOKUP('Données projet'!$B$14,Paramètres!$A$1:$I$89,3,0)*VLOOKUP('Données projet'!$B$14,Paramètres!$A$1:$I$89,5,0)</f>
        <v>-8.0694917414803056E-13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586.50020405958992</v>
      </c>
      <c r="DU197" s="59">
        <f t="shared" ref="DU197:DU203" si="209">$DU$3</f>
        <v>304.44184537595294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92.613748356332522</v>
      </c>
      <c r="EB197" s="21">
        <f>EXP(-LN(2)/25)*EB196+(1-EXP(-LN(2)/25))/(LN(2)/25)*Calculateur!DW197*Calculateur!DY197*VLOOKUP('Données projet'!$B$14,Paramètres!$A$1:$I$89,3,0)*0.475*44/12</f>
        <v>11.388107374323244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104.00185573065576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-4.8771653382573282E-14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536.21423347711345</v>
      </c>
      <c r="T198" s="59">
        <f t="shared" si="204"/>
        <v>312.14361830038712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41.979912978274385</v>
      </c>
      <c r="AA198" s="21">
        <f>EXP(-LN(2)/25)*AA197+(1-EXP(-LN(2)/25))/(LN(2)/25)*Calculateur!V198*Calculateur!X198*VLOOKUP('Données projet'!$B$9,Paramètres!$A$1:$I$89,3,0)*0.475*44/12</f>
        <v>6.0771896932662415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48.057102671540626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-7.2004695539362725E-13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528.15559695545812</v>
      </c>
      <c r="AO198" s="59">
        <f t="shared" si="205"/>
        <v>276.26988364830532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81.01944086019482</v>
      </c>
      <c r="AV198" s="21">
        <f>EXP(-LN(2)/25)*AV197+(1-EXP(-LN(2)/25))/(LN(2)/25)*Calculateur!AQ198*Calculateur!AS198*VLOOKUP('Données projet'!$B$10,Paramètres!$A$1:$I$89,3,0)*0.475*44/12</f>
        <v>9.8838237046042181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90.903264564799031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-4.1677594708744434E-14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464.3681853739115</v>
      </c>
      <c r="BJ198" s="59">
        <f t="shared" si="206"/>
        <v>272.97841038165217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29.105112908779581</v>
      </c>
      <c r="BQ198" s="21">
        <f>EXP(-LN(2)/25)*BQ197+(1-EXP(-LN(2)/25))/(LN(2)/25)*Calculateur!BL198*Calculateur!BN198*VLOOKUP('Données projet'!$B$11,Paramètres!$A$1:$I$89,3,0)*0.475*44/12</f>
        <v>4.2133792007173483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33.31849210949693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4.4337866711430253E-14</v>
      </c>
      <c r="CA198" s="13">
        <f t="shared" si="170"/>
        <v>7.3222115536967035E-13</v>
      </c>
      <c r="CB198" s="20">
        <f t="shared" si="171"/>
        <v>1.3525069634579169E-12</v>
      </c>
      <c r="CC198" s="59">
        <f t="shared" si="195"/>
        <v>293.33333333333468</v>
      </c>
      <c r="CD198" s="59">
        <f ca="1">AVERAGE(OFFSET($CC$3,0,0,'Données projet'!$E$12+1,1))-AVERAGE(OFFSET($H$3,0,0,'Données projet'!$E$12+1,1))</f>
        <v>288.82868507674738</v>
      </c>
      <c r="CE198" s="59">
        <f t="shared" si="207"/>
        <v>283.48738729114024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5.48028474209584</v>
      </c>
      <c r="CL198" s="21">
        <f>EXP(-LN(2)/25)*CL197+(1-EXP(-LN(2)/25))/(LN(2)/25)*Calculateur!CG198*Calculateur!CI198*VLOOKUP('Données projet'!$B$12,Paramètres!$A$1:$I$89,3,0)*0.475*44/12</f>
        <v>0.28914773845997571</v>
      </c>
      <c r="CM198" s="21">
        <f>EXP(-LN(2)/2)*CM197+(1-EXP(-LN(2)/2))/(LN(2)/2)*CG198*CJ198*VLOOKUP('Données projet'!$B$12,Paramètres!$A$1:$I$89,3,0)*0.475*44/12</f>
        <v>7.9046615388351836E-18</v>
      </c>
      <c r="CN198" s="22">
        <f t="shared" si="172"/>
        <v>5.7694324805558157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-2.8421709430404007E-13</v>
      </c>
      <c r="CU198" s="17">
        <f>CT198*VLOOKUP('Données projet'!$B$13,Paramètres!$A$1:$I$89,3,0)*VLOOKUP('Données projet'!$B$13,Paramètres!$A$1:$I$89,5,0)</f>
        <v>-1.8621904018800707E-13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340.49092994349405</v>
      </c>
      <c r="CZ198" s="59">
        <f t="shared" si="208"/>
        <v>331.54434271908832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10.210406437839838</v>
      </c>
      <c r="DG198" s="21">
        <f>EXP(-LN(2)/25)*DG197+(1-EXP(-LN(2)/25))/(LN(2)/25)*Calculateur!DB198*Calculateur!DD198*VLOOKUP('Données projet'!$B$13,Paramètres!$A$1:$I$89,3,0)*0.475*44/12</f>
        <v>0.13900880449253503</v>
      </c>
      <c r="DH198" s="21">
        <f>EXP(-LN(2)/2)*DH197+(1-EXP(-LN(2)/2))/(LN(2)/2)*DB198*DE198*VLOOKUP('Données projet'!$B$13,Paramètres!$A$1:$I$89,3,0)*0.475*44/12</f>
        <v>2.329831690407097E-16</v>
      </c>
      <c r="DI198" s="22">
        <f t="shared" si="175"/>
        <v>10.349415242332373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-7.9580786405131221E-13</v>
      </c>
      <c r="DP198" s="17">
        <f>DO198*VLOOKUP('Données projet'!$B$14,Paramètres!$A$1:$I$89,3,0)*VLOOKUP('Données projet'!$B$14,Paramètres!$A$1:$I$89,5,0)</f>
        <v>-8.0694917414803056E-13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586.50020405958992</v>
      </c>
      <c r="DU198" s="59">
        <f t="shared" si="209"/>
        <v>304.44184537595294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90.797649239873536</v>
      </c>
      <c r="EB198" s="21">
        <f>EXP(-LN(2)/25)*EB197+(1-EXP(-LN(2)/25))/(LN(2)/25)*Calculateur!DW198*Calculateur!DY198*VLOOKUP('Données projet'!$B$14,Paramètres!$A$1:$I$89,3,0)*0.475*44/12</f>
        <v>11.076698979297836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101.87434821917137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-4.8771653382573282E-14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536.21423347711345</v>
      </c>
      <c r="T199" s="59">
        <f t="shared" si="204"/>
        <v>312.14361830038712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41.156712489989033</v>
      </c>
      <c r="AA199" s="21">
        <f>EXP(-LN(2)/25)*AA198+(1-EXP(-LN(2)/25))/(LN(2)/25)*Calculateur!V199*Calculateur!X199*VLOOKUP('Données projet'!$B$9,Paramètres!$A$1:$I$89,3,0)*0.475*44/12</f>
        <v>5.9110086215183602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47.067721111507396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-7.2004695539362725E-13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528.15559695545812</v>
      </c>
      <c r="AO199" s="59">
        <f t="shared" si="205"/>
        <v>276.26988364830532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79.430699041905797</v>
      </c>
      <c r="AV199" s="21">
        <f>EXP(-LN(2)/25)*AV198+(1-EXP(-LN(2)/25))/(LN(2)/25)*Calculateur!AQ199*Calculateur!AS199*VLOOKUP('Données projet'!$B$10,Paramètres!$A$1:$I$89,3,0)*0.475*44/12</f>
        <v>9.6135500256341171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89.044249067539909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-4.1677594708744434E-14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464.3681853739115</v>
      </c>
      <c r="BJ199" s="59">
        <f t="shared" si="206"/>
        <v>272.97841038165217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28.534379397004386</v>
      </c>
      <c r="BQ199" s="21">
        <f>EXP(-LN(2)/25)*BQ198+(1-EXP(-LN(2)/25))/(LN(2)/25)*Calculateur!BL199*Calculateur!BN199*VLOOKUP('Données projet'!$B$11,Paramètres!$A$1:$I$89,3,0)*0.475*44/12</f>
        <v>4.09816412490175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32.632543521906136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4.4337866711430253E-14</v>
      </c>
      <c r="CA199" s="13">
        <f t="shared" si="170"/>
        <v>7.3222115536967035E-13</v>
      </c>
      <c r="CB199" s="20">
        <f t="shared" si="171"/>
        <v>1.3525069634579169E-12</v>
      </c>
      <c r="CC199" s="59">
        <f t="shared" si="195"/>
        <v>293.33333333333468</v>
      </c>
      <c r="CD199" s="59">
        <f ca="1">AVERAGE(OFFSET($CC$3,0,0,'Données projet'!$E$12+1,1))-AVERAGE(OFFSET($H$3,0,0,'Données projet'!$E$12+1,1))</f>
        <v>288.82868507674738</v>
      </c>
      <c r="CE199" s="59">
        <f t="shared" si="207"/>
        <v>283.48738729114024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5.3728197009469749</v>
      </c>
      <c r="CL199" s="21">
        <f>EXP(-LN(2)/25)*CL198+(1-EXP(-LN(2)/25))/(LN(2)/25)*Calculateur!CG199*Calculateur!CI199*VLOOKUP('Données projet'!$B$12,Paramètres!$A$1:$I$89,3,0)*0.475*44/12</f>
        <v>0.28124097834616896</v>
      </c>
      <c r="CM199" s="21">
        <f>EXP(-LN(2)/2)*CM198+(1-EXP(-LN(2)/2))/(LN(2)/2)*CG199*CJ199*VLOOKUP('Données projet'!$B$12,Paramètres!$A$1:$I$89,3,0)*0.475*44/12</f>
        <v>5.5894397770948483E-18</v>
      </c>
      <c r="CN199" s="22">
        <f t="shared" si="172"/>
        <v>5.6540606792931438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-2.8421709430404007E-13</v>
      </c>
      <c r="CU199" s="17">
        <f>CT199*VLOOKUP('Données projet'!$B$13,Paramètres!$A$1:$I$89,3,0)*VLOOKUP('Données projet'!$B$13,Paramètres!$A$1:$I$89,5,0)</f>
        <v>-1.8621904018800707E-13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340.49092994349405</v>
      </c>
      <c r="CZ199" s="59">
        <f t="shared" si="208"/>
        <v>331.54434271908832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10.010186595326788</v>
      </c>
      <c r="DG199" s="21">
        <f>EXP(-LN(2)/25)*DG198+(1-EXP(-LN(2)/25))/(LN(2)/25)*Calculateur!DB199*Calculateur!DD199*VLOOKUP('Données projet'!$B$13,Paramètres!$A$1:$I$89,3,0)*0.475*44/12</f>
        <v>0.13520760142353133</v>
      </c>
      <c r="DH199" s="21">
        <f>EXP(-LN(2)/2)*DH198+(1-EXP(-LN(2)/2))/(LN(2)/2)*DB199*DE199*VLOOKUP('Données projet'!$B$13,Paramètres!$A$1:$I$89,3,0)*0.475*44/12</f>
        <v>1.6474397873101753E-16</v>
      </c>
      <c r="DI199" s="22">
        <f t="shared" si="175"/>
        <v>10.145394196750319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-7.9580786405131221E-13</v>
      </c>
      <c r="DP199" s="17">
        <f>DO199*VLOOKUP('Données projet'!$B$14,Paramètres!$A$1:$I$89,3,0)*VLOOKUP('Données projet'!$B$14,Paramètres!$A$1:$I$89,5,0)</f>
        <v>-8.0694917414803056E-13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586.50020405958992</v>
      </c>
      <c r="DU199" s="59">
        <f t="shared" si="209"/>
        <v>304.44184537595294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89.017162719377225</v>
      </c>
      <c r="EB199" s="21">
        <f>EXP(-LN(2)/25)*EB198+(1-EXP(-LN(2)/25))/(LN(2)/25)*Calculateur!DW199*Calculateur!DY199*VLOOKUP('Données projet'!$B$14,Paramètres!$A$1:$I$89,3,0)*0.475*44/12</f>
        <v>10.773806063210653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99.790968782587882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-4.8771653382573282E-14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536.21423347711345</v>
      </c>
      <c r="T200" s="59">
        <f t="shared" si="204"/>
        <v>312.14361830038712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40.349654461176243</v>
      </c>
      <c r="AA200" s="21">
        <f>EXP(-LN(2)/25)*AA199+(1-EXP(-LN(2)/25))/(LN(2)/25)*Calculateur!V200*Calculateur!X200*VLOOKUP('Données projet'!$B$9,Paramètres!$A$1:$I$89,3,0)*0.475*44/12</f>
        <v>5.7493717799165074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46.099026241092751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-7.2004695539362725E-13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528.15559695545812</v>
      </c>
      <c r="AO200" s="59">
        <f t="shared" si="205"/>
        <v>276.26988364830532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77.873111481636599</v>
      </c>
      <c r="AV200" s="21">
        <f>EXP(-LN(2)/25)*AV199+(1-EXP(-LN(2)/25))/(LN(2)/25)*Calculateur!AQ200*Calculateur!AS200*VLOOKUP('Données projet'!$B$10,Paramètres!$A$1:$I$89,3,0)*0.475*44/12</f>
        <v>9.3506669946285292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87.223778476265124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-4.1677594708744434E-14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464.3681853739115</v>
      </c>
      <c r="BJ200" s="59">
        <f t="shared" si="206"/>
        <v>272.97841038165217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27.974837621282035</v>
      </c>
      <c r="BQ200" s="21">
        <f>EXP(-LN(2)/25)*BQ199+(1-EXP(-LN(2)/25))/(LN(2)/25)*Calculateur!BL200*Calculateur!BN200*VLOOKUP('Données projet'!$B$11,Paramètres!$A$1:$I$89,3,0)*0.475*44/12</f>
        <v>3.9860996113932265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31.96093723267526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4.4337866711430253E-14</v>
      </c>
      <c r="CA200" s="13">
        <f t="shared" si="170"/>
        <v>7.3222115536967035E-13</v>
      </c>
      <c r="CB200" s="20">
        <f t="shared" si="171"/>
        <v>1.3525069634579169E-12</v>
      </c>
      <c r="CC200" s="59">
        <f t="shared" si="195"/>
        <v>293.33333333333468</v>
      </c>
      <c r="CD200" s="59">
        <f ca="1">AVERAGE(OFFSET($CC$3,0,0,'Données projet'!$E$12+1,1))-AVERAGE(OFFSET($H$3,0,0,'Données projet'!$E$12+1,1))</f>
        <v>288.82868507674738</v>
      </c>
      <c r="CE200" s="59">
        <f t="shared" si="207"/>
        <v>283.48738729114024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5.267461983707836</v>
      </c>
      <c r="CL200" s="21">
        <f>EXP(-LN(2)/25)*CL199+(1-EXP(-LN(2)/25))/(LN(2)/25)*Calculateur!CG200*Calculateur!CI200*VLOOKUP('Données projet'!$B$12,Paramètres!$A$1:$I$89,3,0)*0.475*44/12</f>
        <v>0.27355042900347271</v>
      </c>
      <c r="CM200" s="21">
        <f>EXP(-LN(2)/2)*CM199+(1-EXP(-LN(2)/2))/(LN(2)/2)*CG200*CJ200*VLOOKUP('Données projet'!$B$12,Paramètres!$A$1:$I$89,3,0)*0.475*44/12</f>
        <v>3.9523307694175918E-18</v>
      </c>
      <c r="CN200" s="22">
        <f t="shared" si="172"/>
        <v>5.541012412711309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-2.8421709430404007E-13</v>
      </c>
      <c r="CU200" s="17">
        <f>CT200*VLOOKUP('Données projet'!$B$13,Paramètres!$A$1:$I$89,3,0)*VLOOKUP('Données projet'!$B$13,Paramètres!$A$1:$I$89,5,0)</f>
        <v>-1.8621904018800707E-13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340.49092994349405</v>
      </c>
      <c r="CZ200" s="59">
        <f t="shared" si="208"/>
        <v>331.54434271908832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9.813892941803374</v>
      </c>
      <c r="DG200" s="21">
        <f>EXP(-LN(2)/25)*DG199+(1-EXP(-LN(2)/25))/(LN(2)/25)*Calculateur!DB200*Calculateur!DD200*VLOOKUP('Données projet'!$B$13,Paramètres!$A$1:$I$89,3,0)*0.475*44/12</f>
        <v>0.13151034245234614</v>
      </c>
      <c r="DH200" s="21">
        <f>EXP(-LN(2)/2)*DH199+(1-EXP(-LN(2)/2))/(LN(2)/2)*DB200*DE200*VLOOKUP('Données projet'!$B$13,Paramètres!$A$1:$I$89,3,0)*0.475*44/12</f>
        <v>1.1649158452035485E-16</v>
      </c>
      <c r="DI200" s="22">
        <f t="shared" si="175"/>
        <v>9.9454032842557201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-7.9580786405131221E-13</v>
      </c>
      <c r="DP200" s="17">
        <f>DO200*VLOOKUP('Données projet'!$B$14,Paramètres!$A$1:$I$89,3,0)*VLOOKUP('Données projet'!$B$14,Paramètres!$A$1:$I$89,5,0)</f>
        <v>-8.0694917414803056E-13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586.50020405958992</v>
      </c>
      <c r="DU200" s="59">
        <f t="shared" si="209"/>
        <v>304.44184537595294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87.271590453558304</v>
      </c>
      <c r="EB200" s="21">
        <f>EXP(-LN(2)/25)*EB199+(1-EXP(-LN(2)/25))/(LN(2)/25)*Calculateur!DW200*Calculateur!DY200*VLOOKUP('Données projet'!$B$14,Paramètres!$A$1:$I$89,3,0)*0.475*44/12</f>
        <v>10.47919576984232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97.750786223400624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-4.8771653382573282E-14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536.21423347711345</v>
      </c>
      <c r="T201" s="59">
        <f t="shared" si="204"/>
        <v>312.14361830038712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39.558422348051678</v>
      </c>
      <c r="AA201" s="21">
        <f>EXP(-LN(2)/25)*AA200+(1-EXP(-LN(2)/25))/(LN(2)/25)*Calculateur!V201*Calculateur!X201*VLOOKUP('Données projet'!$B$9,Paramètres!$A$1:$I$89,3,0)*0.475*44/12</f>
        <v>5.5921549062483686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45.150577254300046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-7.2004695539362725E-13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528.15559695545812</v>
      </c>
      <c r="AO201" s="59">
        <f t="shared" si="205"/>
        <v>276.26988364830532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76.346067263389685</v>
      </c>
      <c r="AV201" s="21">
        <f>EXP(-LN(2)/25)*AV200+(1-EXP(-LN(2)/25))/(LN(2)/25)*Calculateur!AQ201*Calculateur!AS201*VLOOKUP('Données projet'!$B$10,Paramètres!$A$1:$I$89,3,0)*0.475*44/12</f>
        <v>9.0949725139302053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85.441039777319887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-4.1677594708744434E-14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464.3681853739115</v>
      </c>
      <c r="BJ201" s="59">
        <f t="shared" si="206"/>
        <v>272.97841038165217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27.426268118494814</v>
      </c>
      <c r="BQ201" s="21">
        <f>EXP(-LN(2)/25)*BQ200+(1-EXP(-LN(2)/25))/(LN(2)/25)*Calculateur!BL201*Calculateur!BN201*VLOOKUP('Données projet'!$B$11,Paramètres!$A$1:$I$89,3,0)*0.475*44/12</f>
        <v>3.8770995078998105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31.303367626394625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4.4337866711430253E-14</v>
      </c>
      <c r="CA201" s="13">
        <f t="shared" si="170"/>
        <v>7.3222115536967035E-13</v>
      </c>
      <c r="CB201" s="20">
        <f t="shared" si="171"/>
        <v>1.3525069634579169E-12</v>
      </c>
      <c r="CC201" s="59">
        <f t="shared" si="195"/>
        <v>293.33333333333468</v>
      </c>
      <c r="CD201" s="59">
        <f ca="1">AVERAGE(OFFSET($CC$3,0,0,'Données projet'!$E$12+1,1))-AVERAGE(OFFSET($H$3,0,0,'Données projet'!$E$12+1,1))</f>
        <v>288.82868507674738</v>
      </c>
      <c r="CE201" s="59">
        <f t="shared" si="207"/>
        <v>283.48738729114024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5.1641702670418947</v>
      </c>
      <c r="CL201" s="21">
        <f>EXP(-LN(2)/25)*CL200+(1-EXP(-LN(2)/25))/(LN(2)/25)*Calculateur!CG201*Calculateur!CI201*VLOOKUP('Données projet'!$B$12,Paramètres!$A$1:$I$89,3,0)*0.475*44/12</f>
        <v>0.26607017813698092</v>
      </c>
      <c r="CM201" s="21">
        <f>EXP(-LN(2)/2)*CM200+(1-EXP(-LN(2)/2))/(LN(2)/2)*CG201*CJ201*VLOOKUP('Données projet'!$B$12,Paramètres!$A$1:$I$89,3,0)*0.475*44/12</f>
        <v>2.7947198885474241E-18</v>
      </c>
      <c r="CN201" s="22">
        <f t="shared" si="172"/>
        <v>5.4302404451788755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-2.8421709430404007E-13</v>
      </c>
      <c r="CU201" s="17">
        <f>CT201*VLOOKUP('Données projet'!$B$13,Paramètres!$A$1:$I$89,3,0)*VLOOKUP('Données projet'!$B$13,Paramètres!$A$1:$I$89,5,0)</f>
        <v>-1.8621904018800707E-13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340.49092994349405</v>
      </c>
      <c r="CZ201" s="59">
        <f t="shared" si="208"/>
        <v>331.54434271908832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9.6214484870982471</v>
      </c>
      <c r="DG201" s="21">
        <f>EXP(-LN(2)/25)*DG200+(1-EXP(-LN(2)/25))/(LN(2)/25)*Calculateur!DB201*Calculateur!DD201*VLOOKUP('Données projet'!$B$13,Paramètres!$A$1:$I$89,3,0)*0.475*44/12</f>
        <v>0.12791418522215839</v>
      </c>
      <c r="DH201" s="21">
        <f>EXP(-LN(2)/2)*DH200+(1-EXP(-LN(2)/2))/(LN(2)/2)*DB201*DE201*VLOOKUP('Données projet'!$B$13,Paramètres!$A$1:$I$89,3,0)*0.475*44/12</f>
        <v>8.2371989365508765E-17</v>
      </c>
      <c r="DI201" s="22">
        <f t="shared" si="175"/>
        <v>9.7493626723204052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-7.9580786405131221E-13</v>
      </c>
      <c r="DP201" s="17">
        <f>DO201*VLOOKUP('Données projet'!$B$14,Paramètres!$A$1:$I$89,3,0)*VLOOKUP('Données projet'!$B$14,Paramètres!$A$1:$I$89,5,0)</f>
        <v>-8.0694917414803056E-13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586.50020405958992</v>
      </c>
      <c r="DU201" s="59">
        <f t="shared" si="209"/>
        <v>304.44184537595294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85.560247795178128</v>
      </c>
      <c r="EB201" s="21">
        <f>EXP(-LN(2)/25)*EB200+(1-EXP(-LN(2)/25))/(LN(2)/25)*Calculateur!DW201*Calculateur!DY201*VLOOKUP('Données projet'!$B$14,Paramètres!$A$1:$I$89,3,0)*0.475*44/12</f>
        <v>10.192641610439027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95.752889405617154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-4.8771653382573282E-14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536.21423347711345</v>
      </c>
      <c r="T202" s="59">
        <f t="shared" si="204"/>
        <v>312.14361830038712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38.782705814061551</v>
      </c>
      <c r="AA202" s="21">
        <f>EXP(-LN(2)/25)*AA201+(1-EXP(-LN(2)/25))/(LN(2)/25)*Calculateur!V202*Calculateur!X202*VLOOKUP('Données projet'!$B$9,Paramètres!$A$1:$I$89,3,0)*0.475*44/12</f>
        <v>5.4392371362583614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44.221942950319914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-7.2004695539362725E-13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528.15559695545812</v>
      </c>
      <c r="AO202" s="59">
        <f t="shared" si="205"/>
        <v>276.26988364830532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74.848967450857586</v>
      </c>
      <c r="AV202" s="21">
        <f>EXP(-LN(2)/25)*AV201+(1-EXP(-LN(2)/25))/(LN(2)/25)*Calculateur!AQ202*Calculateur!AS202*VLOOKUP('Données projet'!$B$10,Paramètres!$A$1:$I$89,3,0)*0.475*44/12</f>
        <v>8.8462700122529654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83.695237463110544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-4.1677594708744434E-14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464.3681853739115</v>
      </c>
      <c r="BJ202" s="59">
        <f t="shared" si="206"/>
        <v>272.97841038165217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26.888455729062894</v>
      </c>
      <c r="BQ202" s="21">
        <f>EXP(-LN(2)/25)*BQ201+(1-EXP(-LN(2)/25))/(LN(2)/25)*Calculateur!BL202*Calculateur!BN202*VLOOKUP('Données projet'!$B$11,Paramètres!$A$1:$I$89,3,0)*0.475*44/12</f>
        <v>3.7710800179684885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30.659535747031384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4.4337866711430253E-14</v>
      </c>
      <c r="CA202" s="13">
        <f t="shared" si="170"/>
        <v>7.3222115536967035E-13</v>
      </c>
      <c r="CB202" s="20">
        <f t="shared" si="171"/>
        <v>1.3525069634579169E-12</v>
      </c>
      <c r="CC202" s="59">
        <f t="shared" si="195"/>
        <v>293.33333333333468</v>
      </c>
      <c r="CD202" s="59">
        <f ca="1">AVERAGE(OFFSET($CC$3,0,0,'Données projet'!$E$12+1,1))-AVERAGE(OFFSET($H$3,0,0,'Données projet'!$E$12+1,1))</f>
        <v>288.82868507674738</v>
      </c>
      <c r="CE202" s="59">
        <f t="shared" si="207"/>
        <v>283.48738729114024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5.0629040379380461</v>
      </c>
      <c r="CL202" s="21">
        <f>EXP(-LN(2)/25)*CL201+(1-EXP(-LN(2)/25))/(LN(2)/25)*Calculateur!CG202*Calculateur!CI202*VLOOKUP('Données projet'!$B$12,Paramètres!$A$1:$I$89,3,0)*0.475*44/12</f>
        <v>0.2587944751238026</v>
      </c>
      <c r="CM202" s="21">
        <f>EXP(-LN(2)/2)*CM201+(1-EXP(-LN(2)/2))/(LN(2)/2)*CG202*CJ202*VLOOKUP('Données projet'!$B$12,Paramètres!$A$1:$I$89,3,0)*0.475*44/12</f>
        <v>1.9761653847087959E-18</v>
      </c>
      <c r="CN202" s="22">
        <f t="shared" si="172"/>
        <v>5.3216985130618486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-2.8421709430404007E-13</v>
      </c>
      <c r="CU202" s="17">
        <f>CT202*VLOOKUP('Données projet'!$B$13,Paramètres!$A$1:$I$89,3,0)*VLOOKUP('Données projet'!$B$13,Paramètres!$A$1:$I$89,5,0)</f>
        <v>-1.8621904018800707E-13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340.49092994349405</v>
      </c>
      <c r="CZ202" s="59">
        <f t="shared" si="208"/>
        <v>331.54434271908832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9.4327777507703612</v>
      </c>
      <c r="DG202" s="21">
        <f>EXP(-LN(2)/25)*DG201+(1-EXP(-LN(2)/25))/(LN(2)/25)*Calculateur!DB202*Calculateur!DD202*VLOOKUP('Données projet'!$B$13,Paramètres!$A$1:$I$89,3,0)*0.475*44/12</f>
        <v>0.12441636510054382</v>
      </c>
      <c r="DH202" s="21">
        <f>EXP(-LN(2)/2)*DH201+(1-EXP(-LN(2)/2))/(LN(2)/2)*DB202*DE202*VLOOKUP('Données projet'!$B$13,Paramètres!$A$1:$I$89,3,0)*0.475*44/12</f>
        <v>5.8245792260177426E-17</v>
      </c>
      <c r="DI202" s="22">
        <f t="shared" si="175"/>
        <v>9.5571941158709048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-7.9580786405131221E-13</v>
      </c>
      <c r="DP202" s="17">
        <f>DO202*VLOOKUP('Données projet'!$B$14,Paramètres!$A$1:$I$89,3,0)*VLOOKUP('Données projet'!$B$14,Paramètres!$A$1:$I$89,5,0)</f>
        <v>-8.0694917414803056E-13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586.50020405958992</v>
      </c>
      <c r="DU202" s="59">
        <f t="shared" si="209"/>
        <v>304.44184537595294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83.882463522512836</v>
      </c>
      <c r="EB202" s="21">
        <f>EXP(-LN(2)/25)*EB201+(1-EXP(-LN(2)/25))/(LN(2)/25)*Calculateur!DW202*Calculateur!DY202*VLOOKUP('Données projet'!$B$14,Paramètres!$A$1:$I$89,3,0)*0.475*44/12</f>
        <v>9.9139232895938463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93.796386812106675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-4.8771653382573282E-14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536.21423347711345</v>
      </c>
      <c r="T203" s="59">
        <f t="shared" si="204"/>
        <v>312.14361830038712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38.022200608162599</v>
      </c>
      <c r="AA203" s="21">
        <f>EXP(-LN(2)/25)*AA202+(1-EXP(-LN(2)/25))/(LN(2)/25)*Calculateur!V203*Calculateur!X203*VLOOKUP('Données projet'!$B$9,Paramètres!$A$1:$I$89,3,0)*0.475*44/12</f>
        <v>5.2905009107303274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43.312701518892929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-7.2004695539362725E-13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528.15559695545812</v>
      </c>
      <c r="AO203" s="59">
        <f t="shared" si="205"/>
        <v>276.26988364830532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73.381224852508524</v>
      </c>
      <c r="AV203" s="21">
        <f>EXP(-LN(2)/25)*AV202+(1-EXP(-LN(2)/25))/(LN(2)/25)*Calculateur!AQ203*Calculateur!AS203*VLOOKUP('Données projet'!$B$10,Paramètres!$A$1:$I$89,3,0)*0.475*44/12</f>
        <v>8.6043682935627857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81.985593146071309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-4.1677594708744434E-14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464.3681853739115</v>
      </c>
      <c r="BJ203" s="59">
        <f t="shared" si="206"/>
        <v>272.97841038165217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26.361189512554567</v>
      </c>
      <c r="BQ203" s="21">
        <f>EXP(-LN(2)/25)*BQ202+(1-EXP(-LN(2)/25))/(LN(2)/25)*Calculateur!BL203*Calculateur!BN203*VLOOKUP('Données projet'!$B$11,Paramètres!$A$1:$I$89,3,0)*0.475*44/12</f>
        <v>3.6679596365646607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30.029149149119228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4.4337866711430253E-14</v>
      </c>
      <c r="CA203" s="13">
        <f t="shared" si="170"/>
        <v>7.3222115536967035E-13</v>
      </c>
      <c r="CB203" s="20">
        <f t="shared" si="171"/>
        <v>1.3525069634579169E-12</v>
      </c>
      <c r="CC203" s="59">
        <f t="shared" si="195"/>
        <v>293.33333333333468</v>
      </c>
      <c r="CD203" s="59">
        <f ca="1">AVERAGE(OFFSET($CC$3,0,0,'Données projet'!$E$12+1,1))-AVERAGE(OFFSET($H$3,0,0,'Données projet'!$E$12+1,1))</f>
        <v>288.82868507674738</v>
      </c>
      <c r="CE203" s="59">
        <f t="shared" si="207"/>
        <v>283.48738729114024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4.9636235778206226</v>
      </c>
      <c r="CL203" s="21">
        <f>EXP(-LN(2)/25)*CL202+(1-EXP(-LN(2)/25))/(LN(2)/25)*Calculateur!CG203*Calculateur!CI203*VLOOKUP('Données projet'!$B$12,Paramètres!$A$1:$I$89,3,0)*0.475*44/12</f>
        <v>0.25171772659213226</v>
      </c>
      <c r="CM203" s="21">
        <f>EXP(-LN(2)/2)*CM202+(1-EXP(-LN(2)/2))/(LN(2)/2)*CG203*CJ203*VLOOKUP('Données projet'!$B$12,Paramètres!$A$1:$I$89,3,0)*0.475*44/12</f>
        <v>1.3973599442737121E-18</v>
      </c>
      <c r="CN203" s="22">
        <f t="shared" si="172"/>
        <v>5.215341304412755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-2.8421709430404007E-13</v>
      </c>
      <c r="CU203" s="17">
        <f>CT203*VLOOKUP('Données projet'!$B$13,Paramètres!$A$1:$I$89,3,0)*VLOOKUP('Données projet'!$B$13,Paramètres!$A$1:$I$89,5,0)</f>
        <v>-1.8621904018800707E-13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340.49092994349405</v>
      </c>
      <c r="CZ203" s="59">
        <f t="shared" si="208"/>
        <v>331.54434271908832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9.2478067325040794</v>
      </c>
      <c r="DG203" s="21">
        <f>EXP(-LN(2)/25)*DG202+(1-EXP(-LN(2)/25))/(LN(2)/25)*Calculateur!DB203*Calculateur!DD203*VLOOKUP('Données projet'!$B$13,Paramètres!$A$1:$I$89,3,0)*0.475*44/12</f>
        <v>0.12101419305409716</v>
      </c>
      <c r="DH203" s="21">
        <f>EXP(-LN(2)/2)*DH202+(1-EXP(-LN(2)/2))/(LN(2)/2)*DB203*DE203*VLOOKUP('Données projet'!$B$13,Paramètres!$A$1:$I$89,3,0)*0.475*44/12</f>
        <v>4.1185994682754383E-17</v>
      </c>
      <c r="DI203" s="22">
        <f t="shared" si="175"/>
        <v>9.3688209255581771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-7.9580786405131221E-13</v>
      </c>
      <c r="DP203" s="17">
        <f>DO203*VLOOKUP('Données projet'!$B$14,Paramètres!$A$1:$I$89,3,0)*VLOOKUP('Données projet'!$B$14,Paramètres!$A$1:$I$89,5,0)</f>
        <v>-8.0694917414803056E-13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586.50020405958992</v>
      </c>
      <c r="DU203" s="59">
        <f t="shared" si="209"/>
        <v>304.44184537595294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82.237579576087157</v>
      </c>
      <c r="EB203" s="21">
        <f>EXP(-LN(2)/25)*EB202+(1-EXP(-LN(2)/25))/(LN(2)/25)*Calculateur!DW203*Calculateur!DY203*VLOOKUP('Données projet'!$B$14,Paramètres!$A$1:$I$89,3,0)*0.475*44/12</f>
        <v>9.6428265358893359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91.880406111976498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1.2229519710813024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1.1480333746076383</v>
      </c>
      <c r="BA205" s="82">
        <f>EXP(LN('Données projet'!B88)/'Données projet'!A88)</f>
        <v>1.2229519710813024</v>
      </c>
      <c r="BV205" s="82">
        <f>EXP(LN('Données projet'!B114)/'Données projet'!A114)</f>
        <v>1.2788040393997409</v>
      </c>
      <c r="CQ205" s="82">
        <f>EXP(LN('Données projet'!B140)/'Données projet'!A140)</f>
        <v>1.3423796509621049</v>
      </c>
      <c r="DL205" s="82">
        <f>EXP(LN('Données projet'!B166)/'Données projet'!A166)</f>
        <v>1.1480333746076383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F7" sqref="F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Hêtre</v>
      </c>
      <c r="B6" s="146">
        <f>'Données projet'!D9</f>
        <v>0.25719999999999998</v>
      </c>
      <c r="C6" s="147">
        <f ca="1">IF(OR('Données projet'!B9="",'Données projet'!C9="",'Données projet'!C9=0%),0,Calculateur!S3)</f>
        <v>536.21423347711345</v>
      </c>
      <c r="D6" s="147">
        <f>IF(OR('Données projet'!B9="",'Données projet'!C9="",'Données projet'!C9=0%),0,Calculateur!T3)</f>
        <v>312.14361830038712</v>
      </c>
      <c r="E6" s="147">
        <f ca="1">MIN(C6,D6)</f>
        <v>312.14361830038712</v>
      </c>
      <c r="F6" s="147">
        <f ca="1">E6*B6</f>
        <v>80.28333862685956</v>
      </c>
      <c r="G6" s="147">
        <f ca="1">F6*(100%-'Données projet'!$C$24)*(100%-'Données projet'!$C$25)*(100%-'Données projet'!$C$26)*(100%-'Données projet'!$C$27)</f>
        <v>72.255004764173606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3.9222999999999999</v>
      </c>
      <c r="K6" s="151">
        <f>J6*(100%-'Données projet'!$C$24)*(100%-'Données projet'!$C$25)*(100%-'Données projet'!$C$26)*(100%-'Données projet'!$C$27)</f>
        <v>3.5300699999999998</v>
      </c>
      <c r="L6" s="152">
        <f ca="1">G6+I6+K6</f>
        <v>75.785074764173601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4.6295999999999999</v>
      </c>
      <c r="C7" s="147">
        <f ca="1">IF(OR('Données projet'!B10="",'Données projet'!C10="",'Données projet'!C10=0%),0,Calculateur!AN3)</f>
        <v>528.15559695545812</v>
      </c>
      <c r="D7" s="147">
        <f>IF(OR('Données projet'!B10="",'Données projet'!C10="",'Données projet'!C10=0%),0,Calculateur!AO3)</f>
        <v>276.26988364830532</v>
      </c>
      <c r="E7" s="147">
        <f t="shared" ref="E7:E15" ca="1" si="0">MIN(C7,D7)</f>
        <v>276.26988364830532</v>
      </c>
      <c r="F7" s="147">
        <f t="shared" ref="F7:F15" ca="1" si="1">E7*B7</f>
        <v>1279.0190533381942</v>
      </c>
      <c r="G7" s="147">
        <f ca="1">F7*(100%-'Données projet'!$C$24)*(100%-'Données projet'!$C$25)*(100%-'Données projet'!$C$26)*(100%-'Données projet'!$C$27)</f>
        <v>1151.1171480043749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1151.1171480043749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Châtaignier</v>
      </c>
      <c r="B8" s="154">
        <f>'Données projet'!D11</f>
        <v>3.7293999999999996</v>
      </c>
      <c r="C8" s="147">
        <f ca="1">IF(OR('Données projet'!B11="",'Données projet'!C11="",'Données projet'!C11=0%),0,Calculateur!BI3)</f>
        <v>464.3681853739115</v>
      </c>
      <c r="D8" s="147">
        <f>IF(OR('Données projet'!B11="",'Données projet'!C11="",'Données projet'!C11=0%),0,Calculateur!BJ3)</f>
        <v>272.97841038165217</v>
      </c>
      <c r="E8" s="147">
        <f t="shared" ca="1" si="0"/>
        <v>272.97841038165217</v>
      </c>
      <c r="F8" s="147">
        <f t="shared" ca="1" si="1"/>
        <v>1018.0456836773335</v>
      </c>
      <c r="G8" s="147">
        <f ca="1">F8*(100%-'Données projet'!$C$24)*(100%-'Données projet'!$C$25)*(100%-'Données projet'!$C$26)*(100%-'Données projet'!$C$27)</f>
        <v>916.24111530960022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56.873349999999995</v>
      </c>
      <c r="K8" s="151">
        <f>J8*(100%-'Données projet'!$C$24)*(100%-'Données projet'!$C$25)*(100%-'Données projet'!$C$26)*(100%-'Données projet'!$C$27)</f>
        <v>51.186014999999998</v>
      </c>
      <c r="L8" s="152">
        <f t="shared" ca="1" si="2"/>
        <v>967.42713030960022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Merisier</v>
      </c>
      <c r="B9" s="154">
        <f>'Données projet'!D12</f>
        <v>2.0575999999999999</v>
      </c>
      <c r="C9" s="147">
        <f ca="1">IF(OR('Données projet'!B12="",'Données projet'!C12="",'Données projet'!C12=0%),0,Calculateur!CD3)</f>
        <v>288.82868507674738</v>
      </c>
      <c r="D9" s="147">
        <f>IF(OR('Données projet'!B12="",'Données projet'!C12="",'Données projet'!C12=0%),0,Calculateur!CE3)</f>
        <v>283.48738729114024</v>
      </c>
      <c r="E9" s="147">
        <f t="shared" ca="1" si="0"/>
        <v>283.48738729114024</v>
      </c>
      <c r="F9" s="147">
        <f t="shared" ca="1" si="1"/>
        <v>583.30364809025014</v>
      </c>
      <c r="G9" s="147">
        <f ca="1">F9*(100%-'Données projet'!$C$24)*(100%-'Données projet'!$C$25)*(100%-'Données projet'!$C$26)*(100%-'Données projet'!$C$27)</f>
        <v>524.97328328122512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28.291999999999998</v>
      </c>
      <c r="K9" s="151">
        <f>J9*(100%-'Données projet'!$C$24)*(100%-'Données projet'!$C$25)*(100%-'Données projet'!$C$26)*(100%-'Données projet'!$C$27)</f>
        <v>25.462799999999998</v>
      </c>
      <c r="L9" s="152">
        <f t="shared" ca="1" si="2"/>
        <v>550.43608328122514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Aulne à feuilles en cœur</v>
      </c>
      <c r="B10" s="154">
        <f>'Données projet'!D13</f>
        <v>0.9002</v>
      </c>
      <c r="C10" s="147">
        <f ca="1">IF(OR('Données projet'!B13="",'Données projet'!C13="",'Données projet'!C13=0%),0,Calculateur!CY3)</f>
        <v>340.49092994349405</v>
      </c>
      <c r="D10" s="147">
        <f>IF(OR('Données projet'!B13="",'Données projet'!C13="",'Données projet'!C13=0%),0,Calculateur!CZ3)</f>
        <v>331.54434271908832</v>
      </c>
      <c r="E10" s="147">
        <f t="shared" ca="1" si="0"/>
        <v>331.54434271908832</v>
      </c>
      <c r="F10" s="147">
        <f t="shared" ca="1" si="1"/>
        <v>298.45621731572328</v>
      </c>
      <c r="G10" s="147">
        <f ca="1">F10*(100%-'Données projet'!$C$24)*(100%-'Données projet'!$C$25)*(100%-'Données projet'!$C$26)*(100%-'Données projet'!$C$27)</f>
        <v>268.61059558415099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39.383749999999999</v>
      </c>
      <c r="K10" s="151">
        <f>J10*(100%-'Données projet'!$C$24)*(100%-'Données projet'!$C$25)*(100%-'Données projet'!$C$26)*(100%-'Données projet'!$C$27)</f>
        <v>35.445374999999999</v>
      </c>
      <c r="L10" s="152">
        <f t="shared" ca="1" si="2"/>
        <v>304.055970584151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 pubescent</v>
      </c>
      <c r="B11" s="154">
        <f>'Données projet'!D14</f>
        <v>1.286</v>
      </c>
      <c r="C11" s="147">
        <f ca="1">IF(OR('Données projet'!B14="",'Données projet'!C14="",'Données projet'!C14=0%),0,Calculateur!DT3)</f>
        <v>586.50020405958992</v>
      </c>
      <c r="D11" s="147">
        <f>IF(OR('Données projet'!B14="",'Données projet'!C14="",'Données projet'!C14=0%),0,Calculateur!DU3)</f>
        <v>304.44184537595294</v>
      </c>
      <c r="E11" s="147">
        <f t="shared" ca="1" si="0"/>
        <v>304.44184537595294</v>
      </c>
      <c r="F11" s="147">
        <f t="shared" ca="1" si="1"/>
        <v>391.5122131534755</v>
      </c>
      <c r="G11" s="147">
        <f ca="1">F11*(100%-'Données projet'!$C$24)*(100%-'Données projet'!$C$25)*(100%-'Données projet'!$C$26)*(100%-'Données projet'!$C$27)</f>
        <v>352.36099183812797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352.36099183812797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3650.6201542018362</v>
      </c>
      <c r="G16" s="166">
        <f t="shared" ca="1" si="3"/>
        <v>3285.5581387816528</v>
      </c>
      <c r="H16" s="167">
        <f t="shared" si="3"/>
        <v>0</v>
      </c>
      <c r="I16" s="167">
        <f t="shared" si="3"/>
        <v>0</v>
      </c>
      <c r="J16" s="168">
        <f t="shared" si="3"/>
        <v>128.47139999999999</v>
      </c>
      <c r="K16" s="168">
        <f t="shared" si="3"/>
        <v>115.62425999999999</v>
      </c>
      <c r="L16" s="169">
        <f t="shared" ca="1" si="3"/>
        <v>3401.1823987816529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Hêtre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Aulne à feuilles en cœur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80" zoomScaleNormal="80" workbookViewId="0">
      <selection activeCell="G127" sqref="G1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Hêtre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1008.3423449179377</v>
      </c>
      <c r="U10" s="178">
        <f>'Données projet'!D9</f>
        <v>0.25719999999999998</v>
      </c>
      <c r="V10" s="177">
        <f>U10*T10</f>
        <v>259.34565111289356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411.80372358315441</v>
      </c>
      <c r="U11" s="178">
        <f>'Données projet'!D10</f>
        <v>4.6295999999999999</v>
      </c>
      <c r="V11" s="177">
        <f t="shared" ref="V11" si="0">U11*T11</f>
        <v>1906.4865187005717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Châtaignier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963.89891244337855</v>
      </c>
      <c r="U12" s="178">
        <f>'Données projet'!D11</f>
        <v>3.7293999999999996</v>
      </c>
      <c r="V12" s="177">
        <f t="shared" ref="V12:V19" si="1">U12*T12</f>
        <v>3594.7646040663358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998.5162999663296</v>
      </c>
      <c r="U13" s="178">
        <f>'Données projet'!D12</f>
        <v>2.0575999999999999</v>
      </c>
      <c r="V13" s="177">
        <f t="shared" si="1"/>
        <v>2054.5471388107198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Hêtre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Aulne à feuilles en cœur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1529.7075868900267</v>
      </c>
      <c r="U14" s="178">
        <f>'Données projet'!D13</f>
        <v>0.9002</v>
      </c>
      <c r="V14" s="177">
        <f t="shared" si="1"/>
        <v>1377.042769718402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471.49124729379758</v>
      </c>
      <c r="U15" s="178">
        <f>'Données projet'!D14</f>
        <v>1.286</v>
      </c>
      <c r="V15" s="177">
        <f t="shared" si="1"/>
        <v>606.33774401982373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5918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>
        <v>9</v>
      </c>
      <c r="D23" s="182">
        <f>B23*C23</f>
        <v>0</v>
      </c>
      <c r="E23" s="193"/>
      <c r="F23" s="230"/>
      <c r="H23" s="190">
        <v>5</v>
      </c>
      <c r="I23" s="191">
        <v>750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-91728.141734950274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26</v>
      </c>
      <c r="C24" s="193">
        <v>9</v>
      </c>
      <c r="D24" s="182">
        <f t="shared" ref="D24:D42" si="2">B24*C24</f>
        <v>234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35</v>
      </c>
      <c r="C25" s="193">
        <v>9</v>
      </c>
      <c r="D25" s="182">
        <f t="shared" si="2"/>
        <v>315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-91728.141734950274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35</v>
      </c>
      <c r="C26" s="193">
        <v>9</v>
      </c>
      <c r="D26" s="182">
        <f t="shared" si="2"/>
        <v>315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35</v>
      </c>
      <c r="C27" s="193">
        <v>9</v>
      </c>
      <c r="D27" s="182">
        <f t="shared" si="2"/>
        <v>315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35</v>
      </c>
      <c r="C28" s="193">
        <v>9</v>
      </c>
      <c r="D28" s="182">
        <f t="shared" si="2"/>
        <v>315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35</v>
      </c>
      <c r="C29" s="193">
        <v>14</v>
      </c>
      <c r="D29" s="182">
        <f t="shared" si="2"/>
        <v>490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55</v>
      </c>
      <c r="B30" s="181">
        <f>'Données projet'!D43</f>
        <v>35</v>
      </c>
      <c r="C30" s="193">
        <v>14</v>
      </c>
      <c r="D30" s="182">
        <f t="shared" si="2"/>
        <v>490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60</v>
      </c>
      <c r="B31" s="181">
        <f>'Données projet'!D44</f>
        <v>35</v>
      </c>
      <c r="C31" s="193">
        <v>14</v>
      </c>
      <c r="D31" s="182">
        <f t="shared" si="2"/>
        <v>490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65</v>
      </c>
      <c r="B32" s="181">
        <f>'Données projet'!D45</f>
        <v>35</v>
      </c>
      <c r="C32" s="193">
        <v>14</v>
      </c>
      <c r="D32" s="182">
        <f t="shared" si="2"/>
        <v>490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70</v>
      </c>
      <c r="B33" s="181">
        <f>'Données projet'!D46</f>
        <v>35</v>
      </c>
      <c r="C33" s="193">
        <v>14</v>
      </c>
      <c r="D33" s="182">
        <f t="shared" si="2"/>
        <v>490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75</v>
      </c>
      <c r="B34" s="181">
        <f>'Données projet'!D47</f>
        <v>35</v>
      </c>
      <c r="C34" s="193">
        <v>24</v>
      </c>
      <c r="D34" s="182">
        <f t="shared" si="2"/>
        <v>840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80</v>
      </c>
      <c r="B35" s="181">
        <f>'Données projet'!D48</f>
        <v>34</v>
      </c>
      <c r="C35" s="193">
        <v>24</v>
      </c>
      <c r="D35" s="182">
        <f t="shared" si="2"/>
        <v>816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85</v>
      </c>
      <c r="B36" s="181">
        <f>'Données projet'!D49</f>
        <v>33</v>
      </c>
      <c r="C36" s="193">
        <v>24</v>
      </c>
      <c r="D36" s="182">
        <f t="shared" si="2"/>
        <v>792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90</v>
      </c>
      <c r="B37" s="181">
        <f>'Données projet'!D50</f>
        <v>31</v>
      </c>
      <c r="C37" s="193">
        <v>57</v>
      </c>
      <c r="D37" s="182">
        <f t="shared" si="2"/>
        <v>1767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95</v>
      </c>
      <c r="B38" s="181">
        <f>'Données projet'!D51</f>
        <v>30</v>
      </c>
      <c r="C38" s="193">
        <v>57</v>
      </c>
      <c r="D38" s="182">
        <f t="shared" si="2"/>
        <v>1710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100</v>
      </c>
      <c r="B39" s="181">
        <f>'Données projet'!D52</f>
        <v>29</v>
      </c>
      <c r="C39" s="193">
        <v>57</v>
      </c>
      <c r="D39" s="182">
        <f t="shared" si="2"/>
        <v>1653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105</v>
      </c>
      <c r="B40" s="181">
        <f>'Données projet'!D53</f>
        <v>28</v>
      </c>
      <c r="C40" s="193">
        <v>94</v>
      </c>
      <c r="D40" s="182">
        <f t="shared" si="2"/>
        <v>2632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110</v>
      </c>
      <c r="B41" s="181">
        <f>'Données projet'!D54</f>
        <v>27</v>
      </c>
      <c r="C41" s="193">
        <v>94</v>
      </c>
      <c r="D41" s="182">
        <f t="shared" si="2"/>
        <v>2538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115</v>
      </c>
      <c r="B42" s="181">
        <f>'Données projet'!D55</f>
        <v>501</v>
      </c>
      <c r="C42" s="193">
        <v>94</v>
      </c>
      <c r="D42" s="182">
        <f t="shared" si="2"/>
        <v>47094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36</v>
      </c>
      <c r="B54" s="181">
        <f>'Données projet'!D62</f>
        <v>35</v>
      </c>
      <c r="C54" s="191">
        <v>8</v>
      </c>
      <c r="D54" s="179">
        <f>B54*C54</f>
        <v>280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44</v>
      </c>
      <c r="B55" s="181">
        <f>'Données projet'!D63</f>
        <v>46</v>
      </c>
      <c r="C55" s="191">
        <v>9</v>
      </c>
      <c r="D55" s="179">
        <f t="shared" ref="D55:D73" si="4">B55*C55</f>
        <v>414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52</v>
      </c>
      <c r="B56" s="181">
        <f>'Données projet'!D64</f>
        <v>63</v>
      </c>
      <c r="C56" s="191">
        <v>9</v>
      </c>
      <c r="D56" s="179">
        <f t="shared" si="4"/>
        <v>567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60</v>
      </c>
      <c r="B57" s="181">
        <f>'Données projet'!D65</f>
        <v>54</v>
      </c>
      <c r="C57" s="191">
        <v>9</v>
      </c>
      <c r="D57" s="179">
        <f t="shared" si="4"/>
        <v>486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69</v>
      </c>
      <c r="B58" s="181">
        <f>'Données projet'!D66</f>
        <v>51</v>
      </c>
      <c r="C58" s="191">
        <v>9</v>
      </c>
      <c r="D58" s="179">
        <f t="shared" si="4"/>
        <v>459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78</v>
      </c>
      <c r="B59" s="181">
        <f>'Données projet'!D67</f>
        <v>49</v>
      </c>
      <c r="C59" s="191">
        <v>14.2</v>
      </c>
      <c r="D59" s="179">
        <f t="shared" si="4"/>
        <v>695.8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87</v>
      </c>
      <c r="B60" s="181">
        <f>'Données projet'!D68</f>
        <v>45</v>
      </c>
      <c r="C60" s="191">
        <v>24.3</v>
      </c>
      <c r="D60" s="179">
        <f t="shared" si="4"/>
        <v>1093.5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96</v>
      </c>
      <c r="B61" s="181">
        <f>'Données projet'!D69</f>
        <v>44</v>
      </c>
      <c r="C61" s="191">
        <v>57.4</v>
      </c>
      <c r="D61" s="179">
        <f t="shared" si="4"/>
        <v>2525.6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105</v>
      </c>
      <c r="B62" s="181">
        <f>'Données projet'!D70</f>
        <v>43</v>
      </c>
      <c r="C62" s="191">
        <v>93.6</v>
      </c>
      <c r="D62" s="179">
        <f t="shared" si="4"/>
        <v>4024.7999999999997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114</v>
      </c>
      <c r="B63" s="181">
        <f>'Données projet'!D71</f>
        <v>43</v>
      </c>
      <c r="C63" s="191">
        <v>93.6</v>
      </c>
      <c r="D63" s="179">
        <f t="shared" si="4"/>
        <v>4024.7999999999997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123</v>
      </c>
      <c r="B64" s="181">
        <f>'Données projet'!D72</f>
        <v>41</v>
      </c>
      <c r="C64" s="191">
        <v>93.6</v>
      </c>
      <c r="D64" s="179">
        <f t="shared" si="4"/>
        <v>3837.6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132</v>
      </c>
      <c r="B65" s="181">
        <f>'Données projet'!D73</f>
        <v>42</v>
      </c>
      <c r="C65" s="191">
        <v>93.6</v>
      </c>
      <c r="D65" s="179">
        <f t="shared" si="4"/>
        <v>3931.2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141</v>
      </c>
      <c r="B66" s="181">
        <f>'Données projet'!D74</f>
        <v>45</v>
      </c>
      <c r="C66" s="191">
        <v>93.6</v>
      </c>
      <c r="D66" s="179">
        <f t="shared" si="4"/>
        <v>4212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153</v>
      </c>
      <c r="B67" s="181">
        <f>'Données projet'!D75</f>
        <v>481</v>
      </c>
      <c r="C67" s="191">
        <v>93.6</v>
      </c>
      <c r="D67" s="179">
        <f t="shared" si="4"/>
        <v>45021.599999999999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Châtaignier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v>8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26</v>
      </c>
      <c r="C86" s="191">
        <v>8</v>
      </c>
      <c r="D86" s="179">
        <f t="shared" ref="D86:D104" si="6">B86*C86</f>
        <v>208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35</v>
      </c>
      <c r="C87" s="191">
        <v>8</v>
      </c>
      <c r="D87" s="179">
        <f t="shared" si="6"/>
        <v>280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35</v>
      </c>
      <c r="C88" s="191">
        <v>8</v>
      </c>
      <c r="D88" s="179">
        <f t="shared" si="6"/>
        <v>280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35</v>
      </c>
      <c r="C89" s="191">
        <v>8</v>
      </c>
      <c r="D89" s="179">
        <f t="shared" si="6"/>
        <v>280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35</v>
      </c>
      <c r="C90" s="191">
        <v>11.000000000000002</v>
      </c>
      <c r="D90" s="179">
        <f t="shared" si="6"/>
        <v>385.00000000000006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35</v>
      </c>
      <c r="C91" s="191">
        <v>14.799999999999999</v>
      </c>
      <c r="D91" s="179">
        <f t="shared" si="6"/>
        <v>518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35</v>
      </c>
      <c r="C92" s="191">
        <v>22.8</v>
      </c>
      <c r="D92" s="179">
        <f t="shared" si="6"/>
        <v>798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35</v>
      </c>
      <c r="C93" s="191">
        <v>30.8</v>
      </c>
      <c r="D93" s="179">
        <f t="shared" si="6"/>
        <v>1078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65</v>
      </c>
      <c r="B94" s="181">
        <f>'Données projet'!D97</f>
        <v>35</v>
      </c>
      <c r="C94" s="191">
        <v>38.599999999999994</v>
      </c>
      <c r="D94" s="179">
        <f t="shared" si="6"/>
        <v>1350.9999999999998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70</v>
      </c>
      <c r="B95" s="181">
        <f>'Données projet'!D98</f>
        <v>35</v>
      </c>
      <c r="C95" s="191">
        <v>38.599999999999994</v>
      </c>
      <c r="D95" s="179">
        <f t="shared" si="6"/>
        <v>1350.9999999999998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75</v>
      </c>
      <c r="B96" s="181">
        <f>'Données projet'!D99</f>
        <v>35</v>
      </c>
      <c r="C96" s="191">
        <v>38.599999999999994</v>
      </c>
      <c r="D96" s="179">
        <f t="shared" si="6"/>
        <v>1350.9999999999998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80</v>
      </c>
      <c r="B97" s="181">
        <f>'Données projet'!D100</f>
        <v>34</v>
      </c>
      <c r="C97" s="191">
        <v>38.599999999999994</v>
      </c>
      <c r="D97" s="179">
        <f t="shared" si="6"/>
        <v>1312.3999999999999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85</v>
      </c>
      <c r="B98" s="181">
        <f>'Données projet'!D101</f>
        <v>33</v>
      </c>
      <c r="C98" s="191">
        <v>38.599999999999994</v>
      </c>
      <c r="D98" s="179">
        <f t="shared" si="6"/>
        <v>1273.7999999999997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90</v>
      </c>
      <c r="B99" s="181">
        <f>'Données projet'!D102</f>
        <v>31</v>
      </c>
      <c r="C99" s="191">
        <v>38.599999999999994</v>
      </c>
      <c r="D99" s="179">
        <f t="shared" si="6"/>
        <v>1196.5999999999999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95</v>
      </c>
      <c r="B100" s="181">
        <f>'Données projet'!D103</f>
        <v>30</v>
      </c>
      <c r="C100" s="191">
        <v>38.599999999999994</v>
      </c>
      <c r="D100" s="179">
        <f t="shared" si="6"/>
        <v>1157.9999999999998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100</v>
      </c>
      <c r="B101" s="181">
        <f>'Données projet'!D104</f>
        <v>29</v>
      </c>
      <c r="C101" s="191">
        <v>38.599999999999994</v>
      </c>
      <c r="D101" s="179">
        <f t="shared" si="6"/>
        <v>1119.3999999999999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105</v>
      </c>
      <c r="B102" s="181">
        <f>'Données projet'!D105</f>
        <v>28</v>
      </c>
      <c r="C102" s="191">
        <v>38.599999999999994</v>
      </c>
      <c r="D102" s="179">
        <f t="shared" si="6"/>
        <v>1080.7999999999997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110</v>
      </c>
      <c r="B103" s="181">
        <f>'Données projet'!D106</f>
        <v>27</v>
      </c>
      <c r="C103" s="191">
        <v>38.599999999999994</v>
      </c>
      <c r="D103" s="179">
        <f t="shared" si="6"/>
        <v>1042.1999999999998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115</v>
      </c>
      <c r="B104" s="181">
        <f>'Données projet'!D107</f>
        <v>501</v>
      </c>
      <c r="C104" s="191">
        <v>38.599999999999994</v>
      </c>
      <c r="D104" s="179">
        <f t="shared" si="6"/>
        <v>19338.599999999999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3</v>
      </c>
      <c r="C116" s="191">
        <v>8</v>
      </c>
      <c r="D116" s="179">
        <f>B116*C116</f>
        <v>24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25</v>
      </c>
      <c r="C117" s="191">
        <v>8</v>
      </c>
      <c r="D117" s="179">
        <f t="shared" ref="D117:D135" si="8">B117*C117</f>
        <v>200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25</v>
      </c>
      <c r="B118" s="181">
        <f>'Données projet'!D116</f>
        <v>27</v>
      </c>
      <c r="C118" s="191">
        <v>8</v>
      </c>
      <c r="D118" s="179">
        <f t="shared" si="8"/>
        <v>216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31</v>
      </c>
      <c r="B119" s="181">
        <f>'Données projet'!D117</f>
        <v>36</v>
      </c>
      <c r="C119" s="191">
        <v>8</v>
      </c>
      <c r="D119" s="179">
        <f t="shared" si="8"/>
        <v>288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37</v>
      </c>
      <c r="B120" s="181">
        <f>'Données projet'!D118</f>
        <v>36</v>
      </c>
      <c r="C120" s="191">
        <v>8</v>
      </c>
      <c r="D120" s="179">
        <f t="shared" si="8"/>
        <v>288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44</v>
      </c>
      <c r="B121" s="181">
        <f>'Données projet'!D119</f>
        <v>43</v>
      </c>
      <c r="C121" s="191">
        <v>11.000000000000002</v>
      </c>
      <c r="D121" s="179">
        <f t="shared" si="8"/>
        <v>473.00000000000006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52</v>
      </c>
      <c r="B122" s="181">
        <f>'Données projet'!D120</f>
        <v>48</v>
      </c>
      <c r="C122" s="191">
        <v>14.799999999999999</v>
      </c>
      <c r="D122" s="179">
        <f t="shared" si="8"/>
        <v>710.4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60</v>
      </c>
      <c r="B123" s="181">
        <f>'Données projet'!D121</f>
        <v>47</v>
      </c>
      <c r="C123" s="191">
        <v>22.8</v>
      </c>
      <c r="D123" s="179">
        <f t="shared" si="8"/>
        <v>1071.6000000000001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69</v>
      </c>
      <c r="B124" s="181">
        <f>'Données projet'!D122</f>
        <v>328</v>
      </c>
      <c r="C124" s="191">
        <v>30.8</v>
      </c>
      <c r="D124" s="179">
        <f t="shared" si="8"/>
        <v>10102.4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Aulne à feuilles en cœur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7</v>
      </c>
      <c r="C147" s="191">
        <v>8</v>
      </c>
      <c r="D147" s="182">
        <f>B147*C147</f>
        <v>56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15</v>
      </c>
      <c r="B148" s="175">
        <f>'Données projet'!D141</f>
        <v>42</v>
      </c>
      <c r="C148" s="191">
        <v>8</v>
      </c>
      <c r="D148" s="182">
        <f t="shared" ref="D148:D166" si="10">B148*C148</f>
        <v>336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20</v>
      </c>
      <c r="B149" s="175">
        <f>'Données projet'!D142</f>
        <v>42</v>
      </c>
      <c r="C149" s="191">
        <v>8</v>
      </c>
      <c r="D149" s="182">
        <f t="shared" si="10"/>
        <v>336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25</v>
      </c>
      <c r="B150" s="175">
        <f>'Données projet'!D143</f>
        <v>42</v>
      </c>
      <c r="C150" s="191">
        <v>8</v>
      </c>
      <c r="D150" s="182">
        <f t="shared" si="10"/>
        <v>336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30</v>
      </c>
      <c r="B151" s="175">
        <f>'Données projet'!D144</f>
        <v>42</v>
      </c>
      <c r="C151" s="191">
        <v>8</v>
      </c>
      <c r="D151" s="182">
        <f t="shared" si="10"/>
        <v>336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35</v>
      </c>
      <c r="B152" s="175">
        <f>'Données projet'!D145</f>
        <v>42</v>
      </c>
      <c r="C152" s="191">
        <v>11.000000000000002</v>
      </c>
      <c r="D152" s="182">
        <f t="shared" si="10"/>
        <v>462.00000000000006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40</v>
      </c>
      <c r="B153" s="175">
        <f>'Données projet'!D146</f>
        <v>40</v>
      </c>
      <c r="C153" s="191">
        <v>14.799999999999999</v>
      </c>
      <c r="D153" s="182">
        <f t="shared" si="10"/>
        <v>592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45</v>
      </c>
      <c r="B154" s="175">
        <f>'Données projet'!D147</f>
        <v>26</v>
      </c>
      <c r="C154" s="191">
        <v>22.8</v>
      </c>
      <c r="D154" s="182">
        <f t="shared" si="10"/>
        <v>592.80000000000007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50</v>
      </c>
      <c r="B155" s="175">
        <f>'Données projet'!D148</f>
        <v>21</v>
      </c>
      <c r="C155" s="191">
        <v>30.8</v>
      </c>
      <c r="D155" s="182">
        <f t="shared" si="10"/>
        <v>646.80000000000007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55</v>
      </c>
      <c r="B156" s="175">
        <f>'Données projet'!D149</f>
        <v>18</v>
      </c>
      <c r="C156" s="191">
        <v>38.599999999999994</v>
      </c>
      <c r="D156" s="182">
        <f t="shared" si="10"/>
        <v>694.8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60</v>
      </c>
      <c r="B157" s="175">
        <f>'Données projet'!D150</f>
        <v>17</v>
      </c>
      <c r="C157" s="191">
        <v>38.599999999999994</v>
      </c>
      <c r="D157" s="182">
        <f t="shared" si="10"/>
        <v>656.19999999999993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65</v>
      </c>
      <c r="B158" s="175">
        <f>'Données projet'!D151</f>
        <v>16</v>
      </c>
      <c r="C158" s="191">
        <v>38.599999999999994</v>
      </c>
      <c r="D158" s="182">
        <f t="shared" si="10"/>
        <v>617.59999999999991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70</v>
      </c>
      <c r="B159" s="175">
        <f>'Données projet'!D152</f>
        <v>15</v>
      </c>
      <c r="C159" s="191">
        <v>38.599999999999994</v>
      </c>
      <c r="D159" s="182">
        <f t="shared" si="10"/>
        <v>578.99999999999989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75</v>
      </c>
      <c r="B160" s="175">
        <f>'Données projet'!D153</f>
        <v>14</v>
      </c>
      <c r="C160" s="191">
        <v>38.599999999999994</v>
      </c>
      <c r="D160" s="182">
        <f t="shared" si="10"/>
        <v>540.39999999999986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80</v>
      </c>
      <c r="B161" s="175">
        <f>'Données projet'!D154</f>
        <v>381</v>
      </c>
      <c r="C161" s="191">
        <v>38.599999999999994</v>
      </c>
      <c r="D161" s="182">
        <f t="shared" si="10"/>
        <v>14706.599999999999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36</v>
      </c>
      <c r="B178" s="181">
        <f>'Données projet'!D166</f>
        <v>35</v>
      </c>
      <c r="C178" s="193">
        <v>8</v>
      </c>
      <c r="D178" s="179">
        <f>B178*C178</f>
        <v>280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44</v>
      </c>
      <c r="B179" s="181">
        <f>'Données projet'!D167</f>
        <v>46</v>
      </c>
      <c r="C179" s="193">
        <v>9</v>
      </c>
      <c r="D179" s="179">
        <f t="shared" ref="D179:D197" si="11">B179*C179</f>
        <v>414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52</v>
      </c>
      <c r="B180" s="181">
        <f>'Données projet'!D168</f>
        <v>63</v>
      </c>
      <c r="C180" s="193">
        <v>9</v>
      </c>
      <c r="D180" s="179">
        <f t="shared" si="11"/>
        <v>567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60</v>
      </c>
      <c r="B181" s="181">
        <f>'Données projet'!D169</f>
        <v>54</v>
      </c>
      <c r="C181" s="193">
        <v>9</v>
      </c>
      <c r="D181" s="179">
        <f t="shared" si="11"/>
        <v>486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69</v>
      </c>
      <c r="B182" s="181">
        <f>'Données projet'!D170</f>
        <v>51</v>
      </c>
      <c r="C182" s="193">
        <v>9</v>
      </c>
      <c r="D182" s="179">
        <f t="shared" si="11"/>
        <v>459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78</v>
      </c>
      <c r="B183" s="181">
        <f>'Données projet'!D171</f>
        <v>49</v>
      </c>
      <c r="C183" s="193">
        <v>14.2</v>
      </c>
      <c r="D183" s="179">
        <f t="shared" si="11"/>
        <v>695.8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87</v>
      </c>
      <c r="B184" s="181">
        <f>'Données projet'!D172</f>
        <v>45</v>
      </c>
      <c r="C184" s="193">
        <v>24.3</v>
      </c>
      <c r="D184" s="179">
        <f t="shared" si="11"/>
        <v>1093.5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96</v>
      </c>
      <c r="B185" s="181">
        <f>'Données projet'!D173</f>
        <v>44</v>
      </c>
      <c r="C185" s="193">
        <v>57.4</v>
      </c>
      <c r="D185" s="179">
        <f t="shared" si="11"/>
        <v>2525.6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105</v>
      </c>
      <c r="B186" s="181">
        <f>'Données projet'!D174</f>
        <v>43</v>
      </c>
      <c r="C186" s="193">
        <v>93.6</v>
      </c>
      <c r="D186" s="179">
        <f t="shared" si="11"/>
        <v>4024.7999999999997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114</v>
      </c>
      <c r="B187" s="181">
        <f>'Données projet'!D175</f>
        <v>43</v>
      </c>
      <c r="C187" s="193">
        <v>93.6</v>
      </c>
      <c r="D187" s="179">
        <f t="shared" si="11"/>
        <v>4024.7999999999997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123</v>
      </c>
      <c r="B188" s="181">
        <f>'Données projet'!D176</f>
        <v>41</v>
      </c>
      <c r="C188" s="193">
        <v>93.6</v>
      </c>
      <c r="D188" s="179">
        <f t="shared" si="11"/>
        <v>3837.6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132</v>
      </c>
      <c r="B189" s="181">
        <f>'Données projet'!D177</f>
        <v>42</v>
      </c>
      <c r="C189" s="193">
        <v>93.6</v>
      </c>
      <c r="D189" s="179">
        <f t="shared" si="11"/>
        <v>3931.2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141</v>
      </c>
      <c r="B190" s="181">
        <f>'Données projet'!D178</f>
        <v>45</v>
      </c>
      <c r="C190" s="193">
        <v>93.6</v>
      </c>
      <c r="D190" s="179">
        <f t="shared" si="11"/>
        <v>4212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153</v>
      </c>
      <c r="B191" s="181">
        <f>'Données projet'!D179</f>
        <v>481</v>
      </c>
      <c r="C191" s="193">
        <v>93.6</v>
      </c>
      <c r="D191" s="179">
        <f t="shared" si="11"/>
        <v>45021.599999999999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ALVES PEREIRA Carolina</cp:lastModifiedBy>
  <dcterms:created xsi:type="dcterms:W3CDTF">2021-02-01T08:22:39Z</dcterms:created>
  <dcterms:modified xsi:type="dcterms:W3CDTF">2025-09-02T09:59:35Z</dcterms:modified>
</cp:coreProperties>
</file>