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CAHOREAU Aurélien/Sarthe_72_Congé-sur-Orne_12ha (Aurélien CAHOREAU)/2.Dossier_LBC_déposé/"/>
    </mc:Choice>
  </mc:AlternateContent>
  <xr:revisionPtr revIDLastSave="430" documentId="11_785EBEBB6478A93751353AF968EBF6B69F868F6A" xr6:coauthVersionLast="47" xr6:coauthVersionMax="47" xr10:uidLastSave="{D96453B8-CD7D-4C0C-9076-7CB895A17F14}"/>
  <bookViews>
    <workbookView minimized="1" xWindow="2660" yWindow="2660" windowWidth="14400" windowHeight="817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externalReferences>
    <externalReference r:id="rId8"/>
  </externalReference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" l="1"/>
  <c r="B9" i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FR4" i="2"/>
  <c r="BQ4" i="2"/>
  <c r="EC4" i="2"/>
  <c r="BR4" i="2"/>
  <c r="GL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C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V7" i="2"/>
  <c r="EX7" i="2"/>
  <c r="EA7" i="2"/>
  <c r="HI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HH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G14" i="2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HG18" i="2"/>
  <c r="FS18" i="2"/>
  <c r="EW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C20" i="2"/>
  <c r="HG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EW22" i="2"/>
  <c r="EA22" i="2"/>
  <c r="EB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H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EV28" i="2"/>
  <c r="FS28" i="2"/>
  <c r="EC28" i="2"/>
  <c r="HG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C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H33" i="2"/>
  <c r="EB33" i="2"/>
  <c r="HG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X38" i="2"/>
  <c r="HI38" i="2"/>
  <c r="EA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DG43" i="2"/>
  <c r="EX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FS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HI50" i="2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V57" i="2"/>
  <c r="FS57" i="2"/>
  <c r="HH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B62" i="2"/>
  <c r="HH62" i="2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A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B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EB75" i="2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HI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B105" i="2"/>
  <c r="FS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B107" i="2"/>
  <c r="EC107" i="2"/>
  <c r="EX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EW113" i="2"/>
  <c r="HG113" i="2"/>
  <c r="FS113" i="2"/>
  <c r="EX113" i="2"/>
  <c r="HI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EX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FQ120" i="2"/>
  <c r="HH120" i="2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HG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HI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X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HH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HH139" i="2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G140" i="2"/>
  <c r="FR140" i="2"/>
  <c r="HH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FS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A144" i="2"/>
  <c r="EB144" i="2"/>
  <c r="HG144" i="2"/>
  <c r="FR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B145" i="2"/>
  <c r="EA145" i="2"/>
  <c r="HH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I146" i="2"/>
  <c r="FS146" i="2"/>
  <c r="HG146" i="2"/>
  <c r="EA146" i="2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C149" i="2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G154" i="2"/>
  <c r="AB154" i="2"/>
  <c r="HH154" i="2"/>
  <c r="EX154" i="2"/>
  <c r="AA154" i="2"/>
  <c r="EV154" i="2"/>
  <c r="EY154" i="2" s="1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HG155" i="2"/>
  <c r="AC154" i="2"/>
  <c r="EW155" i="2"/>
  <c r="EA155" i="2"/>
  <c r="DI154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I156" i="2" l="1"/>
  <c r="AB156" i="2"/>
  <c r="FS156" i="2"/>
  <c r="EB156" i="2"/>
  <c r="EX156" i="2"/>
  <c r="DH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CN156" i="2"/>
  <c r="EA157" i="2"/>
  <c r="EB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EW158" i="2"/>
  <c r="ED157" i="2"/>
  <c r="EC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ED158" i="2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C160" i="2"/>
  <c r="FS160" i="2"/>
  <c r="DG160" i="2"/>
  <c r="HG160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H161" i="2" l="1"/>
  <c r="ED160" i="2"/>
  <c r="EB161" i="2"/>
  <c r="EX161" i="2"/>
  <c r="AB161" i="2"/>
  <c r="EA161" i="2"/>
  <c r="FS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EW162" i="2"/>
  <c r="EY161" i="2"/>
  <c r="DI161" i="2"/>
  <c r="EC162" i="2"/>
  <c r="EB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D162" i="2"/>
  <c r="HI163" i="2"/>
  <c r="EV163" i="2"/>
  <c r="FS163" i="2"/>
  <c r="EC163" i="2"/>
  <c r="EX163" i="2"/>
  <c r="DH163" i="2"/>
  <c r="EW163" i="2"/>
  <c r="EY163" i="2" s="1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DI163" i="2" l="1"/>
  <c r="EX164" i="2"/>
  <c r="DH164" i="2"/>
  <c r="FR164" i="2"/>
  <c r="HH164" i="2"/>
  <c r="HG164" i="2"/>
  <c r="EA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CN165" i="2"/>
  <c r="HG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EA167" i="2"/>
  <c r="EB167" i="2"/>
  <c r="HI167" i="2"/>
  <c r="FR167" i="2"/>
  <c r="DG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DG168" i="2"/>
  <c r="DI167" i="2"/>
  <c r="HI168" i="2"/>
  <c r="EW168" i="2"/>
  <c r="HH168" i="2"/>
  <c r="EV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Y168" i="2"/>
  <c r="EA169" i="2"/>
  <c r="FS169" i="2"/>
  <c r="HH169" i="2"/>
  <c r="EX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HG172" i="2"/>
  <c r="EV172" i="2"/>
  <c r="EA172" i="2"/>
  <c r="EW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B173" i="2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FS175" i="2"/>
  <c r="EA175" i="2"/>
  <c r="EW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HG178" i="2"/>
  <c r="EB178" i="2"/>
  <c r="ED177" i="2"/>
  <c r="EA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H179" i="2"/>
  <c r="EV179" i="2"/>
  <c r="HI179" i="2"/>
  <c r="DF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FS183" i="2" l="1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HG186" i="2"/>
  <c r="ED185" i="2"/>
  <c r="FR186" i="2"/>
  <c r="EB186" i="2"/>
  <c r="FS186" i="2"/>
  <c r="EW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EC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EV189" i="2"/>
  <c r="HH189" i="2"/>
  <c r="AA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EY189" i="2" s="1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W190" i="2" l="1"/>
  <c r="EB190" i="2"/>
  <c r="HH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EW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Y192" i="2" s="1"/>
  <c r="EA192" i="2"/>
  <c r="EB192" i="2"/>
  <c r="EW192" i="2"/>
  <c r="HI192" i="2"/>
  <c r="EC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A193" i="2"/>
  <c r="EB193" i="2"/>
  <c r="DI192" i="2"/>
  <c r="EX193" i="2"/>
  <c r="HI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B194" i="2" l="1"/>
  <c r="EA194" i="2"/>
  <c r="CN193" i="2"/>
  <c r="HG194" i="2"/>
  <c r="FQ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G195" i="2"/>
  <c r="ED194" i="2"/>
  <c r="EY194" i="2"/>
  <c r="HI195" i="2"/>
  <c r="AA195" i="2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FS197" i="2" l="1"/>
  <c r="EY196" i="2"/>
  <c r="AA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Y198" i="2" s="1"/>
  <c r="EW198" i="2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HG199" i="2"/>
  <c r="EB199" i="2"/>
  <c r="FS199" i="2"/>
  <c r="EW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A201" i="2" l="1"/>
  <c r="ED200" i="2"/>
  <c r="DI200" i="2"/>
  <c r="FS201" i="2"/>
  <c r="HH201" i="2"/>
  <c r="EB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EY201" i="2"/>
  <c r="HH202" i="2"/>
  <c r="FZ6" i="2"/>
  <c r="FR202" i="2"/>
  <c r="HI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18" i="2" a="1"/>
  <c r="FY18" i="2" s="1"/>
  <c r="FY71" i="2" a="1"/>
  <c r="FY71" i="2" s="1"/>
  <c r="FY186" i="2" a="1"/>
  <c r="FY186" i="2" s="1"/>
  <c r="FY152" i="2" a="1"/>
  <c r="FY152" i="2" s="1"/>
  <c r="FY55" i="2" a="1"/>
  <c r="FY55" i="2" s="1"/>
  <c r="FY178" i="2" a="1"/>
  <c r="FY178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8" i="2" a="1"/>
  <c r="BC68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EI195" i="2" a="1"/>
  <c r="EI195" i="2" s="1"/>
  <c r="FY182" i="2" a="1"/>
  <c r="FY182" i="2" s="1"/>
  <c r="FY82" i="2" a="1"/>
  <c r="FY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31" i="2" a="1"/>
  <c r="DN31" i="2" s="1"/>
  <c r="DN6" i="2" a="1"/>
  <c r="DN6" i="2" s="1"/>
  <c r="DO6" i="2" s="1"/>
  <c r="FD82" i="2" a="1"/>
  <c r="FD82" i="2" s="1"/>
  <c r="HJ202" i="2"/>
  <c r="AX200" i="2"/>
  <c r="BC151" i="2" l="1" a="1"/>
  <c r="BC151" i="2" s="1"/>
  <c r="DN66" i="2" a="1"/>
  <c r="DN66" i="2" s="1"/>
  <c r="CS24" i="2" a="1"/>
  <c r="CS24" i="2" s="1"/>
  <c r="BC32" i="2" a="1"/>
  <c r="BC32" i="2" s="1"/>
  <c r="BC192" i="2" a="1"/>
  <c r="BC192" i="2" s="1"/>
  <c r="BC117" i="2" a="1"/>
  <c r="BC117" i="2" s="1"/>
  <c r="BC18" i="2" a="1"/>
  <c r="BC18" i="2" s="1"/>
  <c r="BC55" i="2" a="1"/>
  <c r="BC55" i="2" s="1"/>
  <c r="BC181" i="2" a="1"/>
  <c r="BC181" i="2" s="1"/>
  <c r="BC164" i="2" a="1"/>
  <c r="BC164" i="2" s="1"/>
  <c r="BC38" i="2" a="1"/>
  <c r="BC38" i="2" s="1"/>
  <c r="BC130" i="2" a="1"/>
  <c r="BC130" i="2" s="1"/>
  <c r="BC65" i="2" a="1"/>
  <c r="BC65" i="2" s="1"/>
  <c r="BC83" i="2" a="1"/>
  <c r="BC83" i="2" s="1"/>
  <c r="BC47" i="2" a="1"/>
  <c r="BC47" i="2" s="1"/>
  <c r="AH151" i="2" a="1"/>
  <c r="AH151" i="2" s="1"/>
  <c r="BC34" i="2" a="1"/>
  <c r="BC34" i="2" s="1"/>
  <c r="BC114" i="2" a="1"/>
  <c r="BC114" i="2" s="1"/>
  <c r="BC126" i="2" a="1"/>
  <c r="BC126" i="2" s="1"/>
  <c r="BC82" i="2" a="1"/>
  <c r="BC82" i="2" s="1"/>
  <c r="BC58" i="2" a="1"/>
  <c r="BC58" i="2" s="1"/>
  <c r="CS38" i="2" a="1"/>
  <c r="CS38" i="2" s="1"/>
  <c r="CS77" i="2" a="1"/>
  <c r="CS77" i="2" s="1"/>
  <c r="AH19" i="2" a="1"/>
  <c r="AH19" i="2" s="1"/>
  <c r="AH90" i="2" a="1"/>
  <c r="AH90" i="2" s="1"/>
  <c r="BP203" i="2"/>
  <c r="DN16" i="2" a="1"/>
  <c r="DN16" i="2" s="1"/>
  <c r="FY173" i="2" a="1"/>
  <c r="FY173" i="2" s="1"/>
  <c r="DN43" i="2" a="1"/>
  <c r="DN43" i="2" s="1"/>
  <c r="FY188" i="2" a="1"/>
  <c r="FY188" i="2" s="1"/>
  <c r="DN49" i="2" a="1"/>
  <c r="DN49" i="2" s="1"/>
  <c r="DN186" i="2" a="1"/>
  <c r="DN186" i="2" s="1"/>
  <c r="FY28" i="2" a="1"/>
  <c r="FY28" i="2" s="1"/>
  <c r="FY121" i="2" a="1"/>
  <c r="FY121" i="2" s="1"/>
  <c r="FY35" i="2" a="1"/>
  <c r="FY35" i="2" s="1"/>
  <c r="DN190" i="2" a="1"/>
  <c r="DN190" i="2" s="1"/>
  <c r="DN170" i="2" a="1"/>
  <c r="DN170" i="2" s="1"/>
  <c r="FY142" i="2" a="1"/>
  <c r="FY142" i="2" s="1"/>
  <c r="CS161" i="2" a="1"/>
  <c r="CS161" i="2" s="1"/>
  <c r="DN123" i="2" a="1"/>
  <c r="DN123" i="2" s="1"/>
  <c r="DN129" i="2" a="1"/>
  <c r="DN129" i="2" s="1"/>
  <c r="CS52" i="2" a="1"/>
  <c r="CS52" i="2" s="1"/>
  <c r="FY169" i="2" a="1"/>
  <c r="FY169" i="2" s="1"/>
  <c r="FY99" i="2" a="1"/>
  <c r="FY99" i="2" s="1"/>
  <c r="FY153" i="2" a="1"/>
  <c r="FY153" i="2" s="1"/>
  <c r="FY146" i="2" a="1"/>
  <c r="FY146" i="2" s="1"/>
  <c r="DN132" i="2" a="1"/>
  <c r="DN132" i="2" s="1"/>
  <c r="DN188" i="2" a="1"/>
  <c r="DN188" i="2" s="1"/>
  <c r="FY115" i="2" a="1"/>
  <c r="FY115" i="2" s="1"/>
  <c r="FY133" i="2" a="1"/>
  <c r="FY133" i="2" s="1"/>
  <c r="DN162" i="2" a="1"/>
  <c r="DN162" i="2" s="1"/>
  <c r="DN177" i="2" a="1"/>
  <c r="DN177" i="2" s="1"/>
  <c r="FY164" i="2" a="1"/>
  <c r="FY164" i="2" s="1"/>
  <c r="FY29" i="2" a="1"/>
  <c r="FY29" i="2" s="1"/>
  <c r="DN135" i="2" a="1"/>
  <c r="DN135" i="2" s="1"/>
  <c r="CS129" i="2" a="1"/>
  <c r="CS129" i="2" s="1"/>
  <c r="FY124" i="2" a="1"/>
  <c r="FY124" i="2" s="1"/>
  <c r="BX107" i="2" a="1"/>
  <c r="BX107" i="2" s="1"/>
  <c r="DN65" i="2" a="1"/>
  <c r="DN65" i="2" s="1"/>
  <c r="CS114" i="2" a="1"/>
  <c r="CS114" i="2" s="1"/>
  <c r="CS120" i="2" a="1"/>
  <c r="CS120" i="2" s="1"/>
  <c r="FY80" i="2" a="1"/>
  <c r="FY80" i="2" s="1"/>
  <c r="AH163" i="2" a="1"/>
  <c r="AH163" i="2" s="1"/>
  <c r="DN50" i="2" a="1"/>
  <c r="DN50" i="2" s="1"/>
  <c r="DN124" i="2" a="1"/>
  <c r="DN124" i="2" s="1"/>
  <c r="FY62" i="2" a="1"/>
  <c r="FY62" i="2" s="1"/>
  <c r="FY116" i="2" a="1"/>
  <c r="FY116" i="2" s="1"/>
  <c r="FY102" i="2" a="1"/>
  <c r="FY102" i="2" s="1"/>
  <c r="FY32" i="2" a="1"/>
  <c r="FY32" i="2" s="1"/>
  <c r="FS203" i="2"/>
  <c r="DN41" i="2" a="1"/>
  <c r="DN41" i="2" s="1"/>
  <c r="FY126" i="2" a="1"/>
  <c r="FY126" i="2" s="1"/>
  <c r="DN46" i="2" a="1"/>
  <c r="DN46" i="2" s="1"/>
  <c r="FY140" i="2" a="1"/>
  <c r="FY140" i="2" s="1"/>
  <c r="FY58" i="2" a="1"/>
  <c r="FY58" i="2" s="1"/>
  <c r="FY47" i="2" a="1"/>
  <c r="FY47" i="2" s="1"/>
  <c r="DN176" i="2" a="1"/>
  <c r="DN176" i="2" s="1"/>
  <c r="DN153" i="2" a="1"/>
  <c r="DN153" i="2" s="1"/>
  <c r="FY24" i="2" a="1"/>
  <c r="FY24" i="2" s="1"/>
  <c r="FY167" i="2" a="1"/>
  <c r="FY167" i="2" s="1"/>
  <c r="FY174" i="2" a="1"/>
  <c r="FY174" i="2" s="1"/>
  <c r="DN38" i="2" a="1"/>
  <c r="DN38" i="2" s="1"/>
  <c r="DN70" i="2" a="1"/>
  <c r="DN70" i="2" s="1"/>
  <c r="CS56" i="2" a="1"/>
  <c r="CS56" i="2" s="1"/>
  <c r="DN63" i="2" a="1"/>
  <c r="DN63" i="2" s="1"/>
  <c r="FY30" i="2" a="1"/>
  <c r="FY30" i="2" s="1"/>
  <c r="AH62" i="2" a="1"/>
  <c r="AH62" i="2" s="1"/>
  <c r="CS116" i="2" a="1"/>
  <c r="CS116" i="2" s="1"/>
  <c r="DN113" i="2" a="1"/>
  <c r="DN113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DN30" i="2" a="1"/>
  <c r="DN30" i="2" s="1"/>
  <c r="DN86" i="2" a="1"/>
  <c r="DN86" i="2" s="1"/>
  <c r="FY34" i="2" a="1"/>
  <c r="FY34" i="2" s="1"/>
  <c r="DN114" i="2" a="1"/>
  <c r="DN114" i="2" s="1"/>
  <c r="FY79" i="2" a="1"/>
  <c r="FY79" i="2" s="1"/>
  <c r="DN103" i="2" a="1"/>
  <c r="DN103" i="2" s="1"/>
  <c r="FY143" i="2" a="1"/>
  <c r="FY143" i="2" s="1"/>
  <c r="DN164" i="2" a="1"/>
  <c r="DN164" i="2" s="1"/>
  <c r="DN137" i="2" a="1"/>
  <c r="DN137" i="2" s="1"/>
  <c r="FY78" i="2" a="1"/>
  <c r="FY78" i="2" s="1"/>
  <c r="CS105" i="2" a="1"/>
  <c r="CS105" i="2" s="1"/>
  <c r="FY110" i="2" a="1"/>
  <c r="FY110" i="2" s="1"/>
  <c r="DN133" i="2" a="1"/>
  <c r="DN133" i="2" s="1"/>
  <c r="DN45" i="2" a="1"/>
  <c r="DN45" i="2" s="1"/>
  <c r="DN55" i="2" a="1"/>
  <c r="DN55" i="2" s="1"/>
  <c r="DN80" i="2" a="1"/>
  <c r="DN80" i="2" s="1"/>
  <c r="FY42" i="2" a="1"/>
  <c r="FY42" i="2" s="1"/>
  <c r="AH199" i="2" a="1"/>
  <c r="AH199" i="2" s="1"/>
  <c r="DN150" i="2" a="1"/>
  <c r="DN150" i="2" s="1"/>
  <c r="DN25" i="2" a="1"/>
  <c r="DN25" i="2" s="1"/>
  <c r="DN155" i="2" a="1"/>
  <c r="DN155" i="2" s="1"/>
  <c r="DN56" i="2" a="1"/>
  <c r="DN56" i="2" s="1"/>
  <c r="FY72" i="2" a="1"/>
  <c r="FY72" i="2" s="1"/>
  <c r="FY111" i="2" a="1"/>
  <c r="FY111" i="2" s="1"/>
  <c r="FY66" i="2" a="1"/>
  <c r="FY66" i="2" s="1"/>
  <c r="FY90" i="2" a="1"/>
  <c r="FY90" i="2" s="1"/>
  <c r="DN167" i="2" a="1"/>
  <c r="DN167" i="2" s="1"/>
  <c r="DN29" i="2" a="1"/>
  <c r="DN29" i="2" s="1"/>
  <c r="FY109" i="2" a="1"/>
  <c r="FY109" i="2" s="1"/>
  <c r="FY86" i="2" a="1"/>
  <c r="FY86" i="2" s="1"/>
  <c r="FY159" i="2" a="1"/>
  <c r="FY159" i="2" s="1"/>
  <c r="DN115" i="2" a="1"/>
  <c r="DN115" i="2" s="1"/>
  <c r="FY149" i="2" a="1"/>
  <c r="FY149" i="2" s="1"/>
  <c r="FY191" i="2" a="1"/>
  <c r="FY191" i="2" s="1"/>
  <c r="DN187" i="2" a="1"/>
  <c r="DN187" i="2" s="1"/>
  <c r="CS137" i="2" a="1"/>
  <c r="CS137" i="2" s="1"/>
  <c r="FY165" i="2" a="1"/>
  <c r="FY165" i="2" s="1"/>
  <c r="CS72" i="2" a="1"/>
  <c r="CS72" i="2" s="1"/>
  <c r="CS134" i="2" a="1"/>
  <c r="CS134" i="2" s="1"/>
  <c r="DN110" i="2" a="1"/>
  <c r="DN110" i="2" s="1"/>
  <c r="CS185" i="2" a="1"/>
  <c r="CS185" i="2" s="1"/>
  <c r="FY196" i="2" a="1"/>
  <c r="FY196" i="2" s="1"/>
  <c r="AH166" i="2" a="1"/>
  <c r="AH166" i="2" s="1"/>
  <c r="DN192" i="2" a="1"/>
  <c r="DN192" i="2" s="1"/>
  <c r="DN184" i="2" a="1"/>
  <c r="DN184" i="2" s="1"/>
  <c r="AH92" i="2" a="1"/>
  <c r="AH92" i="2" s="1"/>
  <c r="FY73" i="2" a="1"/>
  <c r="FY73" i="2" s="1"/>
  <c r="FY120" i="2" a="1"/>
  <c r="FY12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EY203" i="2" s="1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DI203" i="2"/>
  <c r="CN203" i="2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Y26" i="2" l="1"/>
  <c r="CY200" i="2"/>
  <c r="CY103" i="2"/>
  <c r="CY134" i="2"/>
  <c r="CY138" i="2"/>
  <c r="CY196" i="2"/>
  <c r="CY175" i="2"/>
  <c r="CY80" i="2"/>
  <c r="CY33" i="2"/>
  <c r="CY24" i="2"/>
  <c r="CY43" i="2"/>
  <c r="CY168" i="2"/>
  <c r="CY157" i="2"/>
  <c r="CY56" i="2"/>
  <c r="CY77" i="2"/>
  <c r="CY37" i="2"/>
  <c r="CY201" i="2"/>
  <c r="CY83" i="2"/>
  <c r="CY9" i="2"/>
  <c r="CY113" i="2"/>
  <c r="CY172" i="2"/>
  <c r="CY93" i="2"/>
  <c r="CY42" i="2"/>
  <c r="CY132" i="2"/>
  <c r="CY174" i="2"/>
  <c r="CY102" i="2"/>
  <c r="CY116" i="2"/>
  <c r="CY59" i="2"/>
  <c r="CY96" i="2"/>
  <c r="CY82" i="2"/>
  <c r="CY111" i="2"/>
  <c r="CY66" i="2"/>
  <c r="CY112" i="2"/>
  <c r="CY192" i="2"/>
  <c r="CY39" i="2"/>
  <c r="CY25" i="2"/>
  <c r="CY73" i="2"/>
  <c r="CY117" i="2"/>
  <c r="CY29" i="2"/>
  <c r="CY28" i="2"/>
  <c r="CY166" i="2"/>
  <c r="CY182" i="2"/>
  <c r="CY203" i="2"/>
  <c r="CY190" i="2"/>
  <c r="CY162" i="2"/>
  <c r="CY16" i="2"/>
  <c r="CY67" i="2"/>
  <c r="CY35" i="2"/>
  <c r="CY199" i="2"/>
  <c r="CY131" i="2"/>
  <c r="CY104" i="2"/>
  <c r="CY20" i="2"/>
  <c r="CY150" i="2"/>
  <c r="CY15" i="2"/>
  <c r="CY194" i="2"/>
  <c r="CY119" i="2"/>
  <c r="CY158" i="2"/>
  <c r="CY109" i="2"/>
  <c r="CY145" i="2"/>
  <c r="CY198" i="2"/>
  <c r="CY3" i="2"/>
  <c r="C10" i="4" s="1"/>
  <c r="E10" i="4" s="1"/>
  <c r="F10" i="4" s="1"/>
  <c r="G10" i="4" s="1"/>
  <c r="L10" i="4" s="1"/>
  <c r="CY141" i="2"/>
  <c r="CY19" i="2"/>
  <c r="CY95" i="2"/>
  <c r="CY151" i="2"/>
  <c r="CY161" i="2"/>
  <c r="CY62" i="2"/>
  <c r="CY92" i="2"/>
  <c r="CY41" i="2"/>
  <c r="CY110" i="2"/>
  <c r="CY143" i="2"/>
  <c r="CY127" i="2"/>
  <c r="CY101" i="2"/>
  <c r="CY123" i="2"/>
  <c r="CY6" i="2"/>
  <c r="CY125" i="2"/>
  <c r="CY90" i="2"/>
  <c r="CY34" i="2"/>
  <c r="CY27" i="2"/>
  <c r="CY142" i="2"/>
  <c r="CY23" i="2"/>
  <c r="CY167" i="2"/>
  <c r="CY49" i="2"/>
  <c r="CY137" i="2"/>
  <c r="CY165" i="2"/>
  <c r="CY52" i="2"/>
  <c r="CY7" i="2"/>
  <c r="CY191" i="2"/>
  <c r="CY193" i="2"/>
  <c r="CY14" i="2"/>
  <c r="CY164" i="2"/>
  <c r="CY176" i="2"/>
  <c r="CY78" i="2"/>
  <c r="CY169" i="2"/>
  <c r="CY108" i="2"/>
  <c r="CY121" i="2"/>
  <c r="CY10" i="2"/>
  <c r="CY181" i="2"/>
  <c r="CY155" i="2"/>
  <c r="CY76" i="2"/>
  <c r="CY118" i="2"/>
  <c r="CY195" i="2"/>
  <c r="CY30" i="2"/>
  <c r="CY183" i="2"/>
  <c r="CY64" i="2"/>
  <c r="CY152" i="2"/>
  <c r="CY130" i="2"/>
  <c r="CY72" i="2"/>
  <c r="CY105" i="2"/>
  <c r="CY32" i="2"/>
  <c r="CY84" i="2"/>
  <c r="CY13" i="2"/>
  <c r="CY11" i="2"/>
  <c r="CY51" i="2"/>
  <c r="CY188" i="2"/>
  <c r="CY139" i="2"/>
  <c r="CY122" i="2"/>
  <c r="CY71" i="2"/>
  <c r="CY88" i="2"/>
  <c r="CY48" i="2"/>
  <c r="CY47" i="2"/>
  <c r="CY8" i="2"/>
  <c r="CY60" i="2"/>
  <c r="CY180" i="2"/>
  <c r="CY187" i="2"/>
  <c r="CY128" i="2"/>
  <c r="CY5" i="2"/>
  <c r="CY106" i="2"/>
  <c r="CY100" i="2"/>
  <c r="CY75" i="2"/>
  <c r="CY153" i="2"/>
  <c r="CY115" i="2"/>
  <c r="CY63" i="2"/>
  <c r="CY154" i="2"/>
  <c r="CY185" i="2"/>
  <c r="CY18" i="2"/>
  <c r="CY85" i="2"/>
  <c r="CY44" i="2"/>
  <c r="CY148" i="2"/>
  <c r="CY140" i="2"/>
  <c r="CY135" i="2"/>
  <c r="CY136" i="2"/>
  <c r="CY87" i="2"/>
  <c r="CY156" i="2"/>
  <c r="CY186" i="2"/>
  <c r="CY98" i="2"/>
  <c r="CY65" i="2"/>
  <c r="CY120" i="2"/>
  <c r="CY86" i="2"/>
  <c r="CY146" i="2"/>
  <c r="CY189" i="2"/>
  <c r="CY70" i="2"/>
  <c r="CY163" i="2"/>
  <c r="CY126" i="2"/>
  <c r="CY159" i="2"/>
  <c r="CY97" i="2"/>
  <c r="CY177" i="2"/>
  <c r="CY147" i="2"/>
  <c r="CY57" i="2"/>
  <c r="CY89" i="2"/>
  <c r="CY133" i="2"/>
  <c r="CY45" i="2"/>
  <c r="CY36" i="2"/>
  <c r="CY129" i="2"/>
  <c r="CY17" i="2"/>
  <c r="CY171" i="2"/>
  <c r="CY40" i="2"/>
  <c r="CY178" i="2"/>
  <c r="CY58" i="2"/>
  <c r="CY114" i="2"/>
  <c r="CY170" i="2"/>
  <c r="CY22" i="2"/>
  <c r="CY61" i="2"/>
  <c r="CY38" i="2"/>
  <c r="CY31" i="2"/>
  <c r="CY173" i="2"/>
  <c r="CY21" i="2"/>
  <c r="CY94" i="2"/>
  <c r="CY184" i="2"/>
  <c r="CY12" i="2"/>
  <c r="CY124" i="2"/>
  <c r="CY179" i="2"/>
  <c r="CY160" i="2"/>
  <c r="CY69" i="2"/>
  <c r="CY4" i="2"/>
  <c r="CY74" i="2"/>
  <c r="CY53" i="2"/>
  <c r="CY50" i="2"/>
  <c r="CY79" i="2"/>
  <c r="CY149" i="2"/>
  <c r="CY54" i="2"/>
  <c r="CY91" i="2"/>
  <c r="CY197" i="2"/>
  <c r="CY99" i="2"/>
  <c r="CY46" i="2"/>
  <c r="CY202" i="2"/>
  <c r="CY107" i="2"/>
  <c r="CY81" i="2"/>
  <c r="CY68" i="2"/>
  <c r="CY55" i="2"/>
  <c r="CY144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CD167" i="2" l="1"/>
  <c r="CD73" i="2"/>
  <c r="CD136" i="2"/>
  <c r="CD84" i="2"/>
  <c r="CD182" i="2"/>
  <c r="CD147" i="2"/>
  <c r="CD102" i="2"/>
  <c r="CD116" i="2"/>
  <c r="CD164" i="2"/>
  <c r="CD67" i="2"/>
  <c r="CD6" i="2"/>
  <c r="CD120" i="2"/>
  <c r="CD192" i="2"/>
  <c r="CD96" i="2"/>
  <c r="CD137" i="2"/>
  <c r="CD66" i="2"/>
  <c r="CD83" i="2"/>
  <c r="CD189" i="2"/>
  <c r="CD128" i="2"/>
  <c r="CD31" i="2"/>
  <c r="CD176" i="2"/>
  <c r="CD195" i="2"/>
  <c r="CD125" i="2"/>
  <c r="CD23" i="2"/>
  <c r="CD174" i="2"/>
  <c r="CD141" i="2"/>
  <c r="CD191" i="2"/>
  <c r="CD34" i="2"/>
  <c r="CD95" i="2"/>
  <c r="CD151" i="2"/>
  <c r="CD158" i="2"/>
  <c r="CD111" i="2"/>
  <c r="CD37" i="2"/>
  <c r="CD22" i="2"/>
  <c r="CD196" i="2"/>
  <c r="CD178" i="2"/>
  <c r="CD180" i="2"/>
  <c r="CD162" i="2"/>
  <c r="CD155" i="2"/>
  <c r="CD163" i="2"/>
  <c r="CD190" i="2"/>
  <c r="CD29" i="2"/>
  <c r="CD170" i="2"/>
  <c r="CD154" i="2"/>
  <c r="CD44" i="2"/>
  <c r="CD71" i="2"/>
  <c r="CD70" i="2"/>
  <c r="CD181" i="2"/>
  <c r="CD193" i="2"/>
  <c r="CD68" i="2"/>
  <c r="CD156" i="2"/>
  <c r="CD160" i="2"/>
  <c r="CD63" i="2"/>
  <c r="CD90" i="2"/>
  <c r="CD50" i="2"/>
  <c r="CD47" i="2"/>
  <c r="CD60" i="2"/>
  <c r="CD112" i="2"/>
  <c r="CD146" i="2"/>
  <c r="CD173" i="2"/>
  <c r="CD108" i="2"/>
  <c r="CD13" i="2"/>
  <c r="CD169" i="2"/>
  <c r="CD35" i="2"/>
  <c r="CD76" i="2"/>
  <c r="CD177" i="2"/>
  <c r="CD82" i="2"/>
  <c r="CD92" i="2"/>
  <c r="CD74" i="2"/>
  <c r="CD148" i="2"/>
  <c r="CD143" i="2"/>
  <c r="CD139" i="2"/>
  <c r="CD20" i="2"/>
  <c r="CD149" i="2"/>
  <c r="CD200" i="2"/>
  <c r="CD121" i="2"/>
  <c r="CD52" i="2"/>
  <c r="CD86" i="2"/>
  <c r="CD80" i="2"/>
  <c r="CD186" i="2"/>
  <c r="CD115" i="2"/>
  <c r="CD85" i="2"/>
  <c r="CD117" i="2"/>
  <c r="CD14" i="2"/>
  <c r="CD144" i="2"/>
  <c r="CD21" i="2"/>
  <c r="CD107" i="2"/>
  <c r="CD39" i="2"/>
  <c r="CD49" i="2"/>
  <c r="CD30" i="2"/>
  <c r="CD40" i="2"/>
  <c r="CD203" i="2"/>
  <c r="CD113" i="2"/>
  <c r="CD11" i="2"/>
  <c r="CD36" i="2"/>
  <c r="CD104" i="2"/>
  <c r="CD38" i="2"/>
  <c r="CD130" i="2"/>
  <c r="CD16" i="2"/>
  <c r="CD123" i="2"/>
  <c r="CD201" i="2"/>
  <c r="CD109" i="2"/>
  <c r="CD87" i="2"/>
  <c r="CD69" i="2"/>
  <c r="CD33" i="2"/>
  <c r="CD175" i="2"/>
  <c r="CD5" i="2"/>
  <c r="CD122" i="2"/>
  <c r="CD129" i="2"/>
  <c r="CD98" i="2"/>
  <c r="CD8" i="2"/>
  <c r="CD27" i="2"/>
  <c r="CD48" i="2"/>
  <c r="CD78" i="2"/>
  <c r="CD42" i="2"/>
  <c r="CD56" i="2"/>
  <c r="CD187" i="2"/>
  <c r="CD165" i="2"/>
  <c r="CD75" i="2"/>
  <c r="CD7" i="2"/>
  <c r="CD197" i="2"/>
  <c r="CD105" i="2"/>
  <c r="CD10" i="2"/>
  <c r="CD64" i="2"/>
  <c r="CD15" i="2"/>
  <c r="CD18" i="2"/>
  <c r="CD198" i="2"/>
  <c r="CD72" i="2"/>
  <c r="CD12" i="2"/>
  <c r="CD131" i="2"/>
  <c r="CD54" i="2"/>
  <c r="CD168" i="2"/>
  <c r="CD89" i="2"/>
  <c r="CD100" i="2"/>
  <c r="CD81" i="2"/>
  <c r="CD99" i="2"/>
  <c r="CD45" i="2"/>
  <c r="CD61" i="2"/>
  <c r="CD26" i="2"/>
  <c r="CD97" i="2"/>
  <c r="CD124" i="2"/>
  <c r="CD183" i="2"/>
  <c r="CD161" i="2"/>
  <c r="CD65" i="2"/>
  <c r="CD62" i="2"/>
  <c r="CD101" i="2"/>
  <c r="CD24" i="2"/>
  <c r="CD135" i="2"/>
  <c r="CD127" i="2"/>
  <c r="CD77" i="2"/>
  <c r="CD46" i="2"/>
  <c r="CD88" i="2"/>
  <c r="CD28" i="2"/>
  <c r="CD110" i="2"/>
  <c r="CD172" i="2"/>
  <c r="CD55" i="2"/>
  <c r="CD157" i="2"/>
  <c r="CD199" i="2"/>
  <c r="CD93" i="2"/>
  <c r="CD171" i="2"/>
  <c r="CD9" i="2"/>
  <c r="CD25" i="2"/>
  <c r="CD150" i="2"/>
  <c r="CD185" i="2"/>
  <c r="CD3" i="2"/>
  <c r="C9" i="4" s="1"/>
  <c r="E9" i="4" s="1"/>
  <c r="F9" i="4" s="1"/>
  <c r="G9" i="4" s="1"/>
  <c r="L9" i="4" s="1"/>
  <c r="CD53" i="2"/>
  <c r="CD4" i="2"/>
  <c r="CD133" i="2"/>
  <c r="CD202" i="2"/>
  <c r="CD94" i="2"/>
  <c r="CD118" i="2"/>
  <c r="CD166" i="2"/>
  <c r="CD153" i="2"/>
  <c r="CD106" i="2"/>
  <c r="CD188" i="2"/>
  <c r="CD19" i="2"/>
  <c r="CD184" i="2"/>
  <c r="CD119" i="2"/>
  <c r="CD59" i="2"/>
  <c r="CD126" i="2"/>
  <c r="CD142" i="2"/>
  <c r="CD152" i="2"/>
  <c r="CD159" i="2"/>
  <c r="CD57" i="2"/>
  <c r="CD138" i="2"/>
  <c r="CD51" i="2"/>
  <c r="CD134" i="2"/>
  <c r="CD140" i="2"/>
  <c r="CD79" i="2"/>
  <c r="CD179" i="2"/>
  <c r="CD114" i="2"/>
  <c r="CD58" i="2"/>
  <c r="CD43" i="2"/>
  <c r="CD103" i="2"/>
  <c r="CD145" i="2"/>
  <c r="CD91" i="2"/>
  <c r="CD41" i="2"/>
  <c r="CD132" i="2"/>
  <c r="CD32" i="2"/>
  <c r="CD17" i="2"/>
  <c r="CD194" i="2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52" i="2" l="1"/>
  <c r="BI47" i="2"/>
  <c r="BI117" i="2"/>
  <c r="BI26" i="2"/>
  <c r="BI79" i="2"/>
  <c r="BI129" i="2"/>
  <c r="BI149" i="2"/>
  <c r="BI94" i="2"/>
  <c r="BI130" i="2"/>
  <c r="BI48" i="2"/>
  <c r="BI39" i="2"/>
  <c r="BI4" i="2"/>
  <c r="BI52" i="2"/>
  <c r="BI10" i="2"/>
  <c r="BI68" i="2"/>
  <c r="BI179" i="2"/>
  <c r="BI16" i="2"/>
  <c r="BI96" i="2"/>
  <c r="BI21" i="2"/>
  <c r="BI61" i="2"/>
  <c r="BI132" i="2"/>
  <c r="BI137" i="2"/>
  <c r="BI193" i="2"/>
  <c r="BI164" i="2"/>
  <c r="BI33" i="2"/>
  <c r="BI106" i="2"/>
  <c r="BI97" i="2"/>
  <c r="BI17" i="2"/>
  <c r="BI41" i="2"/>
  <c r="BI20" i="2"/>
  <c r="BI135" i="2"/>
  <c r="BI189" i="2"/>
  <c r="BI98" i="2"/>
  <c r="BI29" i="2"/>
  <c r="BI172" i="2"/>
  <c r="BI157" i="2"/>
  <c r="BI196" i="2"/>
  <c r="BI30" i="2"/>
  <c r="BI168" i="2"/>
  <c r="BI84" i="2"/>
  <c r="BI44" i="2"/>
  <c r="BI11" i="2"/>
  <c r="BI201" i="2"/>
  <c r="BI86" i="2"/>
  <c r="BI191" i="2"/>
  <c r="BI113" i="2"/>
  <c r="BI105" i="2"/>
  <c r="BI7" i="2"/>
  <c r="BI58" i="2"/>
  <c r="BI159" i="2"/>
  <c r="BI199" i="2"/>
  <c r="BI74" i="2"/>
  <c r="BI12" i="2"/>
  <c r="BI144" i="2"/>
  <c r="BI112" i="2"/>
  <c r="BI76" i="2"/>
  <c r="BI146" i="2"/>
  <c r="BI77" i="2"/>
  <c r="BI64" i="2"/>
  <c r="BI120" i="2"/>
  <c r="BI162" i="2"/>
  <c r="BI114" i="2"/>
  <c r="BI100" i="2"/>
  <c r="BI192" i="2"/>
  <c r="BI131" i="2"/>
  <c r="BI69" i="2"/>
  <c r="BI177" i="2"/>
  <c r="BI56" i="2"/>
  <c r="BI103" i="2"/>
  <c r="BI90" i="2"/>
  <c r="BI82" i="2"/>
  <c r="BI141" i="2"/>
  <c r="BI136" i="2"/>
  <c r="BI62" i="2"/>
  <c r="BI99" i="2"/>
  <c r="BI154" i="2"/>
  <c r="BI87" i="2"/>
  <c r="BI125" i="2"/>
  <c r="BI50" i="2"/>
  <c r="BI88" i="2"/>
  <c r="BI151" i="2"/>
  <c r="BI63" i="2"/>
  <c r="BI186" i="2"/>
  <c r="BI53" i="2"/>
  <c r="BI147" i="2"/>
  <c r="BI36" i="2"/>
  <c r="BI134" i="2"/>
  <c r="BI161" i="2"/>
  <c r="BI95" i="2"/>
  <c r="BI167" i="2"/>
  <c r="BI37" i="2"/>
  <c r="BI163" i="2"/>
  <c r="BI23" i="2"/>
  <c r="BI59" i="2"/>
  <c r="BI57" i="2"/>
  <c r="BI116" i="2"/>
  <c r="BI34" i="2"/>
  <c r="BI109" i="2"/>
  <c r="BI73" i="2"/>
  <c r="BI170" i="2"/>
  <c r="BI123" i="2"/>
  <c r="BI35" i="2"/>
  <c r="BI9" i="2"/>
  <c r="BI72" i="2"/>
  <c r="BI181" i="2"/>
  <c r="BI15" i="2"/>
  <c r="BI38" i="2"/>
  <c r="BI128" i="2"/>
  <c r="BI85" i="2"/>
  <c r="BI5" i="2"/>
  <c r="BI71" i="2"/>
  <c r="BI176" i="2"/>
  <c r="BI175" i="2"/>
  <c r="BI127" i="2"/>
  <c r="BI27" i="2"/>
  <c r="BI45" i="2"/>
  <c r="BI115" i="2"/>
  <c r="BI32" i="2"/>
  <c r="BI158" i="2"/>
  <c r="BI160" i="2"/>
  <c r="BI18" i="2"/>
  <c r="BI178" i="2"/>
  <c r="BI200" i="2"/>
  <c r="BI124" i="2"/>
  <c r="BI133" i="2"/>
  <c r="BI55" i="2"/>
  <c r="BI150" i="2"/>
  <c r="BI143" i="2"/>
  <c r="BI183" i="2"/>
  <c r="BI111" i="2"/>
  <c r="BI51" i="2"/>
  <c r="BI54" i="2"/>
  <c r="BI70" i="2"/>
  <c r="BI42" i="2"/>
  <c r="BI198" i="2"/>
  <c r="BI166" i="2"/>
  <c r="BI108" i="2"/>
  <c r="BI140" i="2"/>
  <c r="BI43" i="2"/>
  <c r="BI155" i="2"/>
  <c r="BI65" i="2"/>
  <c r="BI139" i="2"/>
  <c r="BI22" i="2"/>
  <c r="BI122" i="2"/>
  <c r="BI121" i="2"/>
  <c r="BI46" i="2"/>
  <c r="BI107" i="2"/>
  <c r="BI92" i="2"/>
  <c r="BI142" i="2"/>
  <c r="BI3" i="2"/>
  <c r="C8" i="4" s="1"/>
  <c r="E8" i="4" s="1"/>
  <c r="F8" i="4" s="1"/>
  <c r="G8" i="4" s="1"/>
  <c r="L8" i="4" s="1"/>
  <c r="BI180" i="2"/>
  <c r="BI40" i="2"/>
  <c r="BI93" i="2"/>
  <c r="BI156" i="2"/>
  <c r="BI197" i="2"/>
  <c r="BI66" i="2"/>
  <c r="BI14" i="2"/>
  <c r="BI110" i="2"/>
  <c r="BI148" i="2"/>
  <c r="BI126" i="2"/>
  <c r="BI101" i="2"/>
  <c r="BI67" i="2"/>
  <c r="BI104" i="2"/>
  <c r="BI145" i="2"/>
  <c r="BI190" i="2"/>
  <c r="BI202" i="2"/>
  <c r="BI25" i="2"/>
  <c r="BI182" i="2"/>
  <c r="BI195" i="2"/>
  <c r="BI171" i="2"/>
  <c r="BI91" i="2"/>
  <c r="BI169" i="2"/>
  <c r="BI118" i="2"/>
  <c r="BI203" i="2"/>
  <c r="BI31" i="2"/>
  <c r="BI6" i="2"/>
  <c r="BI24" i="2"/>
  <c r="BI75" i="2"/>
  <c r="BI28" i="2"/>
  <c r="BI187" i="2"/>
  <c r="BI19" i="2"/>
  <c r="BI188" i="2"/>
  <c r="BI13" i="2"/>
  <c r="BI8" i="2"/>
  <c r="BI185" i="2"/>
  <c r="BI165" i="2"/>
  <c r="BI174" i="2"/>
  <c r="BI173" i="2"/>
  <c r="BI49" i="2"/>
  <c r="BI83" i="2"/>
  <c r="BI78" i="2"/>
  <c r="BI194" i="2"/>
  <c r="BI153" i="2"/>
  <c r="BI81" i="2"/>
  <c r="BI119" i="2"/>
  <c r="BI102" i="2"/>
  <c r="BI138" i="2"/>
  <c r="BI184" i="2"/>
  <c r="BI60" i="2"/>
  <c r="BI89" i="2"/>
  <c r="BI8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<sst xmlns="http://schemas.openxmlformats.org/spreadsheetml/2006/main" count="1169" uniqueCount="325">
  <si>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</si>
  <si>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</si>
  <si>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</si>
  <si>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</si>
  <si>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</si>
  <si>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</si>
  <si>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</si>
  <si>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</si>
  <si>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</si>
  <si>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</si>
  <si>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</si>
  <si>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</si>
  <si>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</si>
  <si>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</si>
  <si>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</si>
  <si>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</si>
  <si>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</si>
  <si>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</si>
  <si>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</si>
  <si>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Mélèze d'Europe</t>
  </si>
  <si>
    <t>Essence 3</t>
  </si>
  <si>
    <t>Chêne pubescent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</si>
  <si>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</si>
  <si>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</si>
  <si>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</si>
  <si>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</si>
  <si>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</si>
  <si>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</si>
  <si>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</si>
  <si>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</si>
  <si>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</si>
  <si>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</si>
  <si>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</si>
  <si>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</si>
  <si>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</si>
  <si>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</si>
  <si>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</si>
  <si>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</si>
  <si>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</si>
  <si>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</si>
  <si>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</si>
  <si>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</si>
  <si>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</si>
  <si>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</si>
  <si>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</si>
  <si>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</si>
  <si>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</si>
  <si>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</si>
  <si>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</si>
  <si>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</si>
  <si>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</si>
  <si>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</si>
  <si>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</si>
  <si>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</si>
  <si>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</si>
  <si>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</si>
  <si>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CR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</si>
  <si>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</si>
  <si>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</si>
  <si>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</si>
  <si>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</si>
  <si>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</si>
  <si>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</si>
  <si>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</si>
  <si>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</si>
  <si>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</si>
  <si>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</si>
  <si>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</si>
  <si>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</si>
  <si>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</si>
  <si>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</si>
  <si>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Epicéa de Sitka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</si>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</sst>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54" xfId="0" applyFont="1" applyFill="1" applyBorder="1" applyAlignment="1" applyProtection="1">
      <alignment horizontal="center"/>
      <protection locked="0" hidden="1"/>
    </xf>
    <xf numFmtId="0" fontId="9" fillId="21" borderId="54" xfId="0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/>
      <protection locked="0" hidden="1"/>
    </xf>
    <xf numFmtId="9" fontId="9" fillId="21" borderId="54" xfId="1" applyFont="1" applyFill="1" applyBorder="1" applyAlignment="1" applyProtection="1">
      <alignment horizontal="center" vertical="center"/>
      <protection locked="0" hidden="1"/>
    </xf>
    <xf numFmtId="0" fontId="9" fillId="21" borderId="54" xfId="0" applyFont="1" applyFill="1" applyBorder="1" applyAlignment="1" applyProtection="1">
      <alignment horizontal="center" vertical="center"/>
      <protection locked="0" hidden="1"/>
    </xf>
    <xf numFmtId="9" fontId="9" fillId="21" borderId="54" xfId="1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 vertical="center"/>
      <protection locked="0"/>
    </xf>
    <xf numFmtId="0" fontId="9" fillId="21" borderId="54" xfId="0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0.58953545646096461</c:v>
                </c:pt>
                <c:pt idx="2">
                  <c:v>0.26241922005711332</c:v>
                </c:pt>
                <c:pt idx="3">
                  <c:v>2.9714621485688064</c:v>
                </c:pt>
                <c:pt idx="4">
                  <c:v>8.2862705749171095</c:v>
                </c:pt>
                <c:pt idx="5">
                  <c:v>15.949283791614382</c:v>
                </c:pt>
                <c:pt idx="6">
                  <c:v>25.744686853540628</c:v>
                </c:pt>
                <c:pt idx="7">
                  <c:v>37.47372101639511</c:v>
                </c:pt>
                <c:pt idx="8">
                  <c:v>50.947030356481626</c:v>
                </c:pt>
                <c:pt idx="9">
                  <c:v>65.98122781273662</c:v>
                </c:pt>
                <c:pt idx="10">
                  <c:v>82.397049125160876</c:v>
                </c:pt>
                <c:pt idx="11">
                  <c:v>100.01824202511391</c:v>
                </c:pt>
                <c:pt idx="12">
                  <c:v>118.67084325389196</c:v>
                </c:pt>
                <c:pt idx="13">
                  <c:v>138.18267957981183</c:v>
                </c:pt>
                <c:pt idx="14">
                  <c:v>158.38300715079481</c:v>
                </c:pt>
                <c:pt idx="15">
                  <c:v>179.10224076684889</c:v>
                </c:pt>
                <c:pt idx="16">
                  <c:v>200.1717439783115</c:v>
                </c:pt>
                <c:pt idx="17">
                  <c:v>221.42366162690371</c:v>
                </c:pt>
                <c:pt idx="18">
                  <c:v>242.69078270909122</c:v>
                </c:pt>
                <c:pt idx="19">
                  <c:v>263.80642526364375</c:v>
                </c:pt>
                <c:pt idx="20">
                  <c:v>284.60433740007062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oklima1.sharepoint.com/sites/TeamOklima/Shared%20Documents/03%20-%20D&#233;veloppement/1%20-%20FORET/1%20-%20PROJETS/CAHOREAU%20Aur&#233;lien/Sarthe_72_Cong&#233;-sur-Orne_12ha%20(Aur&#233;lien%20CAHOREAU)/1.Dossier_en_cours/Doc_8_Calculateur_RE_OKLIMA_Aur&#233;lien%20CAHOREAU_Cong&#233;-sur-Orne_12ha.xlsx" TargetMode="External"/><Relationship Id="rId2" Type="http://schemas.microsoft.com/office/2019/04/relationships/externalLinkLongPath" Target="Doc_8_Calculateur_RE_OKLIMA_Aur&#233;lien%20CAHOREAU_Cong&#233;-sur-Orne_12ha.xlsx?FFC71575" TargetMode="External"/><Relationship Id="rId1" Type="http://schemas.openxmlformats.org/officeDocument/2006/relationships/externalLinkPath" Target="file:///\\FFC71575\Doc_8_Calculateur_RE_OKLIMA_Aur&#233;lien%20CAHOREAU_Cong&#233;-sur-Orne_12h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Lisez-moi"/>
      <sheetName val="CO2"/>
      <sheetName val="Financement"/>
      <sheetName val="Communes Francaises"/>
      <sheetName val="ECO"/>
      <sheetName val="&gt;"/>
      <sheetName val="Données projet"/>
      <sheetName val="Scénario référence"/>
      <sheetName val="Calculateur"/>
      <sheetName val="Paramètres"/>
      <sheetName val="REE"/>
      <sheetName val="VAN"/>
      <sheetName val="&gt;&gt;"/>
      <sheetName val="COUT"/>
      <sheetName val="Feuil2"/>
      <sheetName val="ESSENCES"/>
      <sheetName val="param"/>
    </sheetNames>
    <sheetDataSet>
      <sheetData sheetId="0" refreshError="1"/>
      <sheetData sheetId="1">
        <row r="34">
          <cell r="D34" t="str">
            <v>Peuplier Koster</v>
          </cell>
          <cell r="E3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I6" sqref="I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65" t="s">
        <v>0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2:13" ht="15" customHeight="1" x14ac:dyDescent="0.35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</row>
    <row r="14" spans="2:13" ht="15" customHeight="1" x14ac:dyDescent="0.3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</row>
    <row r="15" spans="2:13" ht="18.75" customHeight="1" x14ac:dyDescent="0.3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</row>
    <row r="16" spans="2:13" ht="18.75" customHeight="1" x14ac:dyDescent="0.3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</row>
    <row r="18" spans="2:13" ht="12" customHeight="1" x14ac:dyDescent="0.35">
      <c r="B18" s="265" t="s">
        <v>1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</row>
    <row r="19" spans="2:13" ht="12" customHeight="1" x14ac:dyDescent="0.3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2:13" ht="12" customHeight="1" x14ac:dyDescent="0.3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2:13" ht="12" customHeight="1" x14ac:dyDescent="0.35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  <row r="22" spans="2:13" ht="12" customHeight="1" x14ac:dyDescent="0.35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</row>
    <row r="23" spans="2:13" ht="12" customHeight="1" x14ac:dyDescent="0.3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  <row r="24" spans="2:13" ht="12" customHeight="1" x14ac:dyDescent="0.3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</row>
    <row r="25" spans="2:13" ht="12" customHeight="1" x14ac:dyDescent="0.3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</row>
    <row r="26" spans="2:13" ht="12" customHeight="1" x14ac:dyDescent="0.3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7" spans="2:13" ht="12" customHeight="1" x14ac:dyDescent="0.35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2:13" ht="12" customHeight="1" x14ac:dyDescent="0.35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2:13" ht="12" customHeight="1" x14ac:dyDescent="0.35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</row>
    <row r="30" spans="2:13" ht="12" customHeight="1" x14ac:dyDescent="0.35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</row>
    <row r="31" spans="2:13" ht="12" customHeight="1" x14ac:dyDescent="0.35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9" zoomScale="93" zoomScaleNormal="90" workbookViewId="0">
      <selection activeCell="G28" sqref="G28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6" t="s">
        <v>2</v>
      </c>
      <c r="D1" s="266"/>
      <c r="E1" s="26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1" t="s">
        <v>4</v>
      </c>
      <c r="C3" s="272"/>
      <c r="D3" s="272"/>
      <c r="E3" s="272"/>
      <c r="F3" s="273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6" t="s">
        <v>7</v>
      </c>
      <c r="B5" s="276"/>
      <c r="C5" s="24">
        <v>12.85</v>
      </c>
      <c r="D5" s="277" t="s">
        <v>8</v>
      </c>
      <c r="E5" s="278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5" t="s">
        <v>9</v>
      </c>
      <c r="B7" s="275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tr">
        <f>[1]CO2!D34</f>
        <v>Peuplier Koster</v>
      </c>
      <c r="C9" s="32">
        <f>[1]CO2!E34</f>
        <v>1</v>
      </c>
      <c r="D9" s="33">
        <f t="shared" ref="D9:D18" si="0">C9*$C$5</f>
        <v>12.85</v>
      </c>
      <c r="E9" s="34">
        <v>20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22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23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24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25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26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27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28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29</v>
      </c>
      <c r="C19" s="37">
        <f>SUM(C9:C18)</f>
        <v>1</v>
      </c>
      <c r="D19" s="38">
        <f>SUM(D9:D18)</f>
        <v>12.85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4" t="s">
        <v>30</v>
      </c>
      <c r="B22" s="27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31</v>
      </c>
      <c r="B24" s="42" t="s">
        <v>32</v>
      </c>
      <c r="C24" s="43">
        <v>0</v>
      </c>
      <c r="D24" s="44" t="s">
        <v>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34</v>
      </c>
      <c r="B25" s="42" t="s">
        <v>35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36</v>
      </c>
      <c r="B26" s="42" t="s">
        <v>37</v>
      </c>
      <c r="C26" s="43">
        <v>0.1</v>
      </c>
      <c r="D26" s="44" t="s">
        <v>38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39</v>
      </c>
      <c r="B27" s="42" t="s">
        <v>40</v>
      </c>
      <c r="C27" s="43">
        <v>0</v>
      </c>
      <c r="D27" s="44" t="s">
        <v>41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5" t="s">
        <v>42</v>
      </c>
      <c r="B30" s="275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Peuplier Koster</v>
      </c>
      <c r="D32" s="229" t="s">
        <v>43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44</v>
      </c>
      <c r="C34" s="267" t="s">
        <v>45</v>
      </c>
      <c r="D34" s="267"/>
      <c r="E34" s="268" t="s">
        <v>46</v>
      </c>
      <c r="F34" s="269"/>
      <c r="G34" s="269"/>
      <c r="H34" s="270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47</v>
      </c>
      <c r="B35" s="36" t="s">
        <v>48</v>
      </c>
      <c r="C35" s="48" t="s">
        <v>49</v>
      </c>
      <c r="D35" s="48" t="s">
        <v>50</v>
      </c>
      <c r="E35" s="36" t="s">
        <v>51</v>
      </c>
      <c r="F35" s="36" t="s">
        <v>52</v>
      </c>
      <c r="G35" s="36" t="s">
        <v>53</v>
      </c>
      <c r="H35" s="36" t="s">
        <v>54</v>
      </c>
      <c r="I35" s="48" t="s">
        <v>55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2</v>
      </c>
      <c r="B36" s="60">
        <v>0.18435897435897397</v>
      </c>
      <c r="C36" s="60">
        <v>0</v>
      </c>
      <c r="D36" s="60">
        <v>0</v>
      </c>
      <c r="E36" s="51">
        <v>0</v>
      </c>
      <c r="F36" s="51">
        <v>0</v>
      </c>
      <c r="G36" s="51">
        <v>0</v>
      </c>
      <c r="H36" s="51">
        <v>0</v>
      </c>
      <c r="I36" s="49">
        <f>IFERROR(B36/A36,"")</f>
        <v>9.2179487179486985E-2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3</v>
      </c>
      <c r="B37" s="60">
        <v>2.31</v>
      </c>
      <c r="C37" s="60">
        <v>0</v>
      </c>
      <c r="D37" s="60">
        <v>0</v>
      </c>
      <c r="E37" s="51">
        <v>0</v>
      </c>
      <c r="F37" s="51">
        <v>0</v>
      </c>
      <c r="G37" s="51">
        <v>0</v>
      </c>
      <c r="H37" s="51">
        <v>0</v>
      </c>
      <c r="I37" s="53">
        <f t="shared" ref="I37:I55" si="1">IF(A37&lt;&gt;0,(B37-(B36-D36))/(A37-A36),"")</f>
        <v>2.1256410256410261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4</v>
      </c>
      <c r="B38" s="60">
        <v>6.6838461538461518</v>
      </c>
      <c r="C38" s="60">
        <v>0</v>
      </c>
      <c r="D38" s="60">
        <v>0</v>
      </c>
      <c r="E38" s="51">
        <v>0</v>
      </c>
      <c r="F38" s="51">
        <v>0</v>
      </c>
      <c r="G38" s="51">
        <v>0</v>
      </c>
      <c r="H38" s="51">
        <v>0</v>
      </c>
      <c r="I38" s="53">
        <f t="shared" si="1"/>
        <v>4.3738461538461522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5</v>
      </c>
      <c r="B39" s="60">
        <v>13.14935897435897</v>
      </c>
      <c r="C39" s="60">
        <v>0</v>
      </c>
      <c r="D39" s="60">
        <v>0</v>
      </c>
      <c r="E39" s="51">
        <v>0</v>
      </c>
      <c r="F39" s="51">
        <v>0</v>
      </c>
      <c r="G39" s="51">
        <v>0</v>
      </c>
      <c r="H39" s="51">
        <v>0</v>
      </c>
      <c r="I39" s="49">
        <f t="shared" si="1"/>
        <v>6.4655128205128181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6</v>
      </c>
      <c r="B40" s="60">
        <v>21.549999999999997</v>
      </c>
      <c r="C40" s="60">
        <v>0</v>
      </c>
      <c r="D40" s="60">
        <v>0</v>
      </c>
      <c r="E40" s="51">
        <v>0</v>
      </c>
      <c r="F40" s="51">
        <v>0</v>
      </c>
      <c r="G40" s="51">
        <v>0</v>
      </c>
      <c r="H40" s="51">
        <v>0</v>
      </c>
      <c r="I40" s="49">
        <f t="shared" si="1"/>
        <v>8.4006410256410273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7</v>
      </c>
      <c r="B41" s="60">
        <v>31.729230769230764</v>
      </c>
      <c r="C41" s="60">
        <v>0</v>
      </c>
      <c r="D41" s="60">
        <v>0</v>
      </c>
      <c r="E41" s="51">
        <v>0</v>
      </c>
      <c r="F41" s="51">
        <v>0</v>
      </c>
      <c r="G41" s="51">
        <v>0</v>
      </c>
      <c r="H41" s="51">
        <v>0</v>
      </c>
      <c r="I41" s="53">
        <f t="shared" si="1"/>
        <v>10.179230769230767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8</v>
      </c>
      <c r="B42" s="60">
        <v>43.530512820512811</v>
      </c>
      <c r="C42" s="60">
        <v>0</v>
      </c>
      <c r="D42" s="60">
        <v>0</v>
      </c>
      <c r="E42" s="51">
        <v>0</v>
      </c>
      <c r="F42" s="51">
        <v>0</v>
      </c>
      <c r="G42" s="51">
        <v>0</v>
      </c>
      <c r="H42" s="51">
        <v>0</v>
      </c>
      <c r="I42" s="53">
        <f t="shared" si="1"/>
        <v>11.801282051282048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9</v>
      </c>
      <c r="B43" s="60">
        <v>56.797307692307676</v>
      </c>
      <c r="C43" s="60">
        <v>0</v>
      </c>
      <c r="D43" s="60">
        <v>0</v>
      </c>
      <c r="E43" s="51">
        <v>0</v>
      </c>
      <c r="F43" s="51">
        <v>0</v>
      </c>
      <c r="G43" s="51">
        <v>0</v>
      </c>
      <c r="H43" s="51">
        <v>0</v>
      </c>
      <c r="I43" s="49">
        <f t="shared" si="1"/>
        <v>13.266794871794865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10</v>
      </c>
      <c r="B44" s="60">
        <v>71.373076923076894</v>
      </c>
      <c r="C44" s="60">
        <v>0</v>
      </c>
      <c r="D44" s="60">
        <v>0</v>
      </c>
      <c r="E44" s="51">
        <v>0</v>
      </c>
      <c r="F44" s="51">
        <v>0</v>
      </c>
      <c r="G44" s="51">
        <v>0</v>
      </c>
      <c r="H44" s="51">
        <v>0</v>
      </c>
      <c r="I44" s="49">
        <f t="shared" si="1"/>
        <v>14.575769230769218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>
        <v>11</v>
      </c>
      <c r="B45" s="60">
        <v>87.101282051282055</v>
      </c>
      <c r="C45" s="60">
        <v>0</v>
      </c>
      <c r="D45" s="60">
        <v>0</v>
      </c>
      <c r="E45" s="51">
        <v>0</v>
      </c>
      <c r="F45" s="51">
        <v>0</v>
      </c>
      <c r="G45" s="51">
        <v>0</v>
      </c>
      <c r="H45" s="51">
        <v>0</v>
      </c>
      <c r="I45" s="49">
        <f t="shared" si="1"/>
        <v>15.728205128205161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>
        <v>12</v>
      </c>
      <c r="B46" s="60">
        <v>103.82538461538462</v>
      </c>
      <c r="C46" s="60">
        <v>0</v>
      </c>
      <c r="D46" s="60">
        <v>0</v>
      </c>
      <c r="E46" s="51">
        <v>0</v>
      </c>
      <c r="F46" s="51">
        <v>0</v>
      </c>
      <c r="G46" s="51">
        <v>0</v>
      </c>
      <c r="H46" s="51">
        <v>0</v>
      </c>
      <c r="I46" s="49">
        <f t="shared" si="1"/>
        <v>16.724102564102566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>
        <v>13</v>
      </c>
      <c r="B47" s="60">
        <v>121.38884615384613</v>
      </c>
      <c r="C47" s="60">
        <v>0</v>
      </c>
      <c r="D47" s="60">
        <v>0</v>
      </c>
      <c r="E47" s="51">
        <v>0</v>
      </c>
      <c r="F47" s="51">
        <v>0</v>
      </c>
      <c r="G47" s="51">
        <v>0</v>
      </c>
      <c r="H47" s="51">
        <v>0</v>
      </c>
      <c r="I47" s="49">
        <f t="shared" si="1"/>
        <v>17.56346153846151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>
        <v>14</v>
      </c>
      <c r="B48" s="60">
        <v>139.63512820512813</v>
      </c>
      <c r="C48" s="60">
        <v>0</v>
      </c>
      <c r="D48" s="60">
        <v>0</v>
      </c>
      <c r="E48" s="51">
        <v>0</v>
      </c>
      <c r="F48" s="51">
        <v>0</v>
      </c>
      <c r="G48" s="51">
        <v>0</v>
      </c>
      <c r="H48" s="51">
        <v>0</v>
      </c>
      <c r="I48" s="49">
        <f t="shared" si="1"/>
        <v>18.246282051281995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>
        <v>15</v>
      </c>
      <c r="B49" s="60">
        <v>158.40769230769226</v>
      </c>
      <c r="C49" s="60">
        <v>0</v>
      </c>
      <c r="D49" s="60">
        <v>0</v>
      </c>
      <c r="E49" s="51">
        <v>0</v>
      </c>
      <c r="F49" s="51">
        <v>0</v>
      </c>
      <c r="G49" s="51">
        <v>0</v>
      </c>
      <c r="H49" s="51">
        <v>0</v>
      </c>
      <c r="I49" s="49">
        <f t="shared" si="1"/>
        <v>18.772564102564132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>
        <v>16</v>
      </c>
      <c r="B50" s="50">
        <v>177.54999999999995</v>
      </c>
      <c r="C50" s="50">
        <v>0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49">
        <f t="shared" si="1"/>
        <v>19.142307692307696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>
        <v>17</v>
      </c>
      <c r="B51" s="50">
        <v>196.90551282051274</v>
      </c>
      <c r="C51" s="50">
        <v>0</v>
      </c>
      <c r="D51" s="50">
        <v>0</v>
      </c>
      <c r="E51" s="51">
        <v>0</v>
      </c>
      <c r="F51" s="51">
        <v>0</v>
      </c>
      <c r="G51" s="51">
        <v>0</v>
      </c>
      <c r="H51" s="51">
        <v>0</v>
      </c>
      <c r="I51" s="49">
        <f t="shared" si="1"/>
        <v>19.355512820512786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>
        <v>18</v>
      </c>
      <c r="B52" s="50">
        <v>216.31769230769225</v>
      </c>
      <c r="C52" s="50">
        <v>0</v>
      </c>
      <c r="D52" s="50">
        <v>0</v>
      </c>
      <c r="E52" s="51">
        <v>0</v>
      </c>
      <c r="F52" s="51">
        <v>0</v>
      </c>
      <c r="G52" s="51">
        <v>0</v>
      </c>
      <c r="H52" s="51">
        <v>0</v>
      </c>
      <c r="I52" s="49">
        <f t="shared" si="1"/>
        <v>19.412179487179515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>
        <v>19</v>
      </c>
      <c r="B53" s="50">
        <v>235.63</v>
      </c>
      <c r="C53" s="50">
        <v>0</v>
      </c>
      <c r="D53" s="50">
        <v>0</v>
      </c>
      <c r="E53" s="51">
        <v>0</v>
      </c>
      <c r="F53" s="51">
        <v>0</v>
      </c>
      <c r="G53" s="51">
        <v>0</v>
      </c>
      <c r="H53" s="51">
        <v>0</v>
      </c>
      <c r="I53" s="49">
        <f t="shared" si="1"/>
        <v>19.312307692307741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>
        <v>20</v>
      </c>
      <c r="B54" s="50">
        <v>254.68589743589735</v>
      </c>
      <c r="C54" s="50" t="s">
        <v>56</v>
      </c>
      <c r="D54" s="50">
        <v>254.68589743589735</v>
      </c>
      <c r="E54" s="51">
        <v>0.7</v>
      </c>
      <c r="F54" s="51">
        <v>0.15</v>
      </c>
      <c r="G54" s="51">
        <v>0.15</v>
      </c>
      <c r="H54" s="51">
        <v>0</v>
      </c>
      <c r="I54" s="49">
        <f t="shared" si="1"/>
        <v>19.05589743589735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/>
      </c>
      <c r="D58" s="229" t="s">
        <v>43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44</v>
      </c>
      <c r="C60" s="267" t="s">
        <v>45</v>
      </c>
      <c r="D60" s="267"/>
      <c r="E60" s="268" t="s">
        <v>46</v>
      </c>
      <c r="F60" s="269"/>
      <c r="G60" s="269"/>
      <c r="H60" s="270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47</v>
      </c>
      <c r="B61" s="36" t="s">
        <v>48</v>
      </c>
      <c r="C61" s="48" t="s">
        <v>49</v>
      </c>
      <c r="D61" s="48" t="s">
        <v>50</v>
      </c>
      <c r="E61" s="36" t="s">
        <v>51</v>
      </c>
      <c r="F61" s="36" t="s">
        <v>52</v>
      </c>
      <c r="G61" s="36" t="s">
        <v>53</v>
      </c>
      <c r="H61" s="36" t="s">
        <v>54</v>
      </c>
      <c r="I61" s="48" t="s">
        <v>55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57"/>
      <c r="B62" s="258"/>
      <c r="C62" s="258"/>
      <c r="D62" s="258"/>
      <c r="E62" s="259"/>
      <c r="F62" s="259"/>
      <c r="G62" s="259"/>
      <c r="H62" s="259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57"/>
      <c r="B63" s="258"/>
      <c r="C63" s="258"/>
      <c r="D63" s="258"/>
      <c r="E63" s="259"/>
      <c r="F63" s="259"/>
      <c r="G63" s="259"/>
      <c r="H63" s="259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57"/>
      <c r="B64" s="258"/>
      <c r="C64" s="258"/>
      <c r="D64" s="258"/>
      <c r="E64" s="259"/>
      <c r="F64" s="259"/>
      <c r="G64" s="259"/>
      <c r="H64" s="259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57"/>
      <c r="B65" s="258"/>
      <c r="C65" s="258"/>
      <c r="D65" s="258"/>
      <c r="E65" s="259"/>
      <c r="F65" s="259"/>
      <c r="G65" s="259"/>
      <c r="H65" s="259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57"/>
      <c r="B66" s="258"/>
      <c r="C66" s="258"/>
      <c r="D66" s="258"/>
      <c r="E66" s="259"/>
      <c r="F66" s="259"/>
      <c r="G66" s="259"/>
      <c r="H66" s="259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57"/>
      <c r="B67" s="258"/>
      <c r="C67" s="258"/>
      <c r="D67" s="258"/>
      <c r="E67" s="260"/>
      <c r="F67" s="260"/>
      <c r="G67" s="260"/>
      <c r="H67" s="260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57"/>
      <c r="B68" s="258"/>
      <c r="C68" s="258"/>
      <c r="D68" s="258"/>
      <c r="E68" s="260"/>
      <c r="F68" s="260"/>
      <c r="G68" s="260"/>
      <c r="H68" s="260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/>
      <c r="B69" s="261"/>
      <c r="C69" s="261"/>
      <c r="D69" s="261"/>
      <c r="E69" s="260"/>
      <c r="F69" s="260"/>
      <c r="G69" s="260"/>
      <c r="H69" s="260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/>
      <c r="B70" s="261"/>
      <c r="C70" s="261"/>
      <c r="D70" s="261"/>
      <c r="E70" s="260"/>
      <c r="F70" s="260"/>
      <c r="G70" s="260"/>
      <c r="H70" s="260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 t="str">
        <f>IF(B11="","",B11)</f>
        <v/>
      </c>
      <c r="D84" s="229" t="s">
        <v>43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44</v>
      </c>
      <c r="C86" s="267" t="s">
        <v>45</v>
      </c>
      <c r="D86" s="267"/>
      <c r="E86" s="268" t="s">
        <v>46</v>
      </c>
      <c r="F86" s="269"/>
      <c r="G86" s="269"/>
      <c r="H86" s="27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47</v>
      </c>
      <c r="B87" s="36" t="s">
        <v>48</v>
      </c>
      <c r="C87" s="48" t="s">
        <v>49</v>
      </c>
      <c r="D87" s="48" t="s">
        <v>50</v>
      </c>
      <c r="E87" s="36" t="s">
        <v>51</v>
      </c>
      <c r="F87" s="36" t="s">
        <v>52</v>
      </c>
      <c r="G87" s="36" t="s">
        <v>53</v>
      </c>
      <c r="H87" s="36" t="s">
        <v>54</v>
      </c>
      <c r="I87" s="48" t="s">
        <v>55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57"/>
      <c r="B88" s="258"/>
      <c r="C88" s="258"/>
      <c r="D88" s="258"/>
      <c r="E88" s="259"/>
      <c r="F88" s="259"/>
      <c r="G88" s="259"/>
      <c r="H88" s="262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57"/>
      <c r="B89" s="258"/>
      <c r="C89" s="258"/>
      <c r="D89" s="258"/>
      <c r="E89" s="259"/>
      <c r="F89" s="259"/>
      <c r="G89" s="259"/>
      <c r="H89" s="262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57"/>
      <c r="B90" s="258"/>
      <c r="C90" s="258"/>
      <c r="D90" s="258"/>
      <c r="E90" s="262"/>
      <c r="F90" s="262"/>
      <c r="G90" s="262"/>
      <c r="H90" s="262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57"/>
      <c r="B91" s="258"/>
      <c r="C91" s="258"/>
      <c r="D91" s="258"/>
      <c r="E91" s="262"/>
      <c r="F91" s="262"/>
      <c r="G91" s="262"/>
      <c r="H91" s="262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57"/>
      <c r="B92" s="258"/>
      <c r="C92" s="258"/>
      <c r="D92" s="258"/>
      <c r="E92" s="262"/>
      <c r="F92" s="262"/>
      <c r="G92" s="262"/>
      <c r="H92" s="262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57"/>
      <c r="B93" s="258"/>
      <c r="C93" s="258"/>
      <c r="D93" s="258"/>
      <c r="E93" s="263"/>
      <c r="F93" s="263"/>
      <c r="G93" s="263"/>
      <c r="H93" s="263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57"/>
      <c r="B94" s="258"/>
      <c r="C94" s="258"/>
      <c r="D94" s="258"/>
      <c r="E94" s="263"/>
      <c r="F94" s="263"/>
      <c r="G94" s="263"/>
      <c r="H94" s="263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22</v>
      </c>
      <c r="B110" s="52" t="str">
        <f>IF(B12="","",B12)</f>
        <v/>
      </c>
      <c r="D110" s="229" t="s">
        <v>43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44</v>
      </c>
      <c r="C112" s="267" t="s">
        <v>45</v>
      </c>
      <c r="D112" s="267"/>
      <c r="E112" s="268" t="s">
        <v>46</v>
      </c>
      <c r="F112" s="269"/>
      <c r="G112" s="269"/>
      <c r="H112" s="27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47</v>
      </c>
      <c r="B113" s="36" t="s">
        <v>48</v>
      </c>
      <c r="C113" s="48" t="s">
        <v>49</v>
      </c>
      <c r="D113" s="48" t="s">
        <v>50</v>
      </c>
      <c r="E113" s="36" t="s">
        <v>51</v>
      </c>
      <c r="F113" s="36" t="s">
        <v>52</v>
      </c>
      <c r="G113" s="36" t="s">
        <v>53</v>
      </c>
      <c r="H113" s="36" t="s">
        <v>54</v>
      </c>
      <c r="I113" s="48" t="s">
        <v>55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57"/>
      <c r="B114" s="258"/>
      <c r="C114" s="257"/>
      <c r="D114" s="258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57"/>
      <c r="B115" s="258"/>
      <c r="C115" s="257"/>
      <c r="D115" s="258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57"/>
      <c r="B116" s="258"/>
      <c r="C116" s="257"/>
      <c r="D116" s="258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57"/>
      <c r="B117" s="258"/>
      <c r="C117" s="257"/>
      <c r="D117" s="258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57"/>
      <c r="B118" s="258"/>
      <c r="C118" s="257"/>
      <c r="D118" s="258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57"/>
      <c r="B119" s="258"/>
      <c r="C119" s="257"/>
      <c r="D119" s="258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58"/>
      <c r="B120" s="258"/>
      <c r="C120" s="258"/>
      <c r="D120" s="258"/>
      <c r="E120" s="263"/>
      <c r="F120" s="263"/>
      <c r="G120" s="263"/>
      <c r="H120" s="263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4"/>
      <c r="B121" s="264"/>
      <c r="C121" s="264"/>
      <c r="D121" s="264"/>
      <c r="E121" s="263"/>
      <c r="F121" s="263"/>
      <c r="G121" s="263"/>
      <c r="H121" s="263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4"/>
      <c r="B122" s="264"/>
      <c r="C122" s="264"/>
      <c r="D122" s="264"/>
      <c r="E122" s="263"/>
      <c r="F122" s="263"/>
      <c r="G122" s="263"/>
      <c r="H122" s="263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23</v>
      </c>
      <c r="B136" s="52" t="str">
        <f>IF(B13="","",B13)</f>
        <v/>
      </c>
      <c r="D136" s="229" t="s">
        <v>43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44</v>
      </c>
      <c r="C138" s="267" t="s">
        <v>45</v>
      </c>
      <c r="D138" s="267"/>
      <c r="E138" s="268" t="s">
        <v>46</v>
      </c>
      <c r="F138" s="269"/>
      <c r="G138" s="269"/>
      <c r="H138" s="27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47</v>
      </c>
      <c r="B139" s="36" t="s">
        <v>48</v>
      </c>
      <c r="C139" s="48" t="s">
        <v>49</v>
      </c>
      <c r="D139" s="48" t="s">
        <v>50</v>
      </c>
      <c r="E139" s="36" t="s">
        <v>51</v>
      </c>
      <c r="F139" s="36" t="s">
        <v>52</v>
      </c>
      <c r="G139" s="36" t="s">
        <v>53</v>
      </c>
      <c r="H139" s="36" t="s">
        <v>54</v>
      </c>
      <c r="I139" s="48" t="s">
        <v>55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257"/>
      <c r="B140" s="258"/>
      <c r="C140" s="257"/>
      <c r="D140" s="258"/>
      <c r="E140" s="259"/>
      <c r="F140" s="259"/>
      <c r="G140" s="259"/>
      <c r="H140" s="259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257"/>
      <c r="B141" s="258"/>
      <c r="C141" s="257"/>
      <c r="D141" s="258"/>
      <c r="E141" s="259"/>
      <c r="F141" s="259"/>
      <c r="G141" s="259"/>
      <c r="H141" s="259"/>
      <c r="I141" s="57" t="str">
        <f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257"/>
      <c r="B142" s="258"/>
      <c r="C142" s="257"/>
      <c r="D142" s="258"/>
      <c r="E142" s="259"/>
      <c r="F142" s="259"/>
      <c r="G142" s="259"/>
      <c r="H142" s="259"/>
      <c r="I142" s="57" t="str">
        <f>IF(A142&lt;&gt;0,(B142-(B141-D141))/(A142-A141),"")</f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257"/>
      <c r="B143" s="258"/>
      <c r="C143" s="257"/>
      <c r="D143" s="258"/>
      <c r="E143" s="259"/>
      <c r="F143" s="259"/>
      <c r="G143" s="259"/>
      <c r="H143" s="259"/>
      <c r="I143" s="57" t="str">
        <f t="shared" ref="I143:I159" si="5">IF(A143&lt;&gt;0,(B143-(B142-D142))/(A143-A142),"")</f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257"/>
      <c r="B144" s="258"/>
      <c r="C144" s="257"/>
      <c r="D144" s="258"/>
      <c r="E144" s="259"/>
      <c r="F144" s="259"/>
      <c r="G144" s="259"/>
      <c r="H144" s="259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24</v>
      </c>
      <c r="B162" s="52" t="str">
        <f>IF(B14="","",B14)</f>
        <v/>
      </c>
      <c r="D162" s="229" t="s">
        <v>43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44</v>
      </c>
      <c r="C164" s="267" t="s">
        <v>45</v>
      </c>
      <c r="D164" s="267"/>
      <c r="E164" s="268" t="s">
        <v>46</v>
      </c>
      <c r="F164" s="269"/>
      <c r="G164" s="269"/>
      <c r="H164" s="27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47</v>
      </c>
      <c r="B165" s="36" t="s">
        <v>48</v>
      </c>
      <c r="C165" s="48" t="s">
        <v>49</v>
      </c>
      <c r="D165" s="48" t="s">
        <v>50</v>
      </c>
      <c r="E165" s="36" t="s">
        <v>51</v>
      </c>
      <c r="F165" s="36" t="s">
        <v>52</v>
      </c>
      <c r="G165" s="36" t="s">
        <v>53</v>
      </c>
      <c r="H165" s="36" t="s">
        <v>54</v>
      </c>
      <c r="I165" s="48" t="s">
        <v>55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25</v>
      </c>
      <c r="B188" s="52" t="str">
        <f>IF(B15="","",B15)</f>
        <v/>
      </c>
      <c r="D188" s="229" t="s">
        <v>43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44</v>
      </c>
      <c r="C190" s="267" t="s">
        <v>45</v>
      </c>
      <c r="D190" s="267"/>
      <c r="E190" s="268" t="s">
        <v>46</v>
      </c>
      <c r="F190" s="269"/>
      <c r="G190" s="269"/>
      <c r="H190" s="27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47</v>
      </c>
      <c r="B191" s="36" t="s">
        <v>48</v>
      </c>
      <c r="C191" s="48" t="s">
        <v>49</v>
      </c>
      <c r="D191" s="48" t="s">
        <v>50</v>
      </c>
      <c r="E191" s="36" t="s">
        <v>51</v>
      </c>
      <c r="F191" s="36" t="s">
        <v>52</v>
      </c>
      <c r="G191" s="36" t="s">
        <v>53</v>
      </c>
      <c r="H191" s="36" t="s">
        <v>54</v>
      </c>
      <c r="I191" s="48" t="s">
        <v>55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26</v>
      </c>
      <c r="B214" s="52" t="str">
        <f>IF(B16="","",B16)</f>
        <v/>
      </c>
      <c r="D214" s="229" t="s">
        <v>43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44</v>
      </c>
      <c r="C216" s="267" t="s">
        <v>45</v>
      </c>
      <c r="D216" s="267"/>
      <c r="E216" s="268" t="s">
        <v>46</v>
      </c>
      <c r="F216" s="269"/>
      <c r="G216" s="269"/>
      <c r="H216" s="27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47</v>
      </c>
      <c r="B217" s="36" t="s">
        <v>48</v>
      </c>
      <c r="C217" s="48" t="s">
        <v>49</v>
      </c>
      <c r="D217" s="48" t="s">
        <v>50</v>
      </c>
      <c r="E217" s="36" t="s">
        <v>51</v>
      </c>
      <c r="F217" s="36" t="s">
        <v>52</v>
      </c>
      <c r="G217" s="36" t="s">
        <v>53</v>
      </c>
      <c r="H217" s="36" t="s">
        <v>54</v>
      </c>
      <c r="I217" s="48" t="s">
        <v>55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27</v>
      </c>
      <c r="B240" s="52" t="str">
        <f>IF(B17="","",B17)</f>
        <v/>
      </c>
      <c r="D240" s="229" t="s">
        <v>43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44</v>
      </c>
      <c r="C242" s="267" t="s">
        <v>45</v>
      </c>
      <c r="D242" s="267"/>
      <c r="E242" s="268" t="s">
        <v>46</v>
      </c>
      <c r="F242" s="269"/>
      <c r="G242" s="269"/>
      <c r="H242" s="27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47</v>
      </c>
      <c r="B243" s="36" t="s">
        <v>48</v>
      </c>
      <c r="C243" s="48" t="s">
        <v>49</v>
      </c>
      <c r="D243" s="48" t="s">
        <v>50</v>
      </c>
      <c r="E243" s="36" t="s">
        <v>51</v>
      </c>
      <c r="F243" s="36" t="s">
        <v>52</v>
      </c>
      <c r="G243" s="36" t="s">
        <v>53</v>
      </c>
      <c r="H243" s="36" t="s">
        <v>54</v>
      </c>
      <c r="I243" s="48" t="s">
        <v>55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28</v>
      </c>
      <c r="B266" s="52" t="str">
        <f>IF(B18="","",B18)</f>
        <v/>
      </c>
      <c r="D266" s="229" t="s">
        <v>43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44</v>
      </c>
      <c r="C268" s="267" t="s">
        <v>45</v>
      </c>
      <c r="D268" s="267"/>
      <c r="E268" s="268" t="s">
        <v>46</v>
      </c>
      <c r="F268" s="269"/>
      <c r="G268" s="269"/>
      <c r="H268" s="27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47</v>
      </c>
      <c r="B269" s="36" t="s">
        <v>48</v>
      </c>
      <c r="C269" s="48" t="s">
        <v>49</v>
      </c>
      <c r="D269" s="48" t="s">
        <v>50</v>
      </c>
      <c r="E269" s="36" t="s">
        <v>51</v>
      </c>
      <c r="F269" s="36" t="s">
        <v>52</v>
      </c>
      <c r="G269" s="36" t="s">
        <v>53</v>
      </c>
      <c r="H269" s="36" t="s">
        <v>54</v>
      </c>
      <c r="I269" s="48" t="s">
        <v>55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80" zoomScaleNormal="100" workbookViewId="0">
      <selection activeCell="G17" sqref="G17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0" t="s">
        <v>57</v>
      </c>
      <c r="C2" s="281"/>
      <c r="D2" s="281"/>
      <c r="E2" s="281"/>
      <c r="F2" s="281"/>
      <c r="G2" s="282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9"/>
      <c r="C4" s="279"/>
      <c r="D4" s="279"/>
      <c r="E4" s="279"/>
      <c r="F4" s="279"/>
      <c r="G4" s="279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58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59</v>
      </c>
      <c r="C7" s="100" t="s">
        <v>60</v>
      </c>
      <c r="D7" s="215"/>
      <c r="E7" s="101"/>
      <c r="F7" s="26" t="s">
        <v>59</v>
      </c>
      <c r="G7" s="100" t="s">
        <v>61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62</v>
      </c>
      <c r="D8" s="23"/>
      <c r="E8" s="105">
        <v>4</v>
      </c>
      <c r="F8" s="61">
        <v>0</v>
      </c>
      <c r="G8" s="102" t="s">
        <v>63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64</v>
      </c>
      <c r="D9" s="23"/>
      <c r="E9" s="105">
        <v>5</v>
      </c>
      <c r="F9" s="61">
        <v>0</v>
      </c>
      <c r="G9" s="103" t="s">
        <v>65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66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67</v>
      </c>
      <c r="D13" s="216"/>
      <c r="E13" s="99"/>
      <c r="F13" s="107"/>
      <c r="G13" s="98" t="s">
        <v>68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69</v>
      </c>
      <c r="D14" s="216"/>
      <c r="E14" s="99"/>
      <c r="F14" s="107"/>
      <c r="G14" s="98" t="s">
        <v>70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59</v>
      </c>
      <c r="C15" s="4"/>
      <c r="D15" s="23"/>
      <c r="E15" s="4"/>
      <c r="F15" s="4"/>
      <c r="G15" s="2" t="s">
        <v>207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72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1</v>
      </c>
      <c r="C17" s="110" t="s">
        <v>73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74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6" t="s">
        <v>75</v>
      </c>
      <c r="C1" s="287"/>
      <c r="D1" s="287"/>
      <c r="E1" s="287"/>
      <c r="F1" s="287"/>
      <c r="G1" s="287"/>
      <c r="H1" s="288"/>
      <c r="I1" s="283" t="str">
        <f>IF('Données projet'!$B$9="","",'Données projet'!$B$9)</f>
        <v>Peuplier Koster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5"/>
      <c r="AD1" s="284" t="str">
        <f>IF('Données projet'!$B$10="","",'Données projet'!$B$10)</f>
        <v/>
      </c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5"/>
      <c r="AY1" s="283" t="str">
        <f>IF('Données projet'!$B$11="","",'Données projet'!$B$11)</f>
        <v/>
      </c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5"/>
      <c r="BT1" s="283" t="str">
        <f>IF('Données projet'!$B$12="","",'Données projet'!$B$12)</f>
        <v/>
      </c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5"/>
      <c r="CO1" s="283" t="str">
        <f>IF('Données projet'!$B$13="","",'Données projet'!$B$13)</f>
        <v/>
      </c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5"/>
      <c r="DJ1" s="283" t="str">
        <f>IF('Données projet'!$B$14="","",'Données projet'!$B$14)</f>
        <v/>
      </c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5"/>
      <c r="EE1" s="283" t="str">
        <f>IF('Données projet'!$B$15="","",'Données projet'!$B$15)</f>
        <v/>
      </c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5"/>
      <c r="EZ1" s="283" t="str">
        <f>IF('Données projet'!$B$16="","",'Données projet'!$B$16)</f>
        <v/>
      </c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5"/>
      <c r="FU1" s="283" t="str">
        <f>IF('Données projet'!$B$17="","",'Données projet'!$B$17)</f>
        <v/>
      </c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5"/>
      <c r="GP1" s="283" t="str">
        <f>IF('Données projet'!$B$18="","",'Données projet'!$B$18)</f>
        <v/>
      </c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5"/>
    </row>
    <row r="2" spans="1:218" ht="58.5" thickBot="1" x14ac:dyDescent="0.4">
      <c r="A2" s="71" t="s">
        <v>76</v>
      </c>
      <c r="B2" s="72" t="s">
        <v>77</v>
      </c>
      <c r="C2" s="5" t="s">
        <v>78</v>
      </c>
      <c r="D2" s="5" t="s">
        <v>79</v>
      </c>
      <c r="E2" s="5" t="s">
        <v>80</v>
      </c>
      <c r="F2" s="5" t="s">
        <v>81</v>
      </c>
      <c r="G2" s="5" t="s">
        <v>82</v>
      </c>
      <c r="H2" s="66" t="s">
        <v>83</v>
      </c>
      <c r="I2" s="68" t="s">
        <v>80</v>
      </c>
      <c r="J2" s="69" t="s">
        <v>81</v>
      </c>
      <c r="K2" s="6" t="s">
        <v>84</v>
      </c>
      <c r="L2" s="6" t="s">
        <v>85</v>
      </c>
      <c r="M2" s="6" t="s">
        <v>85</v>
      </c>
      <c r="N2" s="6" t="s">
        <v>86</v>
      </c>
      <c r="O2" s="6" t="s">
        <v>87</v>
      </c>
      <c r="P2" s="6" t="s">
        <v>88</v>
      </c>
      <c r="Q2" s="6" t="s">
        <v>82</v>
      </c>
      <c r="R2" s="6" t="s">
        <v>89</v>
      </c>
      <c r="S2" s="6" t="s">
        <v>90</v>
      </c>
      <c r="T2" s="6" t="s">
        <v>91</v>
      </c>
      <c r="U2" s="7" t="s">
        <v>92</v>
      </c>
      <c r="V2" s="8" t="s">
        <v>93</v>
      </c>
      <c r="W2" s="7" t="s">
        <v>51</v>
      </c>
      <c r="X2" s="7" t="s">
        <v>52</v>
      </c>
      <c r="Y2" s="7" t="s">
        <v>94</v>
      </c>
      <c r="Z2" s="8" t="s">
        <v>95</v>
      </c>
      <c r="AA2" s="8" t="s">
        <v>96</v>
      </c>
      <c r="AB2" s="8" t="s">
        <v>97</v>
      </c>
      <c r="AC2" s="9" t="s">
        <v>98</v>
      </c>
      <c r="AD2" s="69" t="s">
        <v>80</v>
      </c>
      <c r="AE2" s="69" t="s">
        <v>81</v>
      </c>
      <c r="AF2" s="6" t="s">
        <v>84</v>
      </c>
      <c r="AG2" s="6" t="s">
        <v>85</v>
      </c>
      <c r="AH2" s="6" t="s">
        <v>85</v>
      </c>
      <c r="AI2" s="6" t="s">
        <v>86</v>
      </c>
      <c r="AJ2" s="6" t="s">
        <v>87</v>
      </c>
      <c r="AK2" s="6" t="s">
        <v>88</v>
      </c>
      <c r="AL2" s="6" t="s">
        <v>82</v>
      </c>
      <c r="AM2" s="6" t="s">
        <v>89</v>
      </c>
      <c r="AN2" s="6" t="s">
        <v>90</v>
      </c>
      <c r="AO2" s="6" t="s">
        <v>91</v>
      </c>
      <c r="AP2" s="7" t="s">
        <v>92</v>
      </c>
      <c r="AQ2" s="8" t="s">
        <v>93</v>
      </c>
      <c r="AR2" s="7" t="s">
        <v>51</v>
      </c>
      <c r="AS2" s="7" t="s">
        <v>52</v>
      </c>
      <c r="AT2" s="8" t="s">
        <v>99</v>
      </c>
      <c r="AU2" s="8" t="s">
        <v>95</v>
      </c>
      <c r="AV2" s="8" t="s">
        <v>96</v>
      </c>
      <c r="AW2" s="8" t="s">
        <v>97</v>
      </c>
      <c r="AX2" s="8" t="s">
        <v>98</v>
      </c>
      <c r="AY2" s="68" t="s">
        <v>80</v>
      </c>
      <c r="AZ2" s="69" t="s">
        <v>81</v>
      </c>
      <c r="BA2" s="6" t="s">
        <v>84</v>
      </c>
      <c r="BB2" s="6" t="s">
        <v>85</v>
      </c>
      <c r="BC2" s="6" t="s">
        <v>85</v>
      </c>
      <c r="BD2" s="6" t="s">
        <v>86</v>
      </c>
      <c r="BE2" s="6" t="s">
        <v>87</v>
      </c>
      <c r="BF2" s="6" t="s">
        <v>88</v>
      </c>
      <c r="BG2" s="6" t="s">
        <v>82</v>
      </c>
      <c r="BH2" s="6" t="s">
        <v>89</v>
      </c>
      <c r="BI2" s="6" t="s">
        <v>90</v>
      </c>
      <c r="BJ2" s="6" t="s">
        <v>91</v>
      </c>
      <c r="BK2" s="7" t="s">
        <v>92</v>
      </c>
      <c r="BL2" s="8" t="s">
        <v>93</v>
      </c>
      <c r="BM2" s="7" t="s">
        <v>51</v>
      </c>
      <c r="BN2" s="7" t="s">
        <v>52</v>
      </c>
      <c r="BO2" s="8" t="s">
        <v>99</v>
      </c>
      <c r="BP2" s="8" t="s">
        <v>95</v>
      </c>
      <c r="BQ2" s="8" t="s">
        <v>96</v>
      </c>
      <c r="BR2" s="8" t="s">
        <v>97</v>
      </c>
      <c r="BS2" s="9" t="s">
        <v>98</v>
      </c>
      <c r="BT2" s="68" t="s">
        <v>80</v>
      </c>
      <c r="BU2" s="69" t="s">
        <v>81</v>
      </c>
      <c r="BV2" s="6" t="s">
        <v>84</v>
      </c>
      <c r="BW2" s="6" t="s">
        <v>85</v>
      </c>
      <c r="BX2" s="6" t="s">
        <v>85</v>
      </c>
      <c r="BY2" s="6" t="s">
        <v>86</v>
      </c>
      <c r="BZ2" s="6" t="s">
        <v>87</v>
      </c>
      <c r="CA2" s="6" t="s">
        <v>88</v>
      </c>
      <c r="CB2" s="6" t="s">
        <v>82</v>
      </c>
      <c r="CC2" s="6" t="s">
        <v>89</v>
      </c>
      <c r="CD2" s="6" t="s">
        <v>90</v>
      </c>
      <c r="CE2" s="6" t="s">
        <v>91</v>
      </c>
      <c r="CF2" s="7" t="s">
        <v>92</v>
      </c>
      <c r="CG2" s="8" t="s">
        <v>93</v>
      </c>
      <c r="CH2" s="7" t="s">
        <v>51</v>
      </c>
      <c r="CI2" s="7" t="s">
        <v>52</v>
      </c>
      <c r="CJ2" s="8" t="s">
        <v>99</v>
      </c>
      <c r="CK2" s="8" t="s">
        <v>95</v>
      </c>
      <c r="CL2" s="8" t="s">
        <v>96</v>
      </c>
      <c r="CM2" s="8" t="s">
        <v>97</v>
      </c>
      <c r="CN2" s="9" t="s">
        <v>98</v>
      </c>
      <c r="CO2" s="68" t="s">
        <v>80</v>
      </c>
      <c r="CP2" s="69" t="s">
        <v>81</v>
      </c>
      <c r="CQ2" s="6" t="s">
        <v>84</v>
      </c>
      <c r="CR2" s="6" t="s">
        <v>85</v>
      </c>
      <c r="CS2" s="6" t="s">
        <v>85</v>
      </c>
      <c r="CT2" s="6" t="s">
        <v>86</v>
      </c>
      <c r="CU2" s="6" t="s">
        <v>87</v>
      </c>
      <c r="CV2" s="6" t="s">
        <v>88</v>
      </c>
      <c r="CW2" s="6" t="s">
        <v>82</v>
      </c>
      <c r="CX2" s="6" t="s">
        <v>89</v>
      </c>
      <c r="CY2" s="6" t="s">
        <v>90</v>
      </c>
      <c r="CZ2" s="6" t="s">
        <v>91</v>
      </c>
      <c r="DA2" s="7" t="s">
        <v>92</v>
      </c>
      <c r="DB2" s="8" t="s">
        <v>93</v>
      </c>
      <c r="DC2" s="7" t="s">
        <v>51</v>
      </c>
      <c r="DD2" s="7" t="s">
        <v>52</v>
      </c>
      <c r="DE2" s="8" t="s">
        <v>99</v>
      </c>
      <c r="DF2" s="8" t="s">
        <v>95</v>
      </c>
      <c r="DG2" s="8" t="s">
        <v>96</v>
      </c>
      <c r="DH2" s="8" t="s">
        <v>97</v>
      </c>
      <c r="DI2" s="9" t="s">
        <v>98</v>
      </c>
      <c r="DJ2" s="68" t="s">
        <v>80</v>
      </c>
      <c r="DK2" s="69" t="s">
        <v>81</v>
      </c>
      <c r="DL2" s="6" t="s">
        <v>84</v>
      </c>
      <c r="DM2" s="6" t="s">
        <v>85</v>
      </c>
      <c r="DN2" s="6" t="s">
        <v>85</v>
      </c>
      <c r="DO2" s="6" t="s">
        <v>86</v>
      </c>
      <c r="DP2" s="6" t="s">
        <v>87</v>
      </c>
      <c r="DQ2" s="6" t="s">
        <v>88</v>
      </c>
      <c r="DR2" s="6" t="s">
        <v>82</v>
      </c>
      <c r="DS2" s="6" t="s">
        <v>89</v>
      </c>
      <c r="DT2" s="6" t="s">
        <v>90</v>
      </c>
      <c r="DU2" s="6" t="s">
        <v>91</v>
      </c>
      <c r="DV2" s="7" t="s">
        <v>92</v>
      </c>
      <c r="DW2" s="8" t="s">
        <v>93</v>
      </c>
      <c r="DX2" s="7" t="s">
        <v>51</v>
      </c>
      <c r="DY2" s="7" t="s">
        <v>52</v>
      </c>
      <c r="DZ2" s="8" t="s">
        <v>99</v>
      </c>
      <c r="EA2" s="8" t="s">
        <v>95</v>
      </c>
      <c r="EB2" s="8" t="s">
        <v>96</v>
      </c>
      <c r="EC2" s="8" t="s">
        <v>97</v>
      </c>
      <c r="ED2" s="9" t="s">
        <v>98</v>
      </c>
      <c r="EE2" s="68" t="s">
        <v>80</v>
      </c>
      <c r="EF2" s="69" t="s">
        <v>81</v>
      </c>
      <c r="EG2" s="6" t="s">
        <v>84</v>
      </c>
      <c r="EH2" s="6" t="s">
        <v>85</v>
      </c>
      <c r="EI2" s="6" t="s">
        <v>85</v>
      </c>
      <c r="EJ2" s="6" t="s">
        <v>86</v>
      </c>
      <c r="EK2" s="6" t="s">
        <v>87</v>
      </c>
      <c r="EL2" s="6" t="s">
        <v>88</v>
      </c>
      <c r="EM2" s="6" t="s">
        <v>82</v>
      </c>
      <c r="EN2" s="6" t="s">
        <v>89</v>
      </c>
      <c r="EO2" s="6" t="s">
        <v>90</v>
      </c>
      <c r="EP2" s="6" t="s">
        <v>91</v>
      </c>
      <c r="EQ2" s="7" t="s">
        <v>92</v>
      </c>
      <c r="ER2" s="8" t="s">
        <v>93</v>
      </c>
      <c r="ES2" s="7" t="s">
        <v>51</v>
      </c>
      <c r="ET2" s="7" t="s">
        <v>52</v>
      </c>
      <c r="EU2" s="8" t="s">
        <v>99</v>
      </c>
      <c r="EV2" s="8" t="s">
        <v>95</v>
      </c>
      <c r="EW2" s="8" t="s">
        <v>96</v>
      </c>
      <c r="EX2" s="8" t="s">
        <v>97</v>
      </c>
      <c r="EY2" s="9" t="s">
        <v>98</v>
      </c>
      <c r="EZ2" s="68" t="s">
        <v>80</v>
      </c>
      <c r="FA2" s="69" t="s">
        <v>81</v>
      </c>
      <c r="FB2" s="6" t="s">
        <v>84</v>
      </c>
      <c r="FC2" s="6" t="s">
        <v>85</v>
      </c>
      <c r="FD2" s="6" t="s">
        <v>85</v>
      </c>
      <c r="FE2" s="6" t="s">
        <v>86</v>
      </c>
      <c r="FF2" s="6" t="s">
        <v>87</v>
      </c>
      <c r="FG2" s="6" t="s">
        <v>88</v>
      </c>
      <c r="FH2" s="6" t="s">
        <v>82</v>
      </c>
      <c r="FI2" s="6" t="s">
        <v>89</v>
      </c>
      <c r="FJ2" s="6" t="s">
        <v>90</v>
      </c>
      <c r="FK2" s="6" t="s">
        <v>91</v>
      </c>
      <c r="FL2" s="7" t="s">
        <v>92</v>
      </c>
      <c r="FM2" s="8" t="s">
        <v>93</v>
      </c>
      <c r="FN2" s="7" t="s">
        <v>51</v>
      </c>
      <c r="FO2" s="7" t="s">
        <v>52</v>
      </c>
      <c r="FP2" s="8" t="s">
        <v>100</v>
      </c>
      <c r="FQ2" s="8" t="s">
        <v>95</v>
      </c>
      <c r="FR2" s="8" t="s">
        <v>96</v>
      </c>
      <c r="FS2" s="8" t="s">
        <v>97</v>
      </c>
      <c r="FT2" s="9" t="s">
        <v>98</v>
      </c>
      <c r="FU2" s="68" t="s">
        <v>80</v>
      </c>
      <c r="FV2" s="69" t="s">
        <v>81</v>
      </c>
      <c r="FW2" s="6" t="s">
        <v>84</v>
      </c>
      <c r="FX2" s="6" t="s">
        <v>85</v>
      </c>
      <c r="FY2" s="6" t="s">
        <v>85</v>
      </c>
      <c r="FZ2" s="6" t="s">
        <v>86</v>
      </c>
      <c r="GA2" s="6" t="s">
        <v>87</v>
      </c>
      <c r="GB2" s="6" t="s">
        <v>88</v>
      </c>
      <c r="GC2" s="6" t="s">
        <v>82</v>
      </c>
      <c r="GD2" s="6" t="s">
        <v>89</v>
      </c>
      <c r="GE2" s="6" t="s">
        <v>90</v>
      </c>
      <c r="GF2" s="6" t="s">
        <v>91</v>
      </c>
      <c r="GG2" s="7" t="s">
        <v>92</v>
      </c>
      <c r="GH2" s="8" t="s">
        <v>93</v>
      </c>
      <c r="GI2" s="7" t="s">
        <v>51</v>
      </c>
      <c r="GJ2" s="7" t="s">
        <v>52</v>
      </c>
      <c r="GK2" s="8" t="s">
        <v>99</v>
      </c>
      <c r="GL2" s="8" t="s">
        <v>95</v>
      </c>
      <c r="GM2" s="8" t="s">
        <v>96</v>
      </c>
      <c r="GN2" s="8" t="s">
        <v>97</v>
      </c>
      <c r="GO2" s="8" t="s">
        <v>98</v>
      </c>
      <c r="GP2" s="68" t="s">
        <v>80</v>
      </c>
      <c r="GQ2" s="69" t="s">
        <v>81</v>
      </c>
      <c r="GR2" s="6" t="s">
        <v>84</v>
      </c>
      <c r="GS2" s="6" t="s">
        <v>85</v>
      </c>
      <c r="GT2" s="6" t="s">
        <v>85</v>
      </c>
      <c r="GU2" s="6" t="s">
        <v>86</v>
      </c>
      <c r="GV2" s="6" t="s">
        <v>87</v>
      </c>
      <c r="GW2" s="6" t="s">
        <v>88</v>
      </c>
      <c r="GX2" s="6" t="s">
        <v>82</v>
      </c>
      <c r="GY2" s="6" t="s">
        <v>89</v>
      </c>
      <c r="GZ2" s="6" t="s">
        <v>90</v>
      </c>
      <c r="HA2" s="6" t="s">
        <v>91</v>
      </c>
      <c r="HB2" s="7" t="s">
        <v>92</v>
      </c>
      <c r="HC2" s="8" t="s">
        <v>93</v>
      </c>
      <c r="HD2" s="7" t="s">
        <v>51</v>
      </c>
      <c r="HE2" s="7" t="s">
        <v>52</v>
      </c>
      <c r="HF2" s="8" t="s">
        <v>99</v>
      </c>
      <c r="HG2" s="8" t="s">
        <v>95</v>
      </c>
      <c r="HH2" s="8" t="s">
        <v>96</v>
      </c>
      <c r="HI2" s="8" t="s">
        <v>97</v>
      </c>
      <c r="HJ2" s="9" t="s">
        <v>98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116.87253889414677</v>
      </c>
      <c r="T3" s="59">
        <f>IF('Données projet'!E9&gt;30,$R$33-$H$33,LOOKUP('Données projet'!$E$9,$A$3:$A$203,R3:R203)-LOOKUP('Données projet'!$E$9,$A$3:$A$203,$H$3:$H$203))</f>
        <v>309.04878184451508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9.2179487179486985E-2</v>
      </c>
      <c r="N4" s="13">
        <f>IF('Données projet'!$A$36&gt;35,N3+M4-V3,IF(A4&lt;'Données projet'!$A$36,$K$205^A4,IF(A4='Données projet'!$A$36,'Données projet'!$B$36,N3+M4-V3)))</f>
        <v>0.42937043954955023</v>
      </c>
      <c r="O4" s="13">
        <f>N4*VLOOKUP('Données projet'!$B$9,Paramètres!$A$1:$I$89,3,0)*VLOOKUP('Données projet'!$B$9,Paramètres!$A$1:$I$89,5,0)</f>
        <v>0.21836063073731929</v>
      </c>
      <c r="P4" s="13">
        <f>EXP(-1.0587+0.8836*LN(O4)+0.284)</f>
        <v>0.12012862656084218</v>
      </c>
      <c r="Q4" s="20">
        <f t="shared" ref="Q4:Q34" si="2">(O4+P4)*0.475*44/12</f>
        <v>0.58953545646096461</v>
      </c>
      <c r="R4" s="59">
        <f t="shared" si="0"/>
        <v>258.47842434534982</v>
      </c>
      <c r="S4" s="59">
        <f ca="1">AVERAGE(OFFSET($R$3,0,0,'Données projet'!$E$9+1,1))-AVERAGE(OFFSET($H$3,0,0,'Données projet'!$E$9+1,1))</f>
        <v>116.87253889414677</v>
      </c>
      <c r="T4" s="59">
        <f>$T$3</f>
        <v>309.04878184451508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>
        <f>VLOOKUP(A5,'Données projet'!$A$35:$I$55,2,0)</f>
        <v>0.18435897435897397</v>
      </c>
      <c r="L5" s="12">
        <f>VLOOKUP(A5,'Données projet'!$A$35:$I$55,9,0)</f>
        <v>9.2179487179486985E-2</v>
      </c>
      <c r="M5" s="12">
        <f t="array" ref="M5">INDEX(L:L,MIN(IF(ISNUMBER(L5:L201),ROW(L5:L201),"")))</f>
        <v>9.2179487179486985E-2</v>
      </c>
      <c r="N5" s="13">
        <f>IF('Données projet'!$A$36&gt;35,N4+M5-V4,IF(A5&lt;'Données projet'!$A$36,$K$205^A5,IF(A5='Données projet'!$A$36,'Données projet'!$B$36,N4+M5-V4)))</f>
        <v>0.18435897435897397</v>
      </c>
      <c r="O5" s="13">
        <f>N5*VLOOKUP('Données projet'!$B$9,Paramètres!$A$1:$I$89,3,0)*VLOOKUP('Données projet'!$B$9,Paramètres!$A$1:$I$89,5,0)</f>
        <v>9.3757599999999816E-2</v>
      </c>
      <c r="P5" s="13">
        <f t="shared" ref="P5:P68" si="33">EXP(-1.0587+0.8836*LN(O5)+0.284)</f>
        <v>5.6913722520830795E-2</v>
      </c>
      <c r="Q5" s="20">
        <f t="shared" si="2"/>
        <v>0.26241922005711332</v>
      </c>
      <c r="R5" s="59">
        <f t="shared" si="0"/>
        <v>259.37353033116824</v>
      </c>
      <c r="S5" s="59">
        <f ca="1">AVERAGE(OFFSET($R$3,0,0,'Données projet'!$E$9+1,1))-AVERAGE(OFFSET($H$3,0,0,'Données projet'!$E$9+1,1))</f>
        <v>116.87253889414677</v>
      </c>
      <c r="T5" s="59">
        <f t="shared" ref="T5:T68" si="34">$T$3</f>
        <v>309.04878184451508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>
        <f>VLOOKUP(A6,'Données projet'!$A$35:$I$55,2,0)</f>
        <v>2.31</v>
      </c>
      <c r="L6" s="12">
        <f>VLOOKUP(A6,'Données projet'!$A$35:$I$55,9,0)</f>
        <v>2.1256410256410261</v>
      </c>
      <c r="M6" s="12">
        <f t="array" ref="M6">INDEX(L:L,MIN(IF(ISNUMBER(L6:L202),ROW(L6:L202),"")))</f>
        <v>2.1256410256410261</v>
      </c>
      <c r="N6" s="13">
        <f>IF('Données projet'!$A$36&gt;35,N5+M6-V5,IF(A6&lt;'Données projet'!$A$36,$K$205^A6,IF(A6='Données projet'!$A$36,'Données projet'!$B$36,N5+M6-V5)))</f>
        <v>2.31</v>
      </c>
      <c r="O6" s="13">
        <f>N6*VLOOKUP('Données projet'!$B$9,Paramètres!$A$1:$I$89,3,0)*VLOOKUP('Données projet'!$B$9,Paramètres!$A$1:$I$89,5,0)</f>
        <v>1.1747736000000002</v>
      </c>
      <c r="P6" s="13">
        <f t="shared" si="33"/>
        <v>0.5313290690347211</v>
      </c>
      <c r="Q6" s="20">
        <f t="shared" si="2"/>
        <v>2.9714621485688064</v>
      </c>
      <c r="R6" s="59">
        <f t="shared" si="0"/>
        <v>263.30479548190215</v>
      </c>
      <c r="S6" s="59">
        <f ca="1">AVERAGE(OFFSET($R$3,0,0,'Données projet'!$E$9+1,1))-AVERAGE(OFFSET($H$3,0,0,'Données projet'!$E$9+1,1))</f>
        <v>116.87253889414677</v>
      </c>
      <c r="T6" s="59">
        <f t="shared" si="34"/>
        <v>309.04878184451508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>
        <f>VLOOKUP(A7,'Données projet'!$A$35:$I$55,2,0)</f>
        <v>6.6838461538461518</v>
      </c>
      <c r="L7" s="12">
        <f>VLOOKUP(A7,'Données projet'!$A$35:$I$55,9,0)</f>
        <v>4.3738461538461522</v>
      </c>
      <c r="M7" s="12">
        <f t="array" ref="M7">INDEX(L:L,MIN(IF(ISNUMBER(L7:L203),ROW(L7:L203),"")))</f>
        <v>4.3738461538461522</v>
      </c>
      <c r="N7" s="13">
        <f>IF('Données projet'!$A$36&gt;35,N6+M7-V6,IF(A7&lt;'Données projet'!$A$36,$K$205^A7,IF(A7='Données projet'!$A$36,'Données projet'!$B$36,N6+M7-V6)))</f>
        <v>6.6838461538461527</v>
      </c>
      <c r="O7" s="13">
        <f>N7*VLOOKUP('Données projet'!$B$9,Paramètres!$A$1:$I$89,3,0)*VLOOKUP('Données projet'!$B$9,Paramètres!$A$1:$I$89,5,0)</f>
        <v>3.3991367999999995</v>
      </c>
      <c r="P7" s="13">
        <f t="shared" si="33"/>
        <v>1.3585305157418814</v>
      </c>
      <c r="Q7" s="20">
        <f t="shared" si="2"/>
        <v>8.2862705749171095</v>
      </c>
      <c r="R7" s="59">
        <f t="shared" si="0"/>
        <v>269.84182613047267</v>
      </c>
      <c r="S7" s="59">
        <f ca="1">AVERAGE(OFFSET($R$3,0,0,'Données projet'!$E$9+1,1))-AVERAGE(OFFSET($H$3,0,0,'Données projet'!$E$9+1,1))</f>
        <v>116.87253889414677</v>
      </c>
      <c r="T7" s="59">
        <f t="shared" si="34"/>
        <v>309.04878184451508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13.14935897435897</v>
      </c>
      <c r="L8" s="12">
        <f>VLOOKUP(A8,'Données projet'!$A$35:$I$55,9,0)</f>
        <v>6.4655128205128181</v>
      </c>
      <c r="M8" s="12">
        <f t="array" ref="M8">INDEX(L:L,MIN(IF(ISNUMBER(L8:L204),ROW(L8:L204),"")))</f>
        <v>6.4655128205128181</v>
      </c>
      <c r="N8" s="13">
        <f>IF('Données projet'!$A$36&gt;35,N7+M8-V7,IF(A8&lt;'Données projet'!$A$36,$K$205^A8,IF(A8='Données projet'!$A$36,'Données projet'!$B$36,N7+M8-V7)))</f>
        <v>13.149358974358972</v>
      </c>
      <c r="O8" s="13">
        <f>N8*VLOOKUP('Données projet'!$B$9,Paramètres!$A$1:$I$89,3,0)*VLOOKUP('Données projet'!$B$9,Paramètres!$A$1:$I$89,5,0)</f>
        <v>6.6872379999999989</v>
      </c>
      <c r="P8" s="13">
        <f t="shared" si="33"/>
        <v>2.4702455167163944</v>
      </c>
      <c r="Q8" s="20">
        <f t="shared" si="2"/>
        <v>15.949283791614382</v>
      </c>
      <c r="R8" s="59">
        <f t="shared" si="0"/>
        <v>278.72706156939216</v>
      </c>
      <c r="S8" s="59">
        <f ca="1">AVERAGE(OFFSET($R$3,0,0,'Données projet'!$E$9+1,1))-AVERAGE(OFFSET($H$3,0,0,'Données projet'!$E$9+1,1))</f>
        <v>116.87253889414677</v>
      </c>
      <c r="T8" s="59">
        <f t="shared" si="34"/>
        <v>309.04878184451508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>
        <f>VLOOKUP(A9,'Données projet'!$A$35:$I$55,2,0)</f>
        <v>21.549999999999997</v>
      </c>
      <c r="L9" s="12">
        <f>VLOOKUP(A9,'Données projet'!$A$35:$I$55,9,0)</f>
        <v>8.4006410256410273</v>
      </c>
      <c r="M9" s="12">
        <f t="array" ref="M9">INDEX(L:L,MIN(IF(ISNUMBER(L9:L205),ROW(L9:L205),"")))</f>
        <v>8.4006410256410273</v>
      </c>
      <c r="N9" s="13">
        <f>IF('Données projet'!$A$36&gt;35,N8+M9-V8,IF(A9&lt;'Données projet'!$A$36,$K$205^A9,IF(A9='Données projet'!$A$36,'Données projet'!$B$36,N8+M9-V8)))</f>
        <v>21.549999999999997</v>
      </c>
      <c r="O9" s="13">
        <f>N9*VLOOKUP('Données projet'!$B$9,Paramètres!$A$1:$I$89,3,0)*VLOOKUP('Données projet'!$B$9,Paramètres!$A$1:$I$89,5,0)</f>
        <v>10.959467999999999</v>
      </c>
      <c r="P9" s="13">
        <f t="shared" si="33"/>
        <v>3.8221703848080173</v>
      </c>
      <c r="Q9" s="20">
        <f t="shared" si="2"/>
        <v>25.744686853540628</v>
      </c>
      <c r="R9" s="59">
        <f t="shared" si="0"/>
        <v>289.74468685354066</v>
      </c>
      <c r="S9" s="59">
        <f ca="1">AVERAGE(OFFSET($R$3,0,0,'Données projet'!$E$9+1,1))-AVERAGE(OFFSET($H$3,0,0,'Données projet'!$E$9+1,1))</f>
        <v>116.87253889414677</v>
      </c>
      <c r="T9" s="59">
        <f t="shared" si="34"/>
        <v>309.04878184451508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>
        <f>VLOOKUP(A10,'Données projet'!$A$35:$I$55,2,0)</f>
        <v>31.729230769230764</v>
      </c>
      <c r="L10" s="12">
        <f>VLOOKUP(A10,'Données projet'!$A$35:$I$55,9,0)</f>
        <v>10.179230769230767</v>
      </c>
      <c r="M10" s="12">
        <f t="array" ref="M10">INDEX(L:L,MIN(IF(ISNUMBER(L10:L206),ROW(L10:L206),"")))</f>
        <v>10.179230769230767</v>
      </c>
      <c r="N10" s="13">
        <f>IF('Données projet'!$A$36&gt;35,N9+M10-V9,IF(A10&lt;'Données projet'!$A$36,$K$205^A10,IF(A10='Données projet'!$A$36,'Données projet'!$B$36,N9+M10-V9)))</f>
        <v>31.729230769230764</v>
      </c>
      <c r="O10" s="13">
        <f>N10*VLOOKUP('Données projet'!$B$9,Paramètres!$A$1:$I$89,3,0)*VLOOKUP('Données projet'!$B$9,Paramètres!$A$1:$I$89,5,0)</f>
        <v>16.136217599999998</v>
      </c>
      <c r="P10" s="13">
        <f t="shared" si="33"/>
        <v>5.3797944668297326</v>
      </c>
      <c r="Q10" s="20">
        <f t="shared" si="2"/>
        <v>37.47372101639511</v>
      </c>
      <c r="R10" s="59">
        <f t="shared" si="0"/>
        <v>302.69594323861736</v>
      </c>
      <c r="S10" s="59">
        <f ca="1">AVERAGE(OFFSET($R$3,0,0,'Données projet'!$E$9+1,1))-AVERAGE(OFFSET($H$3,0,0,'Données projet'!$E$9+1,1))</f>
        <v>116.87253889414677</v>
      </c>
      <c r="T10" s="59">
        <f t="shared" si="34"/>
        <v>309.04878184451508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>
        <f>VLOOKUP(A11,'Données projet'!$A$35:$I$55,2,0)</f>
        <v>43.530512820512811</v>
      </c>
      <c r="L11" s="12">
        <f>VLOOKUP(A11,'Données projet'!$A$35:$I$55,9,0)</f>
        <v>11.801282051282048</v>
      </c>
      <c r="M11" s="12">
        <f t="array" ref="M11">INDEX(L:L,MIN(IF(ISNUMBER(L11:L207),ROW(L11:L207),"")))</f>
        <v>11.801282051282048</v>
      </c>
      <c r="N11" s="13">
        <f>IF('Données projet'!$A$36&gt;35,N10+M11-V10,IF(A11&lt;'Données projet'!$A$36,$K$205^A11,IF(A11='Données projet'!$A$36,'Données projet'!$B$36,N10+M11-V10)))</f>
        <v>43.530512820512811</v>
      </c>
      <c r="O11" s="13">
        <f>N11*VLOOKUP('Données projet'!$B$9,Paramètres!$A$1:$I$89,3,0)*VLOOKUP('Données projet'!$B$9,Paramètres!$A$1:$I$89,5,0)</f>
        <v>22.137877599999996</v>
      </c>
      <c r="P11" s="13">
        <f t="shared" si="33"/>
        <v>7.1140058582669683</v>
      </c>
      <c r="Q11" s="20">
        <f t="shared" si="2"/>
        <v>50.947030356481626</v>
      </c>
      <c r="R11" s="59">
        <f t="shared" si="0"/>
        <v>317.39147480092606</v>
      </c>
      <c r="S11" s="59">
        <f ca="1">AVERAGE(OFFSET($R$3,0,0,'Données projet'!$E$9+1,1))-AVERAGE(OFFSET($H$3,0,0,'Données projet'!$E$9+1,1))</f>
        <v>116.87253889414677</v>
      </c>
      <c r="T11" s="59">
        <f t="shared" si="34"/>
        <v>309.04878184451508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>
        <f>VLOOKUP(A12,'Données projet'!$A$35:$I$55,2,0)</f>
        <v>56.797307692307676</v>
      </c>
      <c r="L12" s="12">
        <f>VLOOKUP(A12,'Données projet'!$A$35:$I$55,9,0)</f>
        <v>13.266794871794865</v>
      </c>
      <c r="M12" s="12">
        <f t="array" ref="M12">INDEX(L:L,MIN(IF(ISNUMBER(L12:L208),ROW(L12:L208),"")))</f>
        <v>13.266794871794865</v>
      </c>
      <c r="N12" s="13">
        <f>IF('Données projet'!$A$36&gt;35,N11+M12-V11,IF(A12&lt;'Données projet'!$A$36,$K$205^A12,IF(A12='Données projet'!$A$36,'Données projet'!$B$36,N11+M12-V11)))</f>
        <v>56.797307692307676</v>
      </c>
      <c r="O12" s="13">
        <f>N12*VLOOKUP('Données projet'!$B$9,Paramètres!$A$1:$I$89,3,0)*VLOOKUP('Données projet'!$B$9,Paramètres!$A$1:$I$89,5,0)</f>
        <v>28.884838799999994</v>
      </c>
      <c r="P12" s="13">
        <f t="shared" si="33"/>
        <v>8.9991197527674434</v>
      </c>
      <c r="Q12" s="20">
        <f t="shared" si="2"/>
        <v>65.98122781273662</v>
      </c>
      <c r="R12" s="59">
        <f t="shared" si="0"/>
        <v>333.64789447940331</v>
      </c>
      <c r="S12" s="59">
        <f ca="1">AVERAGE(OFFSET($R$3,0,0,'Données projet'!$E$9+1,1))-AVERAGE(OFFSET($H$3,0,0,'Données projet'!$E$9+1,1))</f>
        <v>116.87253889414677</v>
      </c>
      <c r="T12" s="59">
        <f t="shared" si="34"/>
        <v>309.04878184451508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71.373076923076894</v>
      </c>
      <c r="L13" s="12">
        <f>VLOOKUP(A13,'Données projet'!$A$35:$I$55,9,0)</f>
        <v>14.575769230769218</v>
      </c>
      <c r="M13" s="12">
        <f t="array" ref="M13">INDEX(L:L,MIN(IF(ISNUMBER(L13:L209),ROW(L13:L209),"")))</f>
        <v>14.575769230769218</v>
      </c>
      <c r="N13" s="13">
        <f>IF('Données projet'!$A$36&gt;35,N12+M13-V12,IF(A13&lt;'Données projet'!$A$36,$K$205^A13,IF(A13='Données projet'!$A$36,'Données projet'!$B$36,N12+M13-V12)))</f>
        <v>71.373076923076894</v>
      </c>
      <c r="O13" s="13">
        <f>N13*VLOOKUP('Données projet'!$B$9,Paramètres!$A$1:$I$89,3,0)*VLOOKUP('Données projet'!$B$9,Paramètres!$A$1:$I$89,5,0)</f>
        <v>36.297491999999991</v>
      </c>
      <c r="P13" s="13">
        <f t="shared" si="33"/>
        <v>11.011818502484722</v>
      </c>
      <c r="Q13" s="20">
        <f t="shared" si="2"/>
        <v>82.397049125160876</v>
      </c>
      <c r="R13" s="59">
        <f t="shared" si="0"/>
        <v>351.28593801404975</v>
      </c>
      <c r="S13" s="59">
        <f ca="1">AVERAGE(OFFSET($R$3,0,0,'Données projet'!$E$9+1,1))-AVERAGE(OFFSET($H$3,0,0,'Données projet'!$E$9+1,1))</f>
        <v>116.87253889414677</v>
      </c>
      <c r="T13" s="59">
        <f t="shared" si="34"/>
        <v>309.04878184451508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>
        <f>VLOOKUP(A14,'Données projet'!$A$35:$I$55,2,0)</f>
        <v>87.101282051282055</v>
      </c>
      <c r="L14" s="12">
        <f>VLOOKUP(A14,'Données projet'!$A$35:$I$55,9,0)</f>
        <v>15.728205128205161</v>
      </c>
      <c r="M14" s="12">
        <f t="array" ref="M14">INDEX(L:L,MIN(IF(ISNUMBER(L14:L210),ROW(L14:L210),"")))</f>
        <v>15.728205128205161</v>
      </c>
      <c r="N14" s="13">
        <f>IF('Données projet'!$A$36&gt;35,N13+M14-V13,IF(A14&lt;'Données projet'!$A$36,$K$205^A14,IF(A14='Données projet'!$A$36,'Données projet'!$B$36,N13+M14-V13)))</f>
        <v>87.101282051282055</v>
      </c>
      <c r="O14" s="13">
        <f>N14*VLOOKUP('Données projet'!$B$9,Paramètres!$A$1:$I$89,3,0)*VLOOKUP('Données projet'!$B$9,Paramètres!$A$1:$I$89,5,0)</f>
        <v>44.296228000000006</v>
      </c>
      <c r="P14" s="13">
        <f t="shared" si="33"/>
        <v>13.130513832601283</v>
      </c>
      <c r="Q14" s="20">
        <f t="shared" si="2"/>
        <v>100.01824202511391</v>
      </c>
      <c r="R14" s="59">
        <f t="shared" si="0"/>
        <v>370.12935313622506</v>
      </c>
      <c r="S14" s="59">
        <f ca="1">AVERAGE(OFFSET($R$3,0,0,'Données projet'!$E$9+1,1))-AVERAGE(OFFSET($H$3,0,0,'Données projet'!$E$9+1,1))</f>
        <v>116.87253889414677</v>
      </c>
      <c r="T14" s="59">
        <f t="shared" si="34"/>
        <v>309.04878184451508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>
        <f>VLOOKUP(A15,'Données projet'!$A$35:$I$55,2,0)</f>
        <v>103.82538461538462</v>
      </c>
      <c r="L15" s="12">
        <f>VLOOKUP(A15,'Données projet'!$A$35:$I$55,9,0)</f>
        <v>16.724102564102566</v>
      </c>
      <c r="M15" s="12">
        <f t="array" ref="M15">INDEX(L:L,MIN(IF(ISNUMBER(L15:L211),ROW(L15:L211),"")))</f>
        <v>16.724102564102566</v>
      </c>
      <c r="N15" s="13">
        <f>IF('Données projet'!$A$36&gt;35,N14+M15-V14,IF(A15&lt;'Données projet'!$A$36,$K$205^A15,IF(A15='Données projet'!$A$36,'Données projet'!$B$36,N14+M15-V14)))</f>
        <v>103.82538461538462</v>
      </c>
      <c r="O15" s="13">
        <f>N15*VLOOKUP('Données projet'!$B$9,Paramètres!$A$1:$I$89,3,0)*VLOOKUP('Données projet'!$B$9,Paramètres!$A$1:$I$89,5,0)</f>
        <v>52.801437600000007</v>
      </c>
      <c r="P15" s="13">
        <f t="shared" si="33"/>
        <v>15.334931732378159</v>
      </c>
      <c r="Q15" s="20">
        <f t="shared" si="2"/>
        <v>118.67084325389196</v>
      </c>
      <c r="R15" s="59">
        <f t="shared" si="0"/>
        <v>390.00417658722529</v>
      </c>
      <c r="S15" s="59">
        <f ca="1">AVERAGE(OFFSET($R$3,0,0,'Données projet'!$E$9+1,1))-AVERAGE(OFFSET($H$3,0,0,'Données projet'!$E$9+1,1))</f>
        <v>116.87253889414677</v>
      </c>
      <c r="T15" s="59">
        <f t="shared" si="34"/>
        <v>309.04878184451508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>
        <f>VLOOKUP(A16,'Données projet'!$A$35:$I$55,2,0)</f>
        <v>121.38884615384613</v>
      </c>
      <c r="L16" s="12">
        <f>VLOOKUP(A16,'Données projet'!$A$35:$I$55,9,0)</f>
        <v>17.56346153846151</v>
      </c>
      <c r="M16" s="12">
        <f t="array" ref="M16">INDEX(L:L,MIN(IF(ISNUMBER(L16:L212),ROW(L16:L212),"")))</f>
        <v>17.56346153846151</v>
      </c>
      <c r="N16" s="13">
        <f>IF('Données projet'!$A$36&gt;35,N15+M16-V15,IF(A16&lt;'Données projet'!$A$36,$K$205^A16,IF(A16='Données projet'!$A$36,'Données projet'!$B$36,N15+M16-V15)))</f>
        <v>121.38884615384613</v>
      </c>
      <c r="O16" s="13">
        <f>N16*VLOOKUP('Données projet'!$B$9,Paramètres!$A$1:$I$89,3,0)*VLOOKUP('Données projet'!$B$9,Paramètres!$A$1:$I$89,5,0)</f>
        <v>61.733511599999993</v>
      </c>
      <c r="P16" s="13">
        <f t="shared" si="33"/>
        <v>17.605825957786696</v>
      </c>
      <c r="Q16" s="20">
        <f t="shared" si="2"/>
        <v>138.18267957981183</v>
      </c>
      <c r="R16" s="59">
        <f t="shared" si="0"/>
        <v>410.7382351353674</v>
      </c>
      <c r="S16" s="59">
        <f ca="1">AVERAGE(OFFSET($R$3,0,0,'Données projet'!$E$9+1,1))-AVERAGE(OFFSET($H$3,0,0,'Données projet'!$E$9+1,1))</f>
        <v>116.87253889414677</v>
      </c>
      <c r="T16" s="59">
        <f t="shared" si="34"/>
        <v>309.04878184451508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139.63512820512813</v>
      </c>
      <c r="L17" s="12">
        <f>VLOOKUP(A17,'Données projet'!$A$35:$I$55,9,0)</f>
        <v>18.246282051281995</v>
      </c>
      <c r="M17" s="12">
        <f t="array" ref="M17">INDEX(L:L,MIN(IF(ISNUMBER(L17:L213),ROW(L17:L213),"")))</f>
        <v>18.246282051281995</v>
      </c>
      <c r="N17" s="13">
        <f>IF('Données projet'!$A$36&gt;35,N16+M17-V16,IF(A17&lt;'Données projet'!$A$36,$K$205^A17,IF(A17='Données projet'!$A$36,'Données projet'!$B$36,N16+M17-V16)))</f>
        <v>139.63512820512813</v>
      </c>
      <c r="O17" s="13">
        <f>N17*VLOOKUP('Données projet'!$B$9,Paramètres!$A$1:$I$89,3,0)*VLOOKUP('Données projet'!$B$9,Paramètres!$A$1:$I$89,5,0)</f>
        <v>71.012840799999964</v>
      </c>
      <c r="P17" s="13">
        <f t="shared" si="33"/>
        <v>19.924770961221942</v>
      </c>
      <c r="Q17" s="20">
        <f t="shared" si="2"/>
        <v>158.38300715079481</v>
      </c>
      <c r="R17" s="59">
        <f t="shared" si="0"/>
        <v>432.16078492857258</v>
      </c>
      <c r="S17" s="59">
        <f ca="1">AVERAGE(OFFSET($R$3,0,0,'Données projet'!$E$9+1,1))-AVERAGE(OFFSET($H$3,0,0,'Données projet'!$E$9+1,1))</f>
        <v>116.87253889414677</v>
      </c>
      <c r="T17" s="59">
        <f t="shared" si="34"/>
        <v>309.04878184451508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158.40769230769226</v>
      </c>
      <c r="L18" s="12">
        <f>VLOOKUP(A18,'Données projet'!$A$35:$I$55,9,0)</f>
        <v>18.772564102564132</v>
      </c>
      <c r="M18" s="12">
        <f t="array" ref="M18">INDEX(L:L,MIN(IF(ISNUMBER(L18:L214),ROW(L18:L214),"")))</f>
        <v>18.772564102564132</v>
      </c>
      <c r="N18" s="13">
        <f>IF('Données projet'!$A$36&gt;35,N17+M18-V17,IF(A18&lt;'Données projet'!$A$36,$K$205^A18,IF(A18='Données projet'!$A$36,'Données projet'!$B$36,N17+M18-V17)))</f>
        <v>158.40769230769226</v>
      </c>
      <c r="O18" s="13">
        <f>N18*VLOOKUP('Données projet'!$B$9,Paramètres!$A$1:$I$89,3,0)*VLOOKUP('Données projet'!$B$9,Paramètres!$A$1:$I$89,5,0)</f>
        <v>80.559815999999984</v>
      </c>
      <c r="P18" s="13">
        <f t="shared" si="33"/>
        <v>22.274006449865396</v>
      </c>
      <c r="Q18" s="20">
        <f t="shared" si="2"/>
        <v>179.10224076684889</v>
      </c>
      <c r="R18" s="59">
        <f t="shared" si="0"/>
        <v>454.10224076684892</v>
      </c>
      <c r="S18" s="59">
        <f ca="1">AVERAGE(OFFSET($R$3,0,0,'Données projet'!$E$9+1,1))-AVERAGE(OFFSET($H$3,0,0,'Données projet'!$E$9+1,1))</f>
        <v>116.87253889414677</v>
      </c>
      <c r="T18" s="59">
        <f t="shared" si="34"/>
        <v>309.04878184451508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>
        <f>VLOOKUP(A19,'Données projet'!$A$35:$I$55,2,0)</f>
        <v>177.54999999999995</v>
      </c>
      <c r="L19" s="12">
        <f>VLOOKUP(A19,'Données projet'!$A$35:$I$55,9,0)</f>
        <v>19.142307692307696</v>
      </c>
      <c r="M19" s="12">
        <f t="array" ref="M19">INDEX(L:L,MIN(IF(ISNUMBER(L19:L215),ROW(L19:L215),"")))</f>
        <v>19.142307692307696</v>
      </c>
      <c r="N19" s="13">
        <f>IF('Données projet'!$A$36&gt;35,N18+M19-V18,IF(A19&lt;'Données projet'!$A$36,$K$205^A19,IF(A19='Données projet'!$A$36,'Données projet'!$B$36,N18+M19-V18)))</f>
        <v>177.54999999999995</v>
      </c>
      <c r="O19" s="13">
        <f>N19*VLOOKUP('Données projet'!$B$9,Paramètres!$A$1:$I$89,3,0)*VLOOKUP('Données projet'!$B$9,Paramètres!$A$1:$I$89,5,0)</f>
        <v>90.294827999999981</v>
      </c>
      <c r="P19" s="13">
        <f t="shared" si="33"/>
        <v>24.636316867930056</v>
      </c>
      <c r="Q19" s="20">
        <f t="shared" si="2"/>
        <v>200.1717439783115</v>
      </c>
      <c r="R19" s="59">
        <f t="shared" si="0"/>
        <v>476.39396620053373</v>
      </c>
      <c r="S19" s="59">
        <f ca="1">AVERAGE(OFFSET($R$3,0,0,'Données projet'!$E$9+1,1))-AVERAGE(OFFSET($H$3,0,0,'Données projet'!$E$9+1,1))</f>
        <v>116.87253889414677</v>
      </c>
      <c r="T19" s="59">
        <f t="shared" si="34"/>
        <v>309.04878184451508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>
        <f>VLOOKUP(A20,'Données projet'!$A$35:$I$55,2,0)</f>
        <v>196.90551282051274</v>
      </c>
      <c r="L20" s="12">
        <f>VLOOKUP(A20,'Données projet'!$A$35:$I$55,9,0)</f>
        <v>19.355512820512786</v>
      </c>
      <c r="M20" s="12">
        <f t="array" ref="M20">INDEX(L:L,MIN(IF(ISNUMBER(L20:L216),ROW(L20:L216),"")))</f>
        <v>19.355512820512786</v>
      </c>
      <c r="N20" s="13">
        <f>IF('Données projet'!$A$36&gt;35,N19+M20-V19,IF(A20&lt;'Données projet'!$A$36,$K$205^A20,IF(A20='Données projet'!$A$36,'Données projet'!$B$36,N19+M20-V19)))</f>
        <v>196.90551282051274</v>
      </c>
      <c r="O20" s="13">
        <f>N20*VLOOKUP('Données projet'!$B$9,Paramètres!$A$1:$I$89,3,0)*VLOOKUP('Données projet'!$B$9,Paramètres!$A$1:$I$89,5,0)</f>
        <v>100.13826759999998</v>
      </c>
      <c r="P20" s="13">
        <f t="shared" si="33"/>
        <v>26.994935247983022</v>
      </c>
      <c r="Q20" s="20">
        <f t="shared" si="2"/>
        <v>221.42366162690371</v>
      </c>
      <c r="R20" s="59">
        <f t="shared" si="0"/>
        <v>498.86810607134817</v>
      </c>
      <c r="S20" s="59">
        <f ca="1">AVERAGE(OFFSET($R$3,0,0,'Données projet'!$E$9+1,1))-AVERAGE(OFFSET($H$3,0,0,'Données projet'!$E$9+1,1))</f>
        <v>116.87253889414677</v>
      </c>
      <c r="T20" s="59">
        <f t="shared" si="34"/>
        <v>309.04878184451508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>
        <f>VLOOKUP(A21,'Données projet'!$A$35:$I$55,2,0)</f>
        <v>216.31769230769225</v>
      </c>
      <c r="L21" s="12">
        <f>VLOOKUP(A21,'Données projet'!$A$35:$I$55,9,0)</f>
        <v>19.412179487179515</v>
      </c>
      <c r="M21" s="12">
        <f t="array" ref="M21">INDEX(L:L,MIN(IF(ISNUMBER(L21:L217),ROW(L21:L217),"")))</f>
        <v>19.412179487179515</v>
      </c>
      <c r="N21" s="13">
        <f>IF('Données projet'!$A$36&gt;35,N20+M21-V20,IF(A21&lt;'Données projet'!$A$36,$K$205^A21,IF(A21='Données projet'!$A$36,'Données projet'!$B$36,N20+M21-V20)))</f>
        <v>216.31769230769225</v>
      </c>
      <c r="O21" s="13">
        <f>N21*VLOOKUP('Données projet'!$B$9,Paramètres!$A$1:$I$89,3,0)*VLOOKUP('Données projet'!$B$9,Paramètres!$A$1:$I$89,5,0)</f>
        <v>110.01052559999998</v>
      </c>
      <c r="P21" s="13">
        <f t="shared" si="33"/>
        <v>29.333464472205538</v>
      </c>
      <c r="Q21" s="20">
        <f t="shared" si="2"/>
        <v>242.69078270909122</v>
      </c>
      <c r="R21" s="59">
        <f t="shared" si="0"/>
        <v>521.35744937575794</v>
      </c>
      <c r="S21" s="59">
        <f ca="1">AVERAGE(OFFSET($R$3,0,0,'Données projet'!$E$9+1,1))-AVERAGE(OFFSET($H$3,0,0,'Données projet'!$E$9+1,1))</f>
        <v>116.87253889414677</v>
      </c>
      <c r="T21" s="59">
        <f t="shared" si="34"/>
        <v>309.04878184451508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235.63</v>
      </c>
      <c r="L22" s="12">
        <f>VLOOKUP(A22,'Données projet'!$A$35:$I$55,9,0)</f>
        <v>19.312307692307741</v>
      </c>
      <c r="M22" s="12">
        <f t="array" ref="M22">INDEX(L:L,MIN(IF(ISNUMBER(L22:L218),ROW(L22:L218),"")))</f>
        <v>19.312307692307741</v>
      </c>
      <c r="N22" s="13">
        <f>IF('Données projet'!$A$36&gt;35,N21+M22-V21,IF(A22&lt;'Données projet'!$A$36,$K$205^A22,IF(A22='Données projet'!$A$36,'Données projet'!$B$36,N21+M22-V21)))</f>
        <v>235.63</v>
      </c>
      <c r="O22" s="13">
        <f>N22*VLOOKUP('Données projet'!$B$9,Paramètres!$A$1:$I$89,3,0)*VLOOKUP('Données projet'!$B$9,Paramètres!$A$1:$I$89,5,0)</f>
        <v>119.83199280000001</v>
      </c>
      <c r="P22" s="13">
        <f t="shared" si="33"/>
        <v>31.635811179125575</v>
      </c>
      <c r="Q22" s="20">
        <f t="shared" si="2"/>
        <v>263.80642526364375</v>
      </c>
      <c r="R22" s="59">
        <f t="shared" si="0"/>
        <v>543.69531415253255</v>
      </c>
      <c r="S22" s="59">
        <f ca="1">AVERAGE(OFFSET($R$3,0,0,'Données projet'!$E$9+1,1))-AVERAGE(OFFSET($H$3,0,0,'Données projet'!$E$9+1,1))</f>
        <v>116.87253889414677</v>
      </c>
      <c r="T22" s="59">
        <f t="shared" si="34"/>
        <v>309.04878184451508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254.68589743589735</v>
      </c>
      <c r="L23" s="12">
        <f>VLOOKUP(A23,'Données projet'!$A$35:$I$55,9,0)</f>
        <v>19.05589743589735</v>
      </c>
      <c r="M23" s="12">
        <f t="array" ref="M23">INDEX(L:L,MIN(IF(ISNUMBER(L23:L219),ROW(L23:L219),"")))</f>
        <v>19.05589743589735</v>
      </c>
      <c r="N23" s="13">
        <f>IF('Données projet'!$A$36&gt;35,N22+M23-V22,IF(A23&lt;'Données projet'!$A$36,$K$205^A23,IF(A23='Données projet'!$A$36,'Données projet'!$B$36,N22+M23-V22)))</f>
        <v>254.68589743589735</v>
      </c>
      <c r="O23" s="13">
        <f>N23*VLOOKUP('Données projet'!$B$9,Paramètres!$A$1:$I$89,3,0)*VLOOKUP('Données projet'!$B$9,Paramètres!$A$1:$I$89,5,0)</f>
        <v>129.52305999999996</v>
      </c>
      <c r="P23" s="13">
        <f t="shared" si="33"/>
        <v>33.886128937839644</v>
      </c>
      <c r="Q23" s="20">
        <f t="shared" si="2"/>
        <v>284.60433740007062</v>
      </c>
      <c r="R23" s="59">
        <f t="shared" si="0"/>
        <v>565.71544851118176</v>
      </c>
      <c r="S23" s="59">
        <f ca="1">AVERAGE(OFFSET($R$3,0,0,'Données projet'!$E$9+1,1))-AVERAGE(OFFSET($H$3,0,0,'Données projet'!$E$9+1,1))</f>
        <v>116.87253889414677</v>
      </c>
      <c r="T23" s="59">
        <f t="shared" si="34"/>
        <v>309.04878184451508</v>
      </c>
      <c r="U23" s="15" t="str">
        <f>IF(ISNA(VLOOKUP(A23,'Données projet'!$A$35:$I$55,3,0)),0,VLOOKUP(A23,'Données projet'!$A$35:$I$55,3,0))</f>
        <v>CR</v>
      </c>
      <c r="V23" s="15">
        <f>IF(ISNA(VLOOKUP(A23,'Données projet'!$A$35:$I$55,4,0)),0,VLOOKUP(A23,'Données projet'!$A$35:$I$55,4,0))</f>
        <v>254.68589743589735</v>
      </c>
      <c r="W23" s="16">
        <f>IF(ISNA(VLOOKUP(A23,'Données projet'!$A$35:$I$55,5,0)),0%,VLOOKUP(A23,'Données projet'!$A$35:$I$55,5,0)*VLOOKUP('Données projet'!$B$9,Paramètres!$A$1:$I$89,7,0))</f>
        <v>0.42</v>
      </c>
      <c r="X23" s="16">
        <f>IF(ISNA(VLOOKUP(A23,'Données projet'!$A$35:$I$55,6,0)),0%,VLOOKUP(A23,'Données projet'!$A$35:$I$55,6,0)*VLOOKUP('Données projet'!$B$9,Paramètres!$A$1:$I$89,7,0))</f>
        <v>0.09</v>
      </c>
      <c r="Y23" s="16">
        <f>IF(ISNA(VLOOKUP(A23,'Données projet'!$A$35:$I$55,7,0)),0%,VLOOKUP(A23,'Données projet'!$A$35:$I$55,7,0))</f>
        <v>0.15</v>
      </c>
      <c r="Z23" s="21">
        <f>EXP(-LN(2)/35)*Z22+(1-EXP(-LN(2)/35))/(LN(2)/35)*V23*W23*VLOOKUP('Données projet'!$B$9,Paramètres!$A$1:$I$89,3,0)*0.475*44/12</f>
        <v>60.137240644516993</v>
      </c>
      <c r="AA23" s="21">
        <f>EXP(-LN(2)/25)*AA22+(1-EXP(-LN(2)/25))/(LN(2)/25)*Calculateur!V23*Calculateur!X23*VLOOKUP('Données projet'!$B$9,Paramètres!$A$1:$I$89,3,0)*0.475*44/12</f>
        <v>12.835812303003088</v>
      </c>
      <c r="AB23" s="21">
        <f>EXP(-LN(2)/2)*AB22+(1-EXP(-LN(2)/2))/(LN(2)/2)*V23*Y23*VLOOKUP('Données projet'!$B$9,Paramètres!$A$1:$I$89,3,0)*0.475*44/12</f>
        <v>18.331273975807282</v>
      </c>
      <c r="AC23" s="22">
        <f t="shared" si="3"/>
        <v>91.304326923327352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0</v>
      </c>
      <c r="N24" s="13">
        <f>IF('Données projet'!$A$36&gt;35,N23+M24-V23,IF(A24&lt;'Données projet'!$A$36,$K$205^A24,IF(A24='Données projet'!$A$36,'Données projet'!$B$36,N23+M24-V23)))</f>
        <v>0</v>
      </c>
      <c r="O24" s="13">
        <f>N24*VLOOKUP('Données projet'!$B$9,Paramètres!$A$1:$I$89,3,0)*VLOOKUP('Données projet'!$B$9,Paramètres!$A$1:$I$89,5,0)</f>
        <v>0</v>
      </c>
      <c r="P24" s="13" t="e">
        <f t="shared" si="3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116.87253889414677</v>
      </c>
      <c r="T24" s="59">
        <f t="shared" si="34"/>
        <v>309.04878184451508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58.957986035572951</v>
      </c>
      <c r="AA24" s="21">
        <f>EXP(-LN(2)/25)*AA23+(1-EXP(-LN(2)/25))/(LN(2)/25)*Calculateur!V24*Calculateur!X24*VLOOKUP('Données projet'!$B$9,Paramètres!$A$1:$I$89,3,0)*0.475*44/12</f>
        <v>12.484816340571436</v>
      </c>
      <c r="AB24" s="21">
        <f>EXP(-LN(2)/2)*AB23+(1-EXP(-LN(2)/2))/(LN(2)/2)*V24*Y24*VLOOKUP('Données projet'!$B$9,Paramètres!$A$1:$I$89,3,0)*0.475*44/12</f>
        <v>12.962168136081813</v>
      </c>
      <c r="AC24" s="22">
        <f t="shared" si="3"/>
        <v>84.4049705122262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0</v>
      </c>
      <c r="N25" s="13">
        <f>IF('Données projet'!$A$36&gt;35,N24+M25-V24,IF(A25&lt;'Données projet'!$A$36,$K$205^A25,IF(A25='Données projet'!$A$36,'Données projet'!$B$36,N24+M25-V24)))</f>
        <v>0</v>
      </c>
      <c r="O25" s="13">
        <f>N25*VLOOKUP('Données projet'!$B$9,Paramètres!$A$1:$I$89,3,0)*VLOOKUP('Données projet'!$B$9,Paramètres!$A$1:$I$89,5,0)</f>
        <v>0</v>
      </c>
      <c r="P25" s="13" t="e">
        <f t="shared" si="3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116.87253889414677</v>
      </c>
      <c r="T25" s="59">
        <f t="shared" si="34"/>
        <v>309.04878184451508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57.801855890236013</v>
      </c>
      <c r="AA25" s="21">
        <f>EXP(-LN(2)/25)*AA24+(1-EXP(-LN(2)/25))/(LN(2)/25)*Calculateur!V25*Calculateur!X25*VLOOKUP('Données projet'!$B$9,Paramètres!$A$1:$I$89,3,0)*0.475*44/12</f>
        <v>12.143418381190553</v>
      </c>
      <c r="AB25" s="21">
        <f>EXP(-LN(2)/2)*AB24+(1-EXP(-LN(2)/2))/(LN(2)/2)*V25*Y25*VLOOKUP('Données projet'!$B$9,Paramètres!$A$1:$I$89,3,0)*0.475*44/12</f>
        <v>9.1656369879036408</v>
      </c>
      <c r="AC25" s="22">
        <f t="shared" si="3"/>
        <v>79.110911259330209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0</v>
      </c>
      <c r="N26" s="13">
        <f>IF('Données projet'!$A$36&gt;35,N25+M26-V25,IF(A26&lt;'Données projet'!$A$36,$K$205^A26,IF(A26='Données projet'!$A$36,'Données projet'!$B$36,N25+M26-V25)))</f>
        <v>0</v>
      </c>
      <c r="O26" s="13">
        <f>N26*VLOOKUP('Données projet'!$B$9,Paramètres!$A$1:$I$89,3,0)*VLOOKUP('Données projet'!$B$9,Paramètres!$A$1:$I$89,5,0)</f>
        <v>0</v>
      </c>
      <c r="P26" s="13" t="e">
        <f t="shared" si="3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116.87253889414677</v>
      </c>
      <c r="T26" s="59">
        <f t="shared" si="34"/>
        <v>309.04878184451508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56.668396751879371</v>
      </c>
      <c r="AA26" s="21">
        <f>EXP(-LN(2)/25)*AA25+(1-EXP(-LN(2)/25))/(LN(2)/25)*Calculateur!V26*Calculateur!X26*VLOOKUP('Données projet'!$B$9,Paramètres!$A$1:$I$89,3,0)*0.475*44/12</f>
        <v>11.81135596696228</v>
      </c>
      <c r="AB26" s="21">
        <f>EXP(-LN(2)/2)*AB25+(1-EXP(-LN(2)/2))/(LN(2)/2)*V26*Y26*VLOOKUP('Données projet'!$B$9,Paramètres!$A$1:$I$89,3,0)*0.475*44/12</f>
        <v>6.4810840680409063</v>
      </c>
      <c r="AC26" s="22">
        <f t="shared" si="3"/>
        <v>74.960836786882552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0</v>
      </c>
      <c r="N27" s="13">
        <f>IF('Données projet'!$A$36&gt;35,N26+M27-V26,IF(A27&lt;'Données projet'!$A$36,$K$205^A27,IF(A27='Données projet'!$A$36,'Données projet'!$B$36,N26+M27-V26)))</f>
        <v>0</v>
      </c>
      <c r="O27" s="13">
        <f>N27*VLOOKUP('Données projet'!$B$9,Paramètres!$A$1:$I$89,3,0)*VLOOKUP('Données projet'!$B$9,Paramètres!$A$1:$I$89,5,0)</f>
        <v>0</v>
      </c>
      <c r="P27" s="13" t="e">
        <f t="shared" si="3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116.87253889414677</v>
      </c>
      <c r="T27" s="59">
        <f t="shared" si="34"/>
        <v>309.04878184451508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55.557164055884094</v>
      </c>
      <c r="AA27" s="21">
        <f>EXP(-LN(2)/25)*AA26+(1-EXP(-LN(2)/25))/(LN(2)/25)*Calculateur!V27*Calculateur!X27*VLOOKUP('Données projet'!$B$9,Paramètres!$A$1:$I$89,3,0)*0.475*44/12</f>
        <v>11.488373816913482</v>
      </c>
      <c r="AB27" s="21">
        <f>EXP(-LN(2)/2)*AB26+(1-EXP(-LN(2)/2))/(LN(2)/2)*V27*Y27*VLOOKUP('Données projet'!$B$9,Paramètres!$A$1:$I$89,3,0)*0.475*44/12</f>
        <v>4.5828184939518204</v>
      </c>
      <c r="AC27" s="22">
        <f t="shared" si="3"/>
        <v>71.628356366749401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0</v>
      </c>
      <c r="N28" s="13">
        <f>IF('Données projet'!$A$36&gt;35,N27+M28-V27,IF(A28&lt;'Données projet'!$A$36,$K$205^A28,IF(A28='Données projet'!$A$36,'Données projet'!$B$36,N27+M28-V27)))</f>
        <v>0</v>
      </c>
      <c r="O28" s="13">
        <f>N28*VLOOKUP('Données projet'!$B$9,Paramètres!$A$1:$I$89,3,0)*VLOOKUP('Données projet'!$B$9,Paramètres!$A$1:$I$89,5,0)</f>
        <v>0</v>
      </c>
      <c r="P28" s="13" t="e">
        <f t="shared" si="3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116.87253889414677</v>
      </c>
      <c r="T28" s="59">
        <f t="shared" si="34"/>
        <v>309.04878184451508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54.467721955272268</v>
      </c>
      <c r="AA28" s="21">
        <f>EXP(-LN(2)/25)*AA27+(1-EXP(-LN(2)/25))/(LN(2)/25)*Calculateur!V28*Calculateur!X28*VLOOKUP('Données projet'!$B$9,Paramètres!$A$1:$I$89,3,0)*0.475*44/12</f>
        <v>11.174223630742661</v>
      </c>
      <c r="AB28" s="21">
        <f>EXP(-LN(2)/2)*AB27+(1-EXP(-LN(2)/2))/(LN(2)/2)*V28*Y28*VLOOKUP('Données projet'!$B$9,Paramètres!$A$1:$I$89,3,0)*0.475*44/12</f>
        <v>3.2405420340204532</v>
      </c>
      <c r="AC28" s="22">
        <f t="shared" si="3"/>
        <v>68.882487620035377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0</v>
      </c>
      <c r="N29" s="13">
        <f>IF('Données projet'!$A$36&gt;35,N28+M29-V28,IF(A29&lt;'Données projet'!$A$36,$K$205^A29,IF(A29='Données projet'!$A$36,'Données projet'!$B$36,N28+M29-V28)))</f>
        <v>0</v>
      </c>
      <c r="O29" s="13">
        <f>N29*VLOOKUP('Données projet'!$B$9,Paramètres!$A$1:$I$89,3,0)*VLOOKUP('Données projet'!$B$9,Paramètres!$A$1:$I$89,5,0)</f>
        <v>0</v>
      </c>
      <c r="P29" s="13" t="e">
        <f t="shared" si="3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116.87253889414677</v>
      </c>
      <c r="T29" s="59">
        <f t="shared" si="34"/>
        <v>309.04878184451508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53.39964314975937</v>
      </c>
      <c r="AA29" s="21">
        <f>EXP(-LN(2)/25)*AA28+(1-EXP(-LN(2)/25))/(LN(2)/25)*Calculateur!V29*Calculateur!X29*VLOOKUP('Données projet'!$B$9,Paramètres!$A$1:$I$89,3,0)*0.475*44/12</f>
        <v>10.868663897933121</v>
      </c>
      <c r="AB29" s="21">
        <f>EXP(-LN(2)/2)*AB28+(1-EXP(-LN(2)/2))/(LN(2)/2)*V29*Y29*VLOOKUP('Données projet'!$B$9,Paramètres!$A$1:$I$89,3,0)*0.475*44/12</f>
        <v>2.2914092469759102</v>
      </c>
      <c r="AC29" s="22">
        <f t="shared" si="3"/>
        <v>66.559716294668405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0</v>
      </c>
      <c r="N30" s="13">
        <f>IF('Données projet'!$A$36&gt;35,N29+M30-V29,IF(A30&lt;'Données projet'!$A$36,$K$205^A30,IF(A30='Données projet'!$A$36,'Données projet'!$B$36,N29+M30-V29)))</f>
        <v>0</v>
      </c>
      <c r="O30" s="13">
        <f>N30*VLOOKUP('Données projet'!$B$9,Paramètres!$A$1:$I$89,3,0)*VLOOKUP('Données projet'!$B$9,Paramètres!$A$1:$I$89,5,0)</f>
        <v>0</v>
      </c>
      <c r="P30" s="13" t="e">
        <f t="shared" si="3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116.87253889414677</v>
      </c>
      <c r="T30" s="59">
        <f t="shared" si="34"/>
        <v>309.04878184451508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52.352508718158838</v>
      </c>
      <c r="AA30" s="21">
        <f>EXP(-LN(2)/25)*AA29+(1-EXP(-LN(2)/25))/(LN(2)/25)*Calculateur!V30*Calculateur!X30*VLOOKUP('Données projet'!$B$9,Paramètres!$A$1:$I$89,3,0)*0.475*44/12</f>
        <v>10.571459712085947</v>
      </c>
      <c r="AB30" s="21">
        <f>EXP(-LN(2)/2)*AB29+(1-EXP(-LN(2)/2))/(LN(2)/2)*V30*Y30*VLOOKUP('Données projet'!$B$9,Paramètres!$A$1:$I$89,3,0)*0.475*44/12</f>
        <v>1.6202710170102266</v>
      </c>
      <c r="AC30" s="22">
        <f t="shared" si="3"/>
        <v>64.544239447255009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0</v>
      </c>
      <c r="N31" s="13">
        <f>IF('Données projet'!$A$36&gt;35,N30+M31-V30,IF(A31&lt;'Données projet'!$A$36,$K$205^A31,IF(A31='Données projet'!$A$36,'Données projet'!$B$36,N30+M31-V30)))</f>
        <v>0</v>
      </c>
      <c r="O31" s="13">
        <f>N31*VLOOKUP('Données projet'!$B$9,Paramètres!$A$1:$I$89,3,0)*VLOOKUP('Données projet'!$B$9,Paramètres!$A$1:$I$89,5,0)</f>
        <v>0</v>
      </c>
      <c r="P31" s="13" t="e">
        <f t="shared" si="3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116.87253889414677</v>
      </c>
      <c r="T31" s="59">
        <f t="shared" si="34"/>
        <v>309.04878184451508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51.325907954073053</v>
      </c>
      <c r="AA31" s="21">
        <f>EXP(-LN(2)/25)*AA30+(1-EXP(-LN(2)/25))/(LN(2)/25)*Calculateur!V31*Calculateur!X31*VLOOKUP('Données projet'!$B$9,Paramètres!$A$1:$I$89,3,0)*0.475*44/12</f>
        <v>10.282382590330052</v>
      </c>
      <c r="AB31" s="21">
        <f>EXP(-LN(2)/2)*AB30+(1-EXP(-LN(2)/2))/(LN(2)/2)*V31*Y31*VLOOKUP('Données projet'!$B$9,Paramètres!$A$1:$I$89,3,0)*0.475*44/12</f>
        <v>1.1457046234879551</v>
      </c>
      <c r="AC31" s="22">
        <f t="shared" si="3"/>
        <v>62.753995167891063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0</v>
      </c>
      <c r="N32" s="13">
        <f>IF('Données projet'!$A$36&gt;35,N31+M32-V31,IF(A32&lt;'Données projet'!$A$36,$K$205^A32,IF(A32='Données projet'!$A$36,'Données projet'!$B$36,N31+M32-V31)))</f>
        <v>0</v>
      </c>
      <c r="O32" s="13">
        <f>N32*VLOOKUP('Données projet'!$B$9,Paramètres!$A$1:$I$89,3,0)*VLOOKUP('Données projet'!$B$9,Paramètres!$A$1:$I$89,5,0)</f>
        <v>0</v>
      </c>
      <c r="P32" s="13" t="e">
        <f t="shared" si="3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116.87253889414677</v>
      </c>
      <c r="T32" s="59">
        <f t="shared" si="34"/>
        <v>309.04878184451508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50.319438204806353</v>
      </c>
      <c r="AA32" s="21">
        <f>EXP(-LN(2)/25)*AA31+(1-EXP(-LN(2)/25))/(LN(2)/25)*Calculateur!V32*Calculateur!X32*VLOOKUP('Données projet'!$B$9,Paramètres!$A$1:$I$89,3,0)*0.475*44/12</f>
        <v>10.001210297670477</v>
      </c>
      <c r="AB32" s="21">
        <f>EXP(-LN(2)/2)*AB31+(1-EXP(-LN(2)/2))/(LN(2)/2)*V32*Y32*VLOOKUP('Données projet'!$B$9,Paramètres!$A$1:$I$89,3,0)*0.475*44/12</f>
        <v>0.81013550850511329</v>
      </c>
      <c r="AC32" s="22">
        <f t="shared" si="3"/>
        <v>61.130784010981941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0</v>
      </c>
      <c r="N33" s="13">
        <f>IF('Données projet'!$A$36&gt;35,N32+M33-V32,IF(A33&lt;'Données projet'!$A$36,$K$205^A33,IF(A33='Données projet'!$A$36,'Données projet'!$B$36,N32+M33-V32)))</f>
        <v>0</v>
      </c>
      <c r="O33" s="13">
        <f>N33*VLOOKUP('Données projet'!$B$9,Paramètres!$A$1:$I$89,3,0)*VLOOKUP('Données projet'!$B$9,Paramètres!$A$1:$I$89,5,0)</f>
        <v>0</v>
      </c>
      <c r="P33" s="13" t="e">
        <f t="shared" si="3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116.87253889414677</v>
      </c>
      <c r="T33" s="59">
        <f t="shared" si="34"/>
        <v>309.04878184451508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49.33270471343684</v>
      </c>
      <c r="AA33" s="21">
        <f>EXP(-LN(2)/25)*AA32+(1-EXP(-LN(2)/25))/(LN(2)/25)*Calculateur!V33*Calculateur!X33*VLOOKUP('Données projet'!$B$9,Paramètres!$A$1:$I$89,3,0)*0.475*44/12</f>
        <v>9.727726676139886</v>
      </c>
      <c r="AB33" s="21">
        <f>EXP(-LN(2)/2)*AB32+(1-EXP(-LN(2)/2))/(LN(2)/2)*V33*Y33*VLOOKUP('Données projet'!$B$9,Paramètres!$A$1:$I$89,3,0)*0.475*44/12</f>
        <v>0.57285231174397755</v>
      </c>
      <c r="AC33" s="22">
        <f t="shared" si="3"/>
        <v>59.633283701320707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116.87253889414677</v>
      </c>
      <c r="T34" s="59">
        <f t="shared" si="34"/>
        <v>309.04878184451508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48.365320463985078</v>
      </c>
      <c r="AA34" s="21">
        <f>EXP(-LN(2)/25)*AA33+(1-EXP(-LN(2)/25))/(LN(2)/25)*Calculateur!V34*Calculateur!X34*VLOOKUP('Données projet'!$B$9,Paramètres!$A$1:$I$89,3,0)*0.475*44/12</f>
        <v>9.4617214786219286</v>
      </c>
      <c r="AB34" s="21">
        <f>EXP(-LN(2)/2)*AB33+(1-EXP(-LN(2)/2))/(LN(2)/2)*V34*Y34*VLOOKUP('Données projet'!$B$9,Paramètres!$A$1:$I$89,3,0)*0.475*44/12</f>
        <v>0.40506775425255664</v>
      </c>
      <c r="AC34" s="22">
        <f t="shared" si="3"/>
        <v>58.232109696859567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116.87253889414677</v>
      </c>
      <c r="T35" s="59">
        <f t="shared" si="34"/>
        <v>309.04878184451508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47.416906029618936</v>
      </c>
      <c r="AA35" s="21">
        <f>EXP(-LN(2)/25)*AA34+(1-EXP(-LN(2)/25))/(LN(2)/25)*Calculateur!V35*Calculateur!X35*VLOOKUP('Données projet'!$B$9,Paramètres!$A$1:$I$89,3,0)*0.475*44/12</f>
        <v>9.2029902072187042</v>
      </c>
      <c r="AB35" s="21">
        <f>EXP(-LN(2)/2)*AB34+(1-EXP(-LN(2)/2))/(LN(2)/2)*V35*Y35*VLOOKUP('Données projet'!$B$9,Paramètres!$A$1:$I$89,3,0)*0.475*44/12</f>
        <v>0.28642615587198877</v>
      </c>
      <c r="AC35" s="22">
        <f t="shared" si="3"/>
        <v>56.906322392709626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116.87253889414677</v>
      </c>
      <c r="T36" s="59">
        <f t="shared" si="34"/>
        <v>309.04878184451508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46.48708942383503</v>
      </c>
      <c r="AA36" s="21">
        <f>EXP(-LN(2)/25)*AA35+(1-EXP(-LN(2)/25))/(LN(2)/25)*Calculateur!V36*Calculateur!X36*VLOOKUP('Données projet'!$B$9,Paramètres!$A$1:$I$89,3,0)*0.475*44/12</f>
        <v>8.9513339560380878</v>
      </c>
      <c r="AB36" s="21">
        <f>EXP(-LN(2)/2)*AB35+(1-EXP(-LN(2)/2))/(LN(2)/2)*V36*Y36*VLOOKUP('Données projet'!$B$9,Paramètres!$A$1:$I$89,3,0)*0.475*44/12</f>
        <v>0.20253387712627832</v>
      </c>
      <c r="AC36" s="22">
        <f t="shared" si="3"/>
        <v>55.640957256999393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116.87253889414677</v>
      </c>
      <c r="T37" s="59">
        <f t="shared" si="34"/>
        <v>309.04878184451508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45.575505954558416</v>
      </c>
      <c r="AA37" s="21">
        <f>EXP(-LN(2)/25)*AA36+(1-EXP(-LN(2)/25))/(LN(2)/25)*Calculateur!V37*Calculateur!X37*VLOOKUP('Données projet'!$B$9,Paramètres!$A$1:$I$89,3,0)*0.475*44/12</f>
        <v>8.7065592582800324</v>
      </c>
      <c r="AB37" s="21">
        <f>EXP(-LN(2)/2)*AB36+(1-EXP(-LN(2)/2))/(LN(2)/2)*V37*Y37*VLOOKUP('Données projet'!$B$9,Paramètres!$A$1:$I$89,3,0)*0.475*44/12</f>
        <v>0.14321307793599439</v>
      </c>
      <c r="AC37" s="22">
        <f t="shared" si="3"/>
        <v>54.425278290774443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116.87253889414677</v>
      </c>
      <c r="T38" s="59">
        <f t="shared" si="34"/>
        <v>309.04878184451508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44.681798081103302</v>
      </c>
      <c r="AA38" s="21">
        <f>EXP(-LN(2)/25)*AA37+(1-EXP(-LN(2)/25))/(LN(2)/25)*Calculateur!V38*Calculateur!X38*VLOOKUP('Données projet'!$B$9,Paramètres!$A$1:$I$89,3,0)*0.475*44/12</f>
        <v>8.4684779375043124</v>
      </c>
      <c r="AB38" s="21">
        <f>EXP(-LN(2)/2)*AB37+(1-EXP(-LN(2)/2))/(LN(2)/2)*V38*Y38*VLOOKUP('Données projet'!$B$9,Paramètres!$A$1:$I$89,3,0)*0.475*44/12</f>
        <v>0.10126693856313916</v>
      </c>
      <c r="AC38" s="22">
        <f t="shared" si="3"/>
        <v>53.251542957170756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116.87253889414677</v>
      </c>
      <c r="T39" s="59">
        <f t="shared" si="34"/>
        <v>309.04878184451508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43.805615273938663</v>
      </c>
      <c r="AA39" s="21">
        <f>EXP(-LN(2)/25)*AA38+(1-EXP(-LN(2)/25))/(LN(2)/25)*Calculateur!V39*Calculateur!X39*VLOOKUP('Données projet'!$B$9,Paramètres!$A$1:$I$89,3,0)*0.475*44/12</f>
        <v>8.2369069629653566</v>
      </c>
      <c r="AB39" s="21">
        <f>EXP(-LN(2)/2)*AB38+(1-EXP(-LN(2)/2))/(LN(2)/2)*V39*Y39*VLOOKUP('Données projet'!$B$9,Paramètres!$A$1:$I$89,3,0)*0.475*44/12</f>
        <v>7.1606538967997194E-2</v>
      </c>
      <c r="AC39" s="22">
        <f t="shared" si="3"/>
        <v>52.114128775872018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116.87253889414677</v>
      </c>
      <c r="T40" s="59">
        <f t="shared" si="34"/>
        <v>309.04878184451508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42.946613877203781</v>
      </c>
      <c r="AA40" s="21">
        <f>EXP(-LN(2)/25)*AA39+(1-EXP(-LN(2)/25))/(LN(2)/25)*Calculateur!V40*Calculateur!X40*VLOOKUP('Données projet'!$B$9,Paramètres!$A$1:$I$89,3,0)*0.475*44/12</f>
        <v>8.0116683089029568</v>
      </c>
      <c r="AB40" s="21">
        <f>EXP(-LN(2)/2)*AB39+(1-EXP(-LN(2)/2))/(LN(2)/2)*V40*Y40*VLOOKUP('Données projet'!$B$9,Paramètres!$A$1:$I$89,3,0)*0.475*44/12</f>
        <v>5.0633469281569581E-2</v>
      </c>
      <c r="AC40" s="22">
        <f t="shared" si="3"/>
        <v>51.008915655388307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116.87253889414677</v>
      </c>
      <c r="T41" s="59">
        <f t="shared" si="34"/>
        <v>309.04878184451508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42.104456973919753</v>
      </c>
      <c r="AA41" s="21">
        <f>EXP(-LN(2)/25)*AA40+(1-EXP(-LN(2)/25))/(LN(2)/25)*Calculateur!V41*Calculateur!X41*VLOOKUP('Données projet'!$B$9,Paramètres!$A$1:$I$89,3,0)*0.475*44/12</f>
        <v>7.7925888176806799</v>
      </c>
      <c r="AB41" s="21">
        <f>EXP(-LN(2)/2)*AB40+(1-EXP(-LN(2)/2))/(LN(2)/2)*V41*Y41*VLOOKUP('Données projet'!$B$9,Paramètres!$A$1:$I$89,3,0)*0.475*44/12</f>
        <v>3.5803269483998597E-2</v>
      </c>
      <c r="AC41" s="22">
        <f t="shared" si="3"/>
        <v>49.932849061084433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116.87253889414677</v>
      </c>
      <c r="T42" s="59">
        <f t="shared" si="34"/>
        <v>309.04878184451508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41.278814253844132</v>
      </c>
      <c r="AA42" s="21">
        <f>EXP(-LN(2)/25)*AA41+(1-EXP(-LN(2)/25))/(LN(2)/25)*Calculateur!V42*Calculateur!X42*VLOOKUP('Données projet'!$B$9,Paramètres!$A$1:$I$89,3,0)*0.475*44/12</f>
        <v>7.5795000666667658</v>
      </c>
      <c r="AB42" s="21">
        <f>EXP(-LN(2)/2)*AB41+(1-EXP(-LN(2)/2))/(LN(2)/2)*V42*Y42*VLOOKUP('Données projet'!$B$9,Paramètres!$A$1:$I$89,3,0)*0.475*44/12</f>
        <v>2.531673464078479E-2</v>
      </c>
      <c r="AC42" s="22">
        <f t="shared" si="3"/>
        <v>48.883631055151682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116.87253889414677</v>
      </c>
      <c r="T43" s="59">
        <f t="shared" si="34"/>
        <v>309.04878184451508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40.469361883916861</v>
      </c>
      <c r="AA43" s="21">
        <f>EXP(-LN(2)/25)*AA42+(1-EXP(-LN(2)/25))/(LN(2)/25)*Calculateur!V43*Calculateur!X43*VLOOKUP('Données projet'!$B$9,Paramètres!$A$1:$I$89,3,0)*0.475*44/12</f>
        <v>7.3722382387551777</v>
      </c>
      <c r="AB43" s="21">
        <f>EXP(-LN(2)/2)*AB42+(1-EXP(-LN(2)/2))/(LN(2)/2)*V43*Y43*VLOOKUP('Données projet'!$B$9,Paramètres!$A$1:$I$89,3,0)*0.475*44/12</f>
        <v>1.7901634741999298E-2</v>
      </c>
      <c r="AC43" s="22">
        <f t="shared" si="3"/>
        <v>47.859501757414037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116.87253889414677</v>
      </c>
      <c r="T44" s="59">
        <f t="shared" si="34"/>
        <v>309.04878184451508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39.67578238124667</v>
      </c>
      <c r="AA44" s="21">
        <f>EXP(-LN(2)/25)*AA43+(1-EXP(-LN(2)/25))/(LN(2)/25)*Calculateur!V44*Calculateur!X44*VLOOKUP('Données projet'!$B$9,Paramètres!$A$1:$I$89,3,0)*0.475*44/12</f>
        <v>7.1706439964272581</v>
      </c>
      <c r="AB44" s="21">
        <f>EXP(-LN(2)/2)*AB43+(1-EXP(-LN(2)/2))/(LN(2)/2)*V44*Y44*VLOOKUP('Données projet'!$B$9,Paramètres!$A$1:$I$89,3,0)*0.475*44/12</f>
        <v>1.2658367320392395E-2</v>
      </c>
      <c r="AC44" s="22">
        <f t="shared" si="3"/>
        <v>46.85908474499432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116.87253889414677</v>
      </c>
      <c r="T45" s="59">
        <f t="shared" si="34"/>
        <v>309.04878184451508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38.897764488588138</v>
      </c>
      <c r="AA45" s="21">
        <f>EXP(-LN(2)/25)*AA44+(1-EXP(-LN(2)/25))/(LN(2)/25)*Calculateur!V45*Calculateur!X45*VLOOKUP('Données projet'!$B$9,Paramètres!$A$1:$I$89,3,0)*0.475*44/12</f>
        <v>6.9745623592571757</v>
      </c>
      <c r="AB45" s="21">
        <f>EXP(-LN(2)/2)*AB44+(1-EXP(-LN(2)/2))/(LN(2)/2)*V45*Y45*VLOOKUP('Données projet'!$B$9,Paramètres!$A$1:$I$89,3,0)*0.475*44/12</f>
        <v>8.9508173709996492E-3</v>
      </c>
      <c r="AC45" s="22">
        <f t="shared" si="3"/>
        <v>45.881277665216317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116.87253889414677</v>
      </c>
      <c r="T46" s="59">
        <f t="shared" si="34"/>
        <v>309.04878184451508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38.135003052260586</v>
      </c>
      <c r="AA46" s="21">
        <f>EXP(-LN(2)/25)*AA45+(1-EXP(-LN(2)/25))/(LN(2)/25)*Calculateur!V46*Calculateur!X46*VLOOKUP('Données projet'!$B$9,Paramètres!$A$1:$I$89,3,0)*0.475*44/12</f>
        <v>6.7838425847669948</v>
      </c>
      <c r="AB46" s="21">
        <f>EXP(-LN(2)/2)*AB45+(1-EXP(-LN(2)/2))/(LN(2)/2)*V46*Y46*VLOOKUP('Données projet'!$B$9,Paramètres!$A$1:$I$89,3,0)*0.475*44/12</f>
        <v>6.3291836601961976E-3</v>
      </c>
      <c r="AC46" s="22">
        <f t="shared" si="3"/>
        <v>44.925174820687779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116.87253889414677</v>
      </c>
      <c r="T47" s="59">
        <f t="shared" si="34"/>
        <v>309.04878184451508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37.387198902460881</v>
      </c>
      <c r="AA47" s="21">
        <f>EXP(-LN(2)/25)*AA46+(1-EXP(-LN(2)/25))/(LN(2)/25)*Calculateur!V47*Calculateur!X47*VLOOKUP('Données projet'!$B$9,Paramètres!$A$1:$I$89,3,0)*0.475*44/12</f>
        <v>6.5983380525397646</v>
      </c>
      <c r="AB47" s="21">
        <f>EXP(-LN(2)/2)*AB46+(1-EXP(-LN(2)/2))/(LN(2)/2)*V47*Y47*VLOOKUP('Données projet'!$B$9,Paramètres!$A$1:$I$89,3,0)*0.475*44/12</f>
        <v>4.4754086854998246E-3</v>
      </c>
      <c r="AC47" s="22">
        <f t="shared" si="3"/>
        <v>43.990012363686148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116.87253889414677</v>
      </c>
      <c r="T48" s="59">
        <f t="shared" si="34"/>
        <v>309.04878184451508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36.65405873592325</v>
      </c>
      <c r="AA48" s="21">
        <f>EXP(-LN(2)/25)*AA47+(1-EXP(-LN(2)/25))/(LN(2)/25)*Calculateur!V48*Calculateur!X48*VLOOKUP('Données projet'!$B$9,Paramètres!$A$1:$I$89,3,0)*0.475*44/12</f>
        <v>6.4179061515015476</v>
      </c>
      <c r="AB48" s="21">
        <f>EXP(-LN(2)/2)*AB47+(1-EXP(-LN(2)/2))/(LN(2)/2)*V48*Y48*VLOOKUP('Données projet'!$B$9,Paramètres!$A$1:$I$89,3,0)*0.475*44/12</f>
        <v>3.1645918300980988E-3</v>
      </c>
      <c r="AC48" s="22">
        <f t="shared" si="3"/>
        <v>43.075129479254898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116.87253889414677</v>
      </c>
      <c r="T49" s="59">
        <f t="shared" si="34"/>
        <v>309.04878184451508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35.935295000880075</v>
      </c>
      <c r="AA49" s="21">
        <f>EXP(-LN(2)/25)*AA48+(1-EXP(-LN(2)/25))/(LN(2)/25)*Calculateur!V49*Calculateur!X49*VLOOKUP('Données projet'!$B$9,Paramètres!$A$1:$I$89,3,0)*0.475*44/12</f>
        <v>6.2424081702857217</v>
      </c>
      <c r="AB49" s="21">
        <f>EXP(-LN(2)/2)*AB48+(1-EXP(-LN(2)/2))/(LN(2)/2)*V49*Y49*VLOOKUP('Données projet'!$B$9,Paramètres!$A$1:$I$89,3,0)*0.475*44/12</f>
        <v>2.2377043427499123E-3</v>
      </c>
      <c r="AC49" s="22">
        <f t="shared" si="3"/>
        <v>42.179940875508542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116.87253889414677</v>
      </c>
      <c r="T50" s="59">
        <f t="shared" si="34"/>
        <v>309.04878184451508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35.230625784278509</v>
      </c>
      <c r="AA50" s="21">
        <f>EXP(-LN(2)/25)*AA49+(1-EXP(-LN(2)/25))/(LN(2)/25)*Calculateur!V50*Calculateur!X50*VLOOKUP('Données projet'!$B$9,Paramètres!$A$1:$I$89,3,0)*0.475*44/12</f>
        <v>6.0717091905952802</v>
      </c>
      <c r="AB50" s="21">
        <f>EXP(-LN(2)/2)*AB49+(1-EXP(-LN(2)/2))/(LN(2)/2)*V50*Y50*VLOOKUP('Données projet'!$B$9,Paramètres!$A$1:$I$89,3,0)*0.475*44/12</f>
        <v>1.5822959150490494E-3</v>
      </c>
      <c r="AC50" s="22">
        <f t="shared" si="3"/>
        <v>41.303917270788837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116.87253889414677</v>
      </c>
      <c r="T51" s="59">
        <f t="shared" si="34"/>
        <v>309.04878184451508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34.539774701208714</v>
      </c>
      <c r="AA51" s="21">
        <f>EXP(-LN(2)/25)*AA50+(1-EXP(-LN(2)/25))/(LN(2)/25)*Calculateur!V51*Calculateur!X51*VLOOKUP('Données projet'!$B$9,Paramètres!$A$1:$I$89,3,0)*0.475*44/12</f>
        <v>5.9056779834811435</v>
      </c>
      <c r="AB51" s="21">
        <f>EXP(-LN(2)/2)*AB50+(1-EXP(-LN(2)/2))/(LN(2)/2)*V51*Y51*VLOOKUP('Données projet'!$B$9,Paramètres!$A$1:$I$89,3,0)*0.475*44/12</f>
        <v>1.1188521713749562E-3</v>
      </c>
      <c r="AC51" s="22">
        <f t="shared" si="3"/>
        <v>40.446571536861228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116.87253889414677</v>
      </c>
      <c r="T52" s="59">
        <f t="shared" si="34"/>
        <v>309.04878184451508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33.862470786500367</v>
      </c>
      <c r="AA52" s="21">
        <f>EXP(-LN(2)/25)*AA51+(1-EXP(-LN(2)/25))/(LN(2)/25)*Calculateur!V52*Calculateur!X52*VLOOKUP('Données projet'!$B$9,Paramètres!$A$1:$I$89,3,0)*0.475*44/12</f>
        <v>5.7441869084567445</v>
      </c>
      <c r="AB52" s="21">
        <f>EXP(-LN(2)/2)*AB51+(1-EXP(-LN(2)/2))/(LN(2)/2)*V52*Y52*VLOOKUP('Données projet'!$B$9,Paramètres!$A$1:$I$89,3,0)*0.475*44/12</f>
        <v>7.911479575245247E-4</v>
      </c>
      <c r="AC52" s="22">
        <f t="shared" si="3"/>
        <v>39.607448842914636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116.87253889414677</v>
      </c>
      <c r="T53" s="59">
        <f t="shared" si="34"/>
        <v>309.04878184451508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33.198448388444852</v>
      </c>
      <c r="AA53" s="21">
        <f>EXP(-LN(2)/25)*AA52+(1-EXP(-LN(2)/25))/(LN(2)/25)*Calculateur!V53*Calculateur!X53*VLOOKUP('Données projet'!$B$9,Paramètres!$A$1:$I$89,3,0)*0.475*44/12</f>
        <v>5.5871118153713342</v>
      </c>
      <c r="AB53" s="21">
        <f>EXP(-LN(2)/2)*AB52+(1-EXP(-LN(2)/2))/(LN(2)/2)*V53*Y53*VLOOKUP('Données projet'!$B$9,Paramètres!$A$1:$I$89,3,0)*0.475*44/12</f>
        <v>5.5942608568747808E-4</v>
      </c>
      <c r="AC53" s="22">
        <f t="shared" si="3"/>
        <v>38.786119629901876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116.87253889414677</v>
      </c>
      <c r="T54" s="59">
        <f t="shared" si="34"/>
        <v>309.04878184451508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32.547447064601535</v>
      </c>
      <c r="AA54" s="21">
        <f>EXP(-LN(2)/25)*AA53+(1-EXP(-LN(2)/25))/(LN(2)/25)*Calculateur!V54*Calculateur!X54*VLOOKUP('Données projet'!$B$9,Paramètres!$A$1:$I$89,3,0)*0.475*44/12</f>
        <v>5.4343319489665642</v>
      </c>
      <c r="AB54" s="21">
        <f>EXP(-LN(2)/2)*AB53+(1-EXP(-LN(2)/2))/(LN(2)/2)*V54*Y54*VLOOKUP('Données projet'!$B$9,Paramètres!$A$1:$I$89,3,0)*0.475*44/12</f>
        <v>3.9557397876226235E-4</v>
      </c>
      <c r="AC54" s="22">
        <f t="shared" si="3"/>
        <v>37.982174587546865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116.87253889414677</v>
      </c>
      <c r="T55" s="59">
        <f t="shared" si="34"/>
        <v>309.04878184451508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31.909211479647187</v>
      </c>
      <c r="AA55" s="21">
        <f>EXP(-LN(2)/25)*AA54+(1-EXP(-LN(2)/25))/(LN(2)/25)*Calculateur!V55*Calculateur!X55*VLOOKUP('Données projet'!$B$9,Paramètres!$A$1:$I$89,3,0)*0.475*44/12</f>
        <v>5.2857298560429768</v>
      </c>
      <c r="AB55" s="21">
        <f>EXP(-LN(2)/2)*AB54+(1-EXP(-LN(2)/2))/(LN(2)/2)*V55*Y55*VLOOKUP('Données projet'!$B$9,Paramètres!$A$1:$I$89,3,0)*0.475*44/12</f>
        <v>2.7971304284373904E-4</v>
      </c>
      <c r="AC55" s="22">
        <f t="shared" si="3"/>
        <v>37.195221048733003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116.87253889414677</v>
      </c>
      <c r="T56" s="59">
        <f t="shared" si="34"/>
        <v>309.04878184451508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31.283491305228527</v>
      </c>
      <c r="AA56" s="21">
        <f>EXP(-LN(2)/25)*AA55+(1-EXP(-LN(2)/25))/(LN(2)/25)*Calculateur!V56*Calculateur!X56*VLOOKUP('Données projet'!$B$9,Paramètres!$A$1:$I$89,3,0)*0.475*44/12</f>
        <v>5.1411912951650294</v>
      </c>
      <c r="AB56" s="21">
        <f>EXP(-LN(2)/2)*AB55+(1-EXP(-LN(2)/2))/(LN(2)/2)*V56*Y56*VLOOKUP('Données projet'!$B$9,Paramètres!$A$1:$I$89,3,0)*0.475*44/12</f>
        <v>1.9778698938113117E-4</v>
      </c>
      <c r="AC56" s="22">
        <f t="shared" si="3"/>
        <v>36.424880387382935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116.87253889414677</v>
      </c>
      <c r="T57" s="59">
        <f t="shared" si="34"/>
        <v>309.04878184451508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30.670041121778596</v>
      </c>
      <c r="AA57" s="21">
        <f>EXP(-LN(2)/25)*AA56+(1-EXP(-LN(2)/25))/(LN(2)/25)*Calculateur!V57*Calculateur!X57*VLOOKUP('Données projet'!$B$9,Paramètres!$A$1:$I$89,3,0)*0.475*44/12</f>
        <v>5.0006051488352421</v>
      </c>
      <c r="AB57" s="21">
        <f>EXP(-LN(2)/2)*AB56+(1-EXP(-LN(2)/2))/(LN(2)/2)*V57*Y57*VLOOKUP('Données projet'!$B$9,Paramètres!$A$1:$I$89,3,0)*0.475*44/12</f>
        <v>1.3985652142186952E-4</v>
      </c>
      <c r="AC57" s="22">
        <f t="shared" si="3"/>
        <v>35.670786127135258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116.87253889414677</v>
      </c>
      <c r="T58" s="59">
        <f t="shared" si="34"/>
        <v>309.04878184451508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30.06862032225845</v>
      </c>
      <c r="AA58" s="21">
        <f>EXP(-LN(2)/25)*AA57+(1-EXP(-LN(2)/25))/(LN(2)/25)*Calculateur!V58*Calculateur!X58*VLOOKUP('Données projet'!$B$9,Paramètres!$A$1:$I$89,3,0)*0.475*44/12</f>
        <v>4.8638633380699465</v>
      </c>
      <c r="AB58" s="21">
        <f>EXP(-LN(2)/2)*AB57+(1-EXP(-LN(2)/2))/(LN(2)/2)*V58*Y58*VLOOKUP('Données projet'!$B$9,Paramètres!$A$1:$I$89,3,0)*0.475*44/12</f>
        <v>9.8893494690565587E-5</v>
      </c>
      <c r="AC58" s="22">
        <f t="shared" si="3"/>
        <v>34.932582553823082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116.87253889414677</v>
      </c>
      <c r="T59" s="59">
        <f t="shared" si="34"/>
        <v>309.04878184451508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29.478993017786429</v>
      </c>
      <c r="AA59" s="21">
        <f>EXP(-LN(2)/25)*AA58+(1-EXP(-LN(2)/25))/(LN(2)/25)*Calculateur!V59*Calculateur!X59*VLOOKUP('Données projet'!$B$9,Paramètres!$A$1:$I$89,3,0)*0.475*44/12</f>
        <v>4.7308607393109678</v>
      </c>
      <c r="AB59" s="21">
        <f>EXP(-LN(2)/2)*AB58+(1-EXP(-LN(2)/2))/(LN(2)/2)*V59*Y59*VLOOKUP('Données projet'!$B$9,Paramètres!$A$1:$I$89,3,0)*0.475*44/12</f>
        <v>6.9928260710934759E-5</v>
      </c>
      <c r="AC59" s="22">
        <f t="shared" si="3"/>
        <v>34.209923685358113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116.87253889414677</v>
      </c>
      <c r="T60" s="59">
        <f t="shared" si="34"/>
        <v>309.04878184451508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28.90092794511796</v>
      </c>
      <c r="AA60" s="21">
        <f>EXP(-LN(2)/25)*AA59+(1-EXP(-LN(2)/25))/(LN(2)/25)*Calculateur!V60*Calculateur!X60*VLOOKUP('Données projet'!$B$9,Paramètres!$A$1:$I$89,3,0)*0.475*44/12</f>
        <v>4.6014951036093557</v>
      </c>
      <c r="AB60" s="21">
        <f>EXP(-LN(2)/2)*AB59+(1-EXP(-LN(2)/2))/(LN(2)/2)*V60*Y60*VLOOKUP('Données projet'!$B$9,Paramètres!$A$1:$I$89,3,0)*0.475*44/12</f>
        <v>4.9446747345282794E-5</v>
      </c>
      <c r="AC60" s="22">
        <f t="shared" si="3"/>
        <v>33.502472495474663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116.87253889414677</v>
      </c>
      <c r="T61" s="59">
        <f t="shared" si="34"/>
        <v>309.04878184451508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28.334198375939639</v>
      </c>
      <c r="AA61" s="21">
        <f>EXP(-LN(2)/25)*AA60+(1-EXP(-LN(2)/25))/(LN(2)/25)*Calculateur!V61*Calculateur!X61*VLOOKUP('Données projet'!$B$9,Paramètres!$A$1:$I$89,3,0)*0.475*44/12</f>
        <v>4.4756669780190474</v>
      </c>
      <c r="AB61" s="21">
        <f>EXP(-LN(2)/2)*AB60+(1-EXP(-LN(2)/2))/(LN(2)/2)*V61*Y61*VLOOKUP('Données projet'!$B$9,Paramètres!$A$1:$I$89,3,0)*0.475*44/12</f>
        <v>3.496413035546738E-5</v>
      </c>
      <c r="AC61" s="22">
        <f t="shared" si="3"/>
        <v>32.809900318089042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116.87253889414677</v>
      </c>
      <c r="T62" s="59">
        <f t="shared" si="34"/>
        <v>309.04878184451508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27.778582027942001</v>
      </c>
      <c r="AA62" s="21">
        <f>EXP(-LN(2)/25)*AA61+(1-EXP(-LN(2)/25))/(LN(2)/25)*Calculateur!V62*Calculateur!X62*VLOOKUP('Données projet'!$B$9,Paramètres!$A$1:$I$89,3,0)*0.475*44/12</f>
        <v>4.3532796291400198</v>
      </c>
      <c r="AB62" s="21">
        <f>EXP(-LN(2)/2)*AB61+(1-EXP(-LN(2)/2))/(LN(2)/2)*V62*Y62*VLOOKUP('Données projet'!$B$9,Paramètres!$A$1:$I$89,3,0)*0.475*44/12</f>
        <v>2.4723373672641397E-5</v>
      </c>
      <c r="AC62" s="22">
        <f t="shared" si="3"/>
        <v>32.13188638045569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116.87253889414677</v>
      </c>
      <c r="T63" s="59">
        <f t="shared" si="34"/>
        <v>309.04878184451508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27.233860977636088</v>
      </c>
      <c r="AA63" s="21">
        <f>EXP(-LN(2)/25)*AA62+(1-EXP(-LN(2)/25))/(LN(2)/25)*Calculateur!V63*Calculateur!X63*VLOOKUP('Données projet'!$B$9,Paramètres!$A$1:$I$89,3,0)*0.475*44/12</f>
        <v>4.2342389687521598</v>
      </c>
      <c r="AB63" s="21">
        <f>EXP(-LN(2)/2)*AB62+(1-EXP(-LN(2)/2))/(LN(2)/2)*V63*Y63*VLOOKUP('Données projet'!$B$9,Paramètres!$A$1:$I$89,3,0)*0.475*44/12</f>
        <v>1.748206517773369E-5</v>
      </c>
      <c r="AC63" s="22">
        <f t="shared" si="3"/>
        <v>31.468117428453425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116.87253889414677</v>
      </c>
      <c r="T64" s="59">
        <f t="shared" si="34"/>
        <v>309.04878184451508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26.699821574879639</v>
      </c>
      <c r="AA64" s="21">
        <f>EXP(-LN(2)/25)*AA63+(1-EXP(-LN(2)/25))/(LN(2)/25)*Calculateur!V64*Calculateur!X64*VLOOKUP('Données projet'!$B$9,Paramètres!$A$1:$I$89,3,0)*0.475*44/12</f>
        <v>4.1184534814826819</v>
      </c>
      <c r="AB64" s="21">
        <f>EXP(-LN(2)/2)*AB63+(1-EXP(-LN(2)/2))/(LN(2)/2)*V64*Y64*VLOOKUP('Données projet'!$B$9,Paramètres!$A$1:$I$89,3,0)*0.475*44/12</f>
        <v>1.2361686836320698E-5</v>
      </c>
      <c r="AC64" s="22">
        <f t="shared" si="3"/>
        <v>30.818287418049156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116.87253889414677</v>
      </c>
      <c r="T65" s="59">
        <f t="shared" si="34"/>
        <v>309.04878184451508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26.176254359079373</v>
      </c>
      <c r="AA65" s="21">
        <f>EXP(-LN(2)/25)*AA64+(1-EXP(-LN(2)/25))/(LN(2)/25)*Calculateur!V65*Calculateur!X65*VLOOKUP('Données projet'!$B$9,Paramètres!$A$1:$I$89,3,0)*0.475*44/12</f>
        <v>4.0058341544514819</v>
      </c>
      <c r="AB65" s="21">
        <f>EXP(-LN(2)/2)*AB64+(1-EXP(-LN(2)/2))/(LN(2)/2)*V65*Y65*VLOOKUP('Données projet'!$B$9,Paramètres!$A$1:$I$89,3,0)*0.475*44/12</f>
        <v>8.7410325888668449E-6</v>
      </c>
      <c r="AC65" s="22">
        <f t="shared" si="3"/>
        <v>30.182097254563441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116.87253889414677</v>
      </c>
      <c r="T66" s="59">
        <f t="shared" si="34"/>
        <v>309.04878184451508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25.66295397703648</v>
      </c>
      <c r="AA66" s="21">
        <f>EXP(-LN(2)/25)*AA65+(1-EXP(-LN(2)/25))/(LN(2)/25)*Calculateur!V66*Calculateur!X66*VLOOKUP('Données projet'!$B$9,Paramètres!$A$1:$I$89,3,0)*0.475*44/12</f>
        <v>3.8962944088403435</v>
      </c>
      <c r="AB66" s="21">
        <f>EXP(-LN(2)/2)*AB65+(1-EXP(-LN(2)/2))/(LN(2)/2)*V66*Y66*VLOOKUP('Données projet'!$B$9,Paramètres!$A$1:$I$89,3,0)*0.475*44/12</f>
        <v>6.1808434181603492E-6</v>
      </c>
      <c r="AC66" s="22">
        <f t="shared" si="3"/>
        <v>29.559254566720242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116.87253889414677</v>
      </c>
      <c r="T67" s="59">
        <f t="shared" si="34"/>
        <v>309.04878184451508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25.15971910240313</v>
      </c>
      <c r="AA67" s="21">
        <f>EXP(-LN(2)/25)*AA66+(1-EXP(-LN(2)/25))/(LN(2)/25)*Calculateur!V67*Calculateur!X67*VLOOKUP('Données projet'!$B$9,Paramètres!$A$1:$I$89,3,0)*0.475*44/12</f>
        <v>3.7897500333333864</v>
      </c>
      <c r="AB67" s="21">
        <f>EXP(-LN(2)/2)*AB66+(1-EXP(-LN(2)/2))/(LN(2)/2)*V67*Y67*VLOOKUP('Données projet'!$B$9,Paramètres!$A$1:$I$89,3,0)*0.475*44/12</f>
        <v>4.3705162944334225E-6</v>
      </c>
      <c r="AC67" s="22">
        <f t="shared" si="3"/>
        <v>28.949473506252811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116.87253889414677</v>
      </c>
      <c r="T68" s="59">
        <f t="shared" si="34"/>
        <v>309.04878184451508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24.666352356718374</v>
      </c>
      <c r="AA68" s="21">
        <f>EXP(-LN(2)/25)*AA67+(1-EXP(-LN(2)/25))/(LN(2)/25)*Calculateur!V68*Calculateur!X68*VLOOKUP('Données projet'!$B$9,Paramètres!$A$1:$I$89,3,0)*0.475*44/12</f>
        <v>3.6861191193775924</v>
      </c>
      <c r="AB68" s="21">
        <f>EXP(-LN(2)/2)*AB67+(1-EXP(-LN(2)/2))/(LN(2)/2)*V68*Y68*VLOOKUP('Données projet'!$B$9,Paramètres!$A$1:$I$89,3,0)*0.475*44/12</f>
        <v>3.0904217090801746E-6</v>
      </c>
      <c r="AC68" s="22">
        <f t="shared" ref="AC68:AC131" si="57">SUM(Z68:AB68)</f>
        <v>28.352474566517678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116.87253889414677</v>
      </c>
      <c r="T69" s="59">
        <f t="shared" ref="T69:T132" si="88">$T$3</f>
        <v>309.04878184451508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24.182660231992493</v>
      </c>
      <c r="AA69" s="21">
        <f>EXP(-LN(2)/25)*AA68+(1-EXP(-LN(2)/25))/(LN(2)/25)*Calculateur!V69*Calculateur!X69*VLOOKUP('Données projet'!$B$9,Paramètres!$A$1:$I$89,3,0)*0.475*44/12</f>
        <v>3.5853219982136322</v>
      </c>
      <c r="AB69" s="21">
        <f>EXP(-LN(2)/2)*AB68+(1-EXP(-LN(2)/2))/(LN(2)/2)*V69*Y69*VLOOKUP('Données projet'!$B$9,Paramètres!$A$1:$I$89,3,0)*0.475*44/12</f>
        <v>2.1852581472167112E-6</v>
      </c>
      <c r="AC69" s="22">
        <f t="shared" si="57"/>
        <v>27.767984415464273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116.87253889414677</v>
      </c>
      <c r="T70" s="59">
        <f t="shared" si="88"/>
        <v>309.04878184451508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23.708453014809425</v>
      </c>
      <c r="AA70" s="21">
        <f>EXP(-LN(2)/25)*AA69+(1-EXP(-LN(2)/25))/(LN(2)/25)*Calculateur!V70*Calculateur!X70*VLOOKUP('Données projet'!$B$9,Paramètres!$A$1:$I$89,3,0)*0.475*44/12</f>
        <v>3.487281179628591</v>
      </c>
      <c r="AB70" s="21">
        <f>EXP(-LN(2)/2)*AB69+(1-EXP(-LN(2)/2))/(LN(2)/2)*V70*Y70*VLOOKUP('Données projet'!$B$9,Paramètres!$A$1:$I$89,3,0)*0.475*44/12</f>
        <v>1.5452108545400873E-6</v>
      </c>
      <c r="AC70" s="22">
        <f t="shared" si="57"/>
        <v>27.195735739648871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116.87253889414677</v>
      </c>
      <c r="T71" s="59">
        <f t="shared" si="88"/>
        <v>309.04878184451508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23.243544711917473</v>
      </c>
      <c r="AA71" s="21">
        <f>EXP(-LN(2)/25)*AA70+(1-EXP(-LN(2)/25))/(LN(2)/25)*Calculateur!V71*Calculateur!X71*VLOOKUP('Données projet'!$B$9,Paramètres!$A$1:$I$89,3,0)*0.475*44/12</f>
        <v>3.3919212923835</v>
      </c>
      <c r="AB71" s="21">
        <f>EXP(-LN(2)/2)*AB70+(1-EXP(-LN(2)/2))/(LN(2)/2)*V71*Y71*VLOOKUP('Données projet'!$B$9,Paramètres!$A$1:$I$89,3,0)*0.475*44/12</f>
        <v>1.0926290736083556E-6</v>
      </c>
      <c r="AC71" s="22">
        <f t="shared" si="57"/>
        <v>26.635467096930046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116.87253889414677</v>
      </c>
      <c r="T72" s="59">
        <f t="shared" si="88"/>
        <v>309.04878184451508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22.787752977279165</v>
      </c>
      <c r="AA72" s="21">
        <f>EXP(-LN(2)/25)*AA71+(1-EXP(-LN(2)/25))/(LN(2)/25)*Calculateur!V72*Calculateur!X72*VLOOKUP('Données projet'!$B$9,Paramètres!$A$1:$I$89,3,0)*0.475*44/12</f>
        <v>3.299169026269885</v>
      </c>
      <c r="AB72" s="21">
        <f>EXP(-LN(2)/2)*AB71+(1-EXP(-LN(2)/2))/(LN(2)/2)*V72*Y72*VLOOKUP('Données projet'!$B$9,Paramètres!$A$1:$I$89,3,0)*0.475*44/12</f>
        <v>7.7260542727004365E-7</v>
      </c>
      <c r="AC72" s="22">
        <f t="shared" si="57"/>
        <v>26.086922776154477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116.87253889414677</v>
      </c>
      <c r="T73" s="59">
        <f t="shared" si="88"/>
        <v>309.04878184451508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22.340899040551609</v>
      </c>
      <c r="AA73" s="21">
        <f>EXP(-LN(2)/25)*AA72+(1-EXP(-LN(2)/25))/(LN(2)/25)*Calculateur!V73*Calculateur!X73*VLOOKUP('Données projet'!$B$9,Paramètres!$A$1:$I$89,3,0)*0.475*44/12</f>
        <v>3.208953075750776</v>
      </c>
      <c r="AB73" s="21">
        <f>EXP(-LN(2)/2)*AB72+(1-EXP(-LN(2)/2))/(LN(2)/2)*V73*Y73*VLOOKUP('Données projet'!$B$9,Paramètres!$A$1:$I$89,3,0)*0.475*44/12</f>
        <v>5.4631453680417781E-7</v>
      </c>
      <c r="AC73" s="22">
        <f t="shared" si="57"/>
        <v>25.549852662616924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116.87253889414677</v>
      </c>
      <c r="T74" s="59">
        <f t="shared" si="88"/>
        <v>309.04878184451508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21.902807636969293</v>
      </c>
      <c r="AA74" s="21">
        <f>EXP(-LN(2)/25)*AA73+(1-EXP(-LN(2)/25))/(LN(2)/25)*Calculateur!V74*Calculateur!X74*VLOOKUP('Données projet'!$B$9,Paramètres!$A$1:$I$89,3,0)*0.475*44/12</f>
        <v>3.1212040851428631</v>
      </c>
      <c r="AB74" s="21">
        <f>EXP(-LN(2)/2)*AB73+(1-EXP(-LN(2)/2))/(LN(2)/2)*V74*Y74*VLOOKUP('Données projet'!$B$9,Paramètres!$A$1:$I$89,3,0)*0.475*44/12</f>
        <v>3.8630271363502182E-7</v>
      </c>
      <c r="AC74" s="22">
        <f t="shared" si="57"/>
        <v>25.024012108414869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116.87253889414677</v>
      </c>
      <c r="T75" s="59">
        <f t="shared" si="88"/>
        <v>309.04878184451508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21.473306938601851</v>
      </c>
      <c r="AA75" s="21">
        <f>EXP(-LN(2)/25)*AA74+(1-EXP(-LN(2)/25))/(LN(2)/25)*Calculateur!V75*Calculateur!X75*VLOOKUP('Données projet'!$B$9,Paramètres!$A$1:$I$89,3,0)*0.475*44/12</f>
        <v>3.0358545952976423</v>
      </c>
      <c r="AB75" s="21">
        <f>EXP(-LN(2)/2)*AB74+(1-EXP(-LN(2)/2))/(LN(2)/2)*V75*Y75*VLOOKUP('Données projet'!$B$9,Paramètres!$A$1:$I$89,3,0)*0.475*44/12</f>
        <v>2.731572684020889E-7</v>
      </c>
      <c r="AC75" s="22">
        <f t="shared" si="57"/>
        <v>24.509161807056763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116.87253889414677</v>
      </c>
      <c r="T76" s="59">
        <f t="shared" si="88"/>
        <v>309.04878184451508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21.052228486959837</v>
      </c>
      <c r="AA76" s="21">
        <f>EXP(-LN(2)/25)*AA75+(1-EXP(-LN(2)/25))/(LN(2)/25)*Calculateur!V76*Calculateur!X76*VLOOKUP('Données projet'!$B$9,Paramètres!$A$1:$I$89,3,0)*0.475*44/12</f>
        <v>2.9528389917405735</v>
      </c>
      <c r="AB76" s="21">
        <f>EXP(-LN(2)/2)*AB75+(1-EXP(-LN(2)/2))/(LN(2)/2)*V76*Y76*VLOOKUP('Données projet'!$B$9,Paramètres!$A$1:$I$89,3,0)*0.475*44/12</f>
        <v>1.9315135681751091E-7</v>
      </c>
      <c r="AC76" s="22">
        <f t="shared" si="57"/>
        <v>24.005067671851769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116.87253889414677</v>
      </c>
      <c r="T77" s="59">
        <f t="shared" si="88"/>
        <v>309.04878184451508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20.63940712692203</v>
      </c>
      <c r="AA77" s="21">
        <f>EXP(-LN(2)/25)*AA76+(1-EXP(-LN(2)/25))/(LN(2)/25)*Calculateur!V77*Calculateur!X77*VLOOKUP('Données projet'!$B$9,Paramètres!$A$1:$I$89,3,0)*0.475*44/12</f>
        <v>2.8720934542283736</v>
      </c>
      <c r="AB77" s="21">
        <f>EXP(-LN(2)/2)*AB76+(1-EXP(-LN(2)/2))/(LN(2)/2)*V77*Y77*VLOOKUP('Données projet'!$B$9,Paramètres!$A$1:$I$89,3,0)*0.475*44/12</f>
        <v>1.3657863420104445E-7</v>
      </c>
      <c r="AC77" s="22">
        <f t="shared" si="57"/>
        <v>23.511500717729039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116.87253889414677</v>
      </c>
      <c r="T78" s="59">
        <f t="shared" si="88"/>
        <v>309.04878184451508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20.234680941958395</v>
      </c>
      <c r="AA78" s="21">
        <f>EXP(-LN(2)/25)*AA77+(1-EXP(-LN(2)/25))/(LN(2)/25)*Calculateur!V78*Calculateur!X78*VLOOKUP('Données projet'!$B$9,Paramètres!$A$1:$I$89,3,0)*0.475*44/12</f>
        <v>2.7935559076856684</v>
      </c>
      <c r="AB78" s="21">
        <f>EXP(-LN(2)/2)*AB77+(1-EXP(-LN(2)/2))/(LN(2)/2)*V78*Y78*VLOOKUP('Données projet'!$B$9,Paramètres!$A$1:$I$89,3,0)*0.475*44/12</f>
        <v>9.6575678408755456E-8</v>
      </c>
      <c r="AC78" s="22">
        <f t="shared" si="57"/>
        <v>23.028236946219742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116.87253889414677</v>
      </c>
      <c r="T79" s="59">
        <f t="shared" si="88"/>
        <v>309.04878184451508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19.837891190623299</v>
      </c>
      <c r="AA79" s="21">
        <f>EXP(-LN(2)/25)*AA78+(1-EXP(-LN(2)/25))/(LN(2)/25)*Calculateur!V79*Calculateur!X79*VLOOKUP('Données projet'!$B$9,Paramètres!$A$1:$I$89,3,0)*0.475*44/12</f>
        <v>2.7171659744832835</v>
      </c>
      <c r="AB79" s="21">
        <f>EXP(-LN(2)/2)*AB78+(1-EXP(-LN(2)/2))/(LN(2)/2)*V79*Y79*VLOOKUP('Données projet'!$B$9,Paramètres!$A$1:$I$89,3,0)*0.475*44/12</f>
        <v>6.8289317100522226E-8</v>
      </c>
      <c r="AC79" s="22">
        <f t="shared" si="57"/>
        <v>22.5550572333959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116.87253889414677</v>
      </c>
      <c r="T80" s="59">
        <f t="shared" si="88"/>
        <v>309.04878184451508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19.448882244294033</v>
      </c>
      <c r="AA80" s="21">
        <f>EXP(-LN(2)/25)*AA79+(1-EXP(-LN(2)/25))/(LN(2)/25)*Calculateur!V80*Calculateur!X80*VLOOKUP('Données projet'!$B$9,Paramètres!$A$1:$I$89,3,0)*0.475*44/12</f>
        <v>2.6428649280214898</v>
      </c>
      <c r="AB80" s="21">
        <f>EXP(-LN(2)/2)*AB79+(1-EXP(-LN(2)/2))/(LN(2)/2)*V80*Y80*VLOOKUP('Données projet'!$B$9,Paramètres!$A$1:$I$89,3,0)*0.475*44/12</f>
        <v>4.8287839204377728E-8</v>
      </c>
      <c r="AC80" s="22">
        <f t="shared" si="57"/>
        <v>22.091747220603359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116.87253889414677</v>
      </c>
      <c r="T81" s="59">
        <f t="shared" si="88"/>
        <v>309.04878184451508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19.067501526130258</v>
      </c>
      <c r="AA81" s="21">
        <f>EXP(-LN(2)/25)*AA80+(1-EXP(-LN(2)/25))/(LN(2)/25)*Calculateur!V81*Calculateur!X81*VLOOKUP('Données projet'!$B$9,Paramètres!$A$1:$I$89,3,0)*0.475*44/12</f>
        <v>2.570595647582516</v>
      </c>
      <c r="AB81" s="21">
        <f>EXP(-LN(2)/2)*AB80+(1-EXP(-LN(2)/2))/(LN(2)/2)*V81*Y81*VLOOKUP('Données projet'!$B$9,Paramètres!$A$1:$I$89,3,0)*0.475*44/12</f>
        <v>3.4144658550261113E-8</v>
      </c>
      <c r="AC81" s="22">
        <f t="shared" si="57"/>
        <v>21.638097207857431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116.87253889414677</v>
      </c>
      <c r="T82" s="59">
        <f t="shared" si="88"/>
        <v>309.04878184451508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18.693599451230405</v>
      </c>
      <c r="AA82" s="21">
        <f>EXP(-LN(2)/25)*AA81+(1-EXP(-LN(2)/25))/(LN(2)/25)*Calculateur!V82*Calculateur!X82*VLOOKUP('Données projet'!$B$9,Paramètres!$A$1:$I$89,3,0)*0.475*44/12</f>
        <v>2.5003025744176224</v>
      </c>
      <c r="AB82" s="21">
        <f>EXP(-LN(2)/2)*AB81+(1-EXP(-LN(2)/2))/(LN(2)/2)*V82*Y82*VLOOKUP('Données projet'!$B$9,Paramètres!$A$1:$I$89,3,0)*0.475*44/12</f>
        <v>2.4143919602188864E-8</v>
      </c>
      <c r="AC82" s="22">
        <f t="shared" si="57"/>
        <v>21.193902049791948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116.87253889414677</v>
      </c>
      <c r="T83" s="59">
        <f t="shared" si="88"/>
        <v>309.04878184451508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18.32702936796159</v>
      </c>
      <c r="AA83" s="21">
        <f>EXP(-LN(2)/25)*AA82+(1-EXP(-LN(2)/25))/(LN(2)/25)*Calculateur!V83*Calculateur!X83*VLOOKUP('Données projet'!$B$9,Paramètres!$A$1:$I$89,3,0)*0.475*44/12</f>
        <v>2.4319316690349746</v>
      </c>
      <c r="AB83" s="21">
        <f>EXP(-LN(2)/2)*AB82+(1-EXP(-LN(2)/2))/(LN(2)/2)*V83*Y83*VLOOKUP('Données projet'!$B$9,Paramètres!$A$1:$I$89,3,0)*0.475*44/12</f>
        <v>1.7072329275130556E-8</v>
      </c>
      <c r="AC83" s="22">
        <f t="shared" si="57"/>
        <v>20.758961054068891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116.87253889414677</v>
      </c>
      <c r="T84" s="59">
        <f t="shared" si="88"/>
        <v>309.04878184451508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17.967647500440005</v>
      </c>
      <c r="AA84" s="21">
        <f>EXP(-LN(2)/25)*AA83+(1-EXP(-LN(2)/25))/(LN(2)/25)*Calculateur!V84*Calculateur!X84*VLOOKUP('Données projet'!$B$9,Paramètres!$A$1:$I$89,3,0)*0.475*44/12</f>
        <v>2.3654303696554848</v>
      </c>
      <c r="AB84" s="21">
        <f>EXP(-LN(2)/2)*AB83+(1-EXP(-LN(2)/2))/(LN(2)/2)*V84*Y84*VLOOKUP('Données projet'!$B$9,Paramètres!$A$1:$I$89,3,0)*0.475*44/12</f>
        <v>1.2071959801094432E-8</v>
      </c>
      <c r="AC84" s="22">
        <f t="shared" si="57"/>
        <v>20.333077882167451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116.87253889414677</v>
      </c>
      <c r="T85" s="59">
        <f t="shared" si="88"/>
        <v>309.04878184451508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17.615312892139222</v>
      </c>
      <c r="AA85" s="21">
        <f>EXP(-LN(2)/25)*AA84+(1-EXP(-LN(2)/25))/(LN(2)/25)*Calculateur!V85*Calculateur!X85*VLOOKUP('Données projet'!$B$9,Paramètres!$A$1:$I$89,3,0)*0.475*44/12</f>
        <v>2.3007475518046787</v>
      </c>
      <c r="AB85" s="21">
        <f>EXP(-LN(2)/2)*AB84+(1-EXP(-LN(2)/2))/(LN(2)/2)*V85*Y85*VLOOKUP('Données projet'!$B$9,Paramètres!$A$1:$I$89,3,0)*0.475*44/12</f>
        <v>8.5361646375652782E-9</v>
      </c>
      <c r="AC85" s="22">
        <f t="shared" si="57"/>
        <v>19.916060452480068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116.87253889414677</v>
      </c>
      <c r="T86" s="59">
        <f t="shared" si="88"/>
        <v>309.04878184451508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17.269887350604328</v>
      </c>
      <c r="AA86" s="21">
        <f>EXP(-LN(2)/25)*AA85+(1-EXP(-LN(2)/25))/(LN(2)/25)*Calculateur!V86*Calculateur!X86*VLOOKUP('Données projet'!$B$9,Paramètres!$A$1:$I$89,3,0)*0.475*44/12</f>
        <v>2.2378334890095246</v>
      </c>
      <c r="AB86" s="21">
        <f>EXP(-LN(2)/2)*AB85+(1-EXP(-LN(2)/2))/(LN(2)/2)*V86*Y86*VLOOKUP('Données projet'!$B$9,Paramètres!$A$1:$I$89,3,0)*0.475*44/12</f>
        <v>6.035979900547216E-9</v>
      </c>
      <c r="AC86" s="22">
        <f t="shared" si="57"/>
        <v>19.507720845649832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116.87253889414677</v>
      </c>
      <c r="T87" s="59">
        <f t="shared" si="88"/>
        <v>309.04878184451508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16.931235393250155</v>
      </c>
      <c r="AA87" s="21">
        <f>EXP(-LN(2)/25)*AA86+(1-EXP(-LN(2)/25))/(LN(2)/25)*Calculateur!V87*Calculateur!X87*VLOOKUP('Données projet'!$B$9,Paramètres!$A$1:$I$89,3,0)*0.475*44/12</f>
        <v>2.1766398145700108</v>
      </c>
      <c r="AB87" s="21">
        <f>EXP(-LN(2)/2)*AB86+(1-EXP(-LN(2)/2))/(LN(2)/2)*V87*Y87*VLOOKUP('Données projet'!$B$9,Paramètres!$A$1:$I$89,3,0)*0.475*44/12</f>
        <v>4.2680823187826391E-9</v>
      </c>
      <c r="AC87" s="22">
        <f t="shared" si="57"/>
        <v>19.107875212088246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116.87253889414677</v>
      </c>
      <c r="T88" s="59">
        <f t="shared" si="88"/>
        <v>309.04878184451508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16.599224194222401</v>
      </c>
      <c r="AA88" s="21">
        <f>EXP(-LN(2)/25)*AA87+(1-EXP(-LN(2)/25))/(LN(2)/25)*Calculateur!V88*Calculateur!X88*VLOOKUP('Données projet'!$B$9,Paramètres!$A$1:$I$89,3,0)*0.475*44/12</f>
        <v>2.1171194843760808</v>
      </c>
      <c r="AB88" s="21">
        <f>EXP(-LN(2)/2)*AB87+(1-EXP(-LN(2)/2))/(LN(2)/2)*V88*Y88*VLOOKUP('Données projet'!$B$9,Paramètres!$A$1:$I$89,3,0)*0.475*44/12</f>
        <v>3.017989950273608E-9</v>
      </c>
      <c r="AC88" s="22">
        <f t="shared" si="57"/>
        <v>18.716343681616472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116.87253889414677</v>
      </c>
      <c r="T89" s="59">
        <f t="shared" si="88"/>
        <v>309.04878184451508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16.273723532300746</v>
      </c>
      <c r="AA89" s="21">
        <f>EXP(-LN(2)/25)*AA88+(1-EXP(-LN(2)/25))/(LN(2)/25)*Calculateur!V89*Calculateur!X89*VLOOKUP('Données projet'!$B$9,Paramètres!$A$1:$I$89,3,0)*0.475*44/12</f>
        <v>2.0592267407413418</v>
      </c>
      <c r="AB89" s="21">
        <f>EXP(-LN(2)/2)*AB88+(1-EXP(-LN(2)/2))/(LN(2)/2)*V89*Y89*VLOOKUP('Données projet'!$B$9,Paramètres!$A$1:$I$89,3,0)*0.475*44/12</f>
        <v>2.1340411593913196E-9</v>
      </c>
      <c r="AC89" s="22">
        <f t="shared" si="57"/>
        <v>18.332950275176128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116.87253889414677</v>
      </c>
      <c r="T90" s="59">
        <f t="shared" si="88"/>
        <v>309.04878184451508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15.954605739823572</v>
      </c>
      <c r="AA90" s="21">
        <f>EXP(-LN(2)/25)*AA89+(1-EXP(-LN(2)/25))/(LN(2)/25)*Calculateur!V90*Calculateur!X90*VLOOKUP('Données projet'!$B$9,Paramètres!$A$1:$I$89,3,0)*0.475*44/12</f>
        <v>2.0029170772257419</v>
      </c>
      <c r="AB90" s="21">
        <f>EXP(-LN(2)/2)*AB89+(1-EXP(-LN(2)/2))/(LN(2)/2)*V90*Y90*VLOOKUP('Données projet'!$B$9,Paramètres!$A$1:$I$89,3,0)*0.475*44/12</f>
        <v>1.508994975136804E-9</v>
      </c>
      <c r="AC90" s="22">
        <f t="shared" si="57"/>
        <v>17.957522818558306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116.87253889414677</v>
      </c>
      <c r="T91" s="59">
        <f t="shared" si="88"/>
        <v>309.04878184451508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15.641745652614242</v>
      </c>
      <c r="AA91" s="21">
        <f>EXP(-LN(2)/25)*AA90+(1-EXP(-LN(2)/25))/(LN(2)/25)*Calculateur!V91*Calculateur!X91*VLOOKUP('Données projet'!$B$9,Paramètres!$A$1:$I$89,3,0)*0.475*44/12</f>
        <v>1.9481472044201726</v>
      </c>
      <c r="AB91" s="21">
        <f>EXP(-LN(2)/2)*AB90+(1-EXP(-LN(2)/2))/(LN(2)/2)*V91*Y91*VLOOKUP('Données projet'!$B$9,Paramètres!$A$1:$I$89,3,0)*0.475*44/12</f>
        <v>1.0670205796956598E-9</v>
      </c>
      <c r="AC91" s="22">
        <f t="shared" si="57"/>
        <v>17.589892858101436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116.87253889414677</v>
      </c>
      <c r="T92" s="59">
        <f t="shared" si="88"/>
        <v>309.04878184451508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15.335020560889276</v>
      </c>
      <c r="AA92" s="21">
        <f>EXP(-LN(2)/25)*AA91+(1-EXP(-LN(2)/25))/(LN(2)/25)*Calculateur!V92*Calculateur!X92*VLOOKUP('Données projet'!$B$9,Paramètres!$A$1:$I$89,3,0)*0.475*44/12</f>
        <v>1.8948750166666941</v>
      </c>
      <c r="AB92" s="21">
        <f>EXP(-LN(2)/2)*AB91+(1-EXP(-LN(2)/2))/(LN(2)/2)*V92*Y92*VLOOKUP('Données projet'!$B$9,Paramètres!$A$1:$I$89,3,0)*0.475*44/12</f>
        <v>7.54497487568402E-10</v>
      </c>
      <c r="AC92" s="22">
        <f t="shared" si="57"/>
        <v>17.229895578310469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116.87253889414677</v>
      </c>
      <c r="T93" s="59">
        <f t="shared" si="88"/>
        <v>309.04878184451508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15.034310161129204</v>
      </c>
      <c r="AA93" s="21">
        <f>EXP(-LN(2)/25)*AA92+(1-EXP(-LN(2)/25))/(LN(2)/25)*Calculateur!V93*Calculateur!X93*VLOOKUP('Données projet'!$B$9,Paramètres!$A$1:$I$89,3,0)*0.475*44/12</f>
        <v>1.8430595596887971</v>
      </c>
      <c r="AB93" s="21">
        <f>EXP(-LN(2)/2)*AB92+(1-EXP(-LN(2)/2))/(LN(2)/2)*V93*Y93*VLOOKUP('Données projet'!$B$9,Paramètres!$A$1:$I$89,3,0)*0.475*44/12</f>
        <v>5.3351028984782989E-10</v>
      </c>
      <c r="AC93" s="22">
        <f t="shared" si="57"/>
        <v>16.877369721351513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116.87253889414677</v>
      </c>
      <c r="T94" s="59">
        <f t="shared" si="88"/>
        <v>309.04878184451508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14.739496508893193</v>
      </c>
      <c r="AA94" s="21">
        <f>EXP(-LN(2)/25)*AA93+(1-EXP(-LN(2)/25))/(LN(2)/25)*Calculateur!V94*Calculateur!X94*VLOOKUP('Données projet'!$B$9,Paramètres!$A$1:$I$89,3,0)*0.475*44/12</f>
        <v>1.792660999106817</v>
      </c>
      <c r="AB94" s="21">
        <f>EXP(-LN(2)/2)*AB93+(1-EXP(-LN(2)/2))/(LN(2)/2)*V94*Y94*VLOOKUP('Données projet'!$B$9,Paramètres!$A$1:$I$89,3,0)*0.475*44/12</f>
        <v>3.77248743784201E-10</v>
      </c>
      <c r="AC94" s="22">
        <f t="shared" si="57"/>
        <v>16.53215750837726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116.87253889414677</v>
      </c>
      <c r="T95" s="59">
        <f t="shared" si="88"/>
        <v>309.04878184451508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14.450463972558959</v>
      </c>
      <c r="AA95" s="21">
        <f>EXP(-LN(2)/25)*AA94+(1-EXP(-LN(2)/25))/(LN(2)/25)*Calculateur!V95*Calculateur!X95*VLOOKUP('Données projet'!$B$9,Paramètres!$A$1:$I$89,3,0)*0.475*44/12</f>
        <v>1.7436405898142964</v>
      </c>
      <c r="AB95" s="21">
        <f>EXP(-LN(2)/2)*AB94+(1-EXP(-LN(2)/2))/(LN(2)/2)*V95*Y95*VLOOKUP('Données projet'!$B$9,Paramètres!$A$1:$I$89,3,0)*0.475*44/12</f>
        <v>2.6675514492391495E-10</v>
      </c>
      <c r="AC95" s="22">
        <f t="shared" si="57"/>
        <v>16.19410456264001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116.87253889414677</v>
      </c>
      <c r="T96" s="59">
        <f t="shared" si="88"/>
        <v>309.04878184451508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14.1670991879698</v>
      </c>
      <c r="AA96" s="21">
        <f>EXP(-LN(2)/25)*AA95+(1-EXP(-LN(2)/25))/(LN(2)/25)*Calculateur!V96*Calculateur!X96*VLOOKUP('Données projet'!$B$9,Paramètres!$A$1:$I$89,3,0)*0.475*44/12</f>
        <v>1.6959606461917509</v>
      </c>
      <c r="AB96" s="21">
        <f>EXP(-LN(2)/2)*AB95+(1-EXP(-LN(2)/2))/(LN(2)/2)*V96*Y96*VLOOKUP('Données projet'!$B$9,Paramètres!$A$1:$I$89,3,0)*0.475*44/12</f>
        <v>1.886243718921005E-10</v>
      </c>
      <c r="AC96" s="22">
        <f t="shared" si="57"/>
        <v>15.863059834350175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116.87253889414677</v>
      </c>
      <c r="T97" s="59">
        <f t="shared" si="88"/>
        <v>309.04878184451508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13.889291013970981</v>
      </c>
      <c r="AA97" s="21">
        <f>EXP(-LN(2)/25)*AA96+(1-EXP(-LN(2)/25))/(LN(2)/25)*Calculateur!V97*Calculateur!X97*VLOOKUP('Données projet'!$B$9,Paramètres!$A$1:$I$89,3,0)*0.475*44/12</f>
        <v>1.6495845131349434</v>
      </c>
      <c r="AB97" s="21">
        <f>EXP(-LN(2)/2)*AB96+(1-EXP(-LN(2)/2))/(LN(2)/2)*V97*Y97*VLOOKUP('Données projet'!$B$9,Paramètres!$A$1:$I$89,3,0)*0.475*44/12</f>
        <v>1.3337757246195747E-10</v>
      </c>
      <c r="AC97" s="22">
        <f t="shared" si="57"/>
        <v>15.538875527239302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116.87253889414677</v>
      </c>
      <c r="T98" s="59">
        <f t="shared" si="88"/>
        <v>309.04878184451508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13.616930488818024</v>
      </c>
      <c r="AA98" s="21">
        <f>EXP(-LN(2)/25)*AA97+(1-EXP(-LN(2)/25))/(LN(2)/25)*Calculateur!V98*Calculateur!X98*VLOOKUP('Données projet'!$B$9,Paramètres!$A$1:$I$89,3,0)*0.475*44/12</f>
        <v>1.6044765378753889</v>
      </c>
      <c r="AB98" s="21">
        <f>EXP(-LN(2)/2)*AB97+(1-EXP(-LN(2)/2))/(LN(2)/2)*V98*Y98*VLOOKUP('Données projet'!$B$9,Paramètres!$A$1:$I$89,3,0)*0.475*44/12</f>
        <v>9.431218594605025E-11</v>
      </c>
      <c r="AC98" s="22">
        <f t="shared" si="57"/>
        <v>15.221407026787725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116.87253889414677</v>
      </c>
      <c r="T99" s="59">
        <f t="shared" si="88"/>
        <v>309.04878184451508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13.3499107874398</v>
      </c>
      <c r="AA99" s="21">
        <f>EXP(-LN(2)/25)*AA98+(1-EXP(-LN(2)/25))/(LN(2)/25)*Calculateur!V99*Calculateur!X99*VLOOKUP('Données projet'!$B$9,Paramètres!$A$1:$I$89,3,0)*0.475*44/12</f>
        <v>1.5606020425714324</v>
      </c>
      <c r="AB99" s="21">
        <f>EXP(-LN(2)/2)*AB98+(1-EXP(-LN(2)/2))/(LN(2)/2)*V99*Y99*VLOOKUP('Données projet'!$B$9,Paramètres!$A$1:$I$89,3,0)*0.475*44/12</f>
        <v>6.6688786230978736E-11</v>
      </c>
      <c r="AC99" s="22">
        <f t="shared" si="57"/>
        <v>14.91051283007792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116.87253889414677</v>
      </c>
      <c r="T100" s="59">
        <f t="shared" si="88"/>
        <v>309.04878184451508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13.088127179539667</v>
      </c>
      <c r="AA100" s="21">
        <f>EXP(-LN(2)/25)*AA99+(1-EXP(-LN(2)/25))/(LN(2)/25)*Calculateur!V100*Calculateur!X100*VLOOKUP('Données projet'!$B$9,Paramètres!$A$1:$I$89,3,0)*0.475*44/12</f>
        <v>1.5179272976488221</v>
      </c>
      <c r="AB100" s="21">
        <f>EXP(-LN(2)/2)*AB99+(1-EXP(-LN(2)/2))/(LN(2)/2)*V100*Y100*VLOOKUP('Données projet'!$B$9,Paramètres!$A$1:$I$89,3,0)*0.475*44/12</f>
        <v>4.7156092973025125E-11</v>
      </c>
      <c r="AC100" s="22">
        <f t="shared" si="57"/>
        <v>14.606054477235645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116.87253889414677</v>
      </c>
      <c r="T101" s="59">
        <f t="shared" si="88"/>
        <v>309.04878184451508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12.83147698851822</v>
      </c>
      <c r="AA101" s="21">
        <f>EXP(-LN(2)/25)*AA100+(1-EXP(-LN(2)/25))/(LN(2)/25)*Calculateur!V101*Calculateur!X101*VLOOKUP('Données projet'!$B$9,Paramètres!$A$1:$I$89,3,0)*0.475*44/12</f>
        <v>1.4764194958702876</v>
      </c>
      <c r="AB101" s="21">
        <f>EXP(-LN(2)/2)*AB100+(1-EXP(-LN(2)/2))/(LN(2)/2)*V101*Y101*VLOOKUP('Données projet'!$B$9,Paramètres!$A$1:$I$89,3,0)*0.475*44/12</f>
        <v>3.3344393115489368E-11</v>
      </c>
      <c r="AC101" s="22">
        <f t="shared" si="57"/>
        <v>14.307896484421851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116.87253889414677</v>
      </c>
      <c r="T102" s="59">
        <f t="shared" si="88"/>
        <v>309.04878184451508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12.579859551201546</v>
      </c>
      <c r="AA102" s="21">
        <f>EXP(-LN(2)/25)*AA101+(1-EXP(-LN(2)/25))/(LN(2)/25)*Calculateur!V102*Calculateur!X102*VLOOKUP('Données projet'!$B$9,Paramètres!$A$1:$I$89,3,0)*0.475*44/12</f>
        <v>1.4360467271141877</v>
      </c>
      <c r="AB102" s="21">
        <f>EXP(-LN(2)/2)*AB101+(1-EXP(-LN(2)/2))/(LN(2)/2)*V102*Y102*VLOOKUP('Données projet'!$B$9,Paramètres!$A$1:$I$89,3,0)*0.475*44/12</f>
        <v>2.3578046486512563E-11</v>
      </c>
      <c r="AC102" s="22">
        <f t="shared" si="57"/>
        <v>14.01590627833931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116.87253889414677</v>
      </c>
      <c r="T103" s="59">
        <f t="shared" si="88"/>
        <v>309.04878184451508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12.333176178359167</v>
      </c>
      <c r="AA103" s="21">
        <f>EXP(-LN(2)/25)*AA102+(1-EXP(-LN(2)/25))/(LN(2)/25)*Calculateur!V103*Calculateur!X103*VLOOKUP('Données projet'!$B$9,Paramètres!$A$1:$I$89,3,0)*0.475*44/12</f>
        <v>1.3967779538428349</v>
      </c>
      <c r="AB103" s="21">
        <f>EXP(-LN(2)/2)*AB102+(1-EXP(-LN(2)/2))/(LN(2)/2)*V103*Y103*VLOOKUP('Données projet'!$B$9,Paramètres!$A$1:$I$89,3,0)*0.475*44/12</f>
        <v>1.6672196557744684E-11</v>
      </c>
      <c r="AC103" s="22">
        <f t="shared" si="57"/>
        <v>13.729954132218674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116.87253889414677</v>
      </c>
      <c r="T104" s="59">
        <f t="shared" si="88"/>
        <v>309.04878184451508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12.091330115996229</v>
      </c>
      <c r="AA104" s="21">
        <f>EXP(-LN(2)/25)*AA103+(1-EXP(-LN(2)/25))/(LN(2)/25)*Calculateur!V104*Calculateur!X104*VLOOKUP('Données projet'!$B$9,Paramètres!$A$1:$I$89,3,0)*0.475*44/12</f>
        <v>1.3585829872416424</v>
      </c>
      <c r="AB104" s="21">
        <f>EXP(-LN(2)/2)*AB103+(1-EXP(-LN(2)/2))/(LN(2)/2)*V104*Y104*VLOOKUP('Données projet'!$B$9,Paramètres!$A$1:$I$89,3,0)*0.475*44/12</f>
        <v>1.1789023243256281E-11</v>
      </c>
      <c r="AC104" s="22">
        <f t="shared" si="57"/>
        <v>13.449913103249662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116.87253889414677</v>
      </c>
      <c r="T105" s="59">
        <f t="shared" si="88"/>
        <v>309.04878184451508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11.854226507404695</v>
      </c>
      <c r="AA105" s="21">
        <f>EXP(-LN(2)/25)*AA104+(1-EXP(-LN(2)/25))/(LN(2)/25)*Calculateur!V105*Calculateur!X105*VLOOKUP('Données projet'!$B$9,Paramètres!$A$1:$I$89,3,0)*0.475*44/12</f>
        <v>1.3214324640107455</v>
      </c>
      <c r="AB105" s="21">
        <f>EXP(-LN(2)/2)*AB104+(1-EXP(-LN(2)/2))/(LN(2)/2)*V105*Y105*VLOOKUP('Données projet'!$B$9,Paramètres!$A$1:$I$89,3,0)*0.475*44/12</f>
        <v>8.336098278872342E-12</v>
      </c>
      <c r="AC105" s="22">
        <f t="shared" si="57"/>
        <v>13.175658971423777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116.87253889414677</v>
      </c>
      <c r="T106" s="59">
        <f t="shared" si="88"/>
        <v>309.04878184451508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11.621772355958718</v>
      </c>
      <c r="AA106" s="21">
        <f>EXP(-LN(2)/25)*AA105+(1-EXP(-LN(2)/25))/(LN(2)/25)*Calculateur!V106*Calculateur!X106*VLOOKUP('Données projet'!$B$9,Paramètres!$A$1:$I$89,3,0)*0.475*44/12</f>
        <v>1.2852978237912587</v>
      </c>
      <c r="AB106" s="21">
        <f>EXP(-LN(2)/2)*AB105+(1-EXP(-LN(2)/2))/(LN(2)/2)*V106*Y106*VLOOKUP('Données projet'!$B$9,Paramètres!$A$1:$I$89,3,0)*0.475*44/12</f>
        <v>5.8945116216281406E-12</v>
      </c>
      <c r="AC106" s="22">
        <f t="shared" si="57"/>
        <v>12.907070179755872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116.87253889414677</v>
      </c>
      <c r="T107" s="59">
        <f t="shared" si="88"/>
        <v>309.04878184451508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11.393876488639567</v>
      </c>
      <c r="AA107" s="21">
        <f>EXP(-LN(2)/25)*AA106+(1-EXP(-LN(2)/25))/(LN(2)/25)*Calculateur!V107*Calculateur!X107*VLOOKUP('Données projet'!$B$9,Paramètres!$A$1:$I$89,3,0)*0.475*44/12</f>
        <v>1.2501512872088116</v>
      </c>
      <c r="AB107" s="21">
        <f>EXP(-LN(2)/2)*AB106+(1-EXP(-LN(2)/2))/(LN(2)/2)*V107*Y107*VLOOKUP('Données projet'!$B$9,Paramètres!$A$1:$I$89,3,0)*0.475*44/12</f>
        <v>4.168049139436171E-12</v>
      </c>
      <c r="AC107" s="22">
        <f t="shared" si="57"/>
        <v>12.644027775852546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116.87253889414677</v>
      </c>
      <c r="T108" s="59">
        <f t="shared" si="88"/>
        <v>309.04878184451508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11.170449520275788</v>
      </c>
      <c r="AA108" s="21">
        <f>EXP(-LN(2)/25)*AA107+(1-EXP(-LN(2)/25))/(LN(2)/25)*Calculateur!V108*Calculateur!X108*VLOOKUP('Données projet'!$B$9,Paramètres!$A$1:$I$89,3,0)*0.475*44/12</f>
        <v>1.2159658345174877</v>
      </c>
      <c r="AB108" s="21">
        <f>EXP(-LN(2)/2)*AB107+(1-EXP(-LN(2)/2))/(LN(2)/2)*V108*Y108*VLOOKUP('Données projet'!$B$9,Paramètres!$A$1:$I$89,3,0)*0.475*44/12</f>
        <v>2.9472558108140703E-12</v>
      </c>
      <c r="AC108" s="22">
        <f t="shared" si="57"/>
        <v>12.386415354796222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116.87253889414677</v>
      </c>
      <c r="T109" s="59">
        <f t="shared" si="88"/>
        <v>309.04878184451508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10.95140381848463</v>
      </c>
      <c r="AA109" s="21">
        <f>EXP(-LN(2)/25)*AA108+(1-EXP(-LN(2)/25))/(LN(2)/25)*Calculateur!V109*Calculateur!X109*VLOOKUP('Données projet'!$B$9,Paramètres!$A$1:$I$89,3,0)*0.475*44/12</f>
        <v>1.1827151848277428</v>
      </c>
      <c r="AB109" s="21">
        <f>EXP(-LN(2)/2)*AB108+(1-EXP(-LN(2)/2))/(LN(2)/2)*V109*Y109*VLOOKUP('Données projet'!$B$9,Paramètres!$A$1:$I$89,3,0)*0.475*44/12</f>
        <v>2.0840245697180855E-12</v>
      </c>
      <c r="AC109" s="22">
        <f t="shared" si="57"/>
        <v>12.134119003314456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116.87253889414677</v>
      </c>
      <c r="T110" s="59">
        <f t="shared" si="88"/>
        <v>309.04878184451508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10.736653469300911</v>
      </c>
      <c r="AA110" s="21">
        <f>EXP(-LN(2)/25)*AA109+(1-EXP(-LN(2)/25))/(LN(2)/25)*Calculateur!V110*Calculateur!X110*VLOOKUP('Données projet'!$B$9,Paramètres!$A$1:$I$89,3,0)*0.475*44/12</f>
        <v>1.1503737759023398</v>
      </c>
      <c r="AB110" s="21">
        <f>EXP(-LN(2)/2)*AB109+(1-EXP(-LN(2)/2))/(LN(2)/2)*V110*Y110*VLOOKUP('Données projet'!$B$9,Paramètres!$A$1:$I$89,3,0)*0.475*44/12</f>
        <v>1.4736279054070352E-12</v>
      </c>
      <c r="AC110" s="22">
        <f t="shared" si="57"/>
        <v>11.887027245204726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116.87253889414677</v>
      </c>
      <c r="T111" s="59">
        <f t="shared" si="88"/>
        <v>309.04878184451508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10.526114243479904</v>
      </c>
      <c r="AA111" s="21">
        <f>EXP(-LN(2)/25)*AA110+(1-EXP(-LN(2)/25))/(LN(2)/25)*Calculateur!V111*Calculateur!X111*VLOOKUP('Données projet'!$B$9,Paramètres!$A$1:$I$89,3,0)*0.475*44/12</f>
        <v>1.1189167445047628</v>
      </c>
      <c r="AB111" s="21">
        <f>EXP(-LN(2)/2)*AB110+(1-EXP(-LN(2)/2))/(LN(2)/2)*V111*Y111*VLOOKUP('Données projet'!$B$9,Paramètres!$A$1:$I$89,3,0)*0.475*44/12</f>
        <v>1.0420122848590428E-12</v>
      </c>
      <c r="AC111" s="22">
        <f t="shared" si="57"/>
        <v>11.645030987985709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116.87253889414677</v>
      </c>
      <c r="T112" s="59">
        <f t="shared" si="88"/>
        <v>309.04878184451508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10.319703563461001</v>
      </c>
      <c r="AA112" s="21">
        <f>EXP(-LN(2)/25)*AA111+(1-EXP(-LN(2)/25))/(LN(2)/25)*Calculateur!V112*Calculateur!X112*VLOOKUP('Données projet'!$B$9,Paramètres!$A$1:$I$89,3,0)*0.475*44/12</f>
        <v>1.0883199072850058</v>
      </c>
      <c r="AB112" s="21">
        <f>EXP(-LN(2)/2)*AB111+(1-EXP(-LN(2)/2))/(LN(2)/2)*V112*Y112*VLOOKUP('Données projet'!$B$9,Paramètres!$A$1:$I$89,3,0)*0.475*44/12</f>
        <v>7.3681395270351758E-13</v>
      </c>
      <c r="AC112" s="22">
        <f t="shared" si="57"/>
        <v>11.408023470746745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116.87253889414677</v>
      </c>
      <c r="T113" s="59">
        <f t="shared" si="88"/>
        <v>309.04878184451508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10.117340470979185</v>
      </c>
      <c r="AA113" s="21">
        <f>EXP(-LN(2)/25)*AA112+(1-EXP(-LN(2)/25))/(LN(2)/25)*Calculateur!V113*Calculateur!X113*VLOOKUP('Données projet'!$B$9,Paramètres!$A$1:$I$89,3,0)*0.475*44/12</f>
        <v>1.0585597421880408</v>
      </c>
      <c r="AB113" s="21">
        <f>EXP(-LN(2)/2)*AB112+(1-EXP(-LN(2)/2))/(LN(2)/2)*V113*Y113*VLOOKUP('Données projet'!$B$9,Paramètres!$A$1:$I$89,3,0)*0.475*44/12</f>
        <v>5.2100614242952138E-13</v>
      </c>
      <c r="AC113" s="22">
        <f t="shared" si="57"/>
        <v>11.175900213167747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116.87253889414677</v>
      </c>
      <c r="T114" s="59">
        <f t="shared" si="88"/>
        <v>309.04878184451508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9.9189455953116372</v>
      </c>
      <c r="AA114" s="21">
        <f>EXP(-LN(2)/25)*AA113+(1-EXP(-LN(2)/25))/(LN(2)/25)*Calculateur!V114*Calculateur!X114*VLOOKUP('Données projet'!$B$9,Paramètres!$A$1:$I$89,3,0)*0.475*44/12</f>
        <v>1.0296133703706714</v>
      </c>
      <c r="AB114" s="21">
        <f>EXP(-LN(2)/2)*AB113+(1-EXP(-LN(2)/2))/(LN(2)/2)*V114*Y114*VLOOKUP('Données projet'!$B$9,Paramètres!$A$1:$I$89,3,0)*0.475*44/12</f>
        <v>3.6840697635175879E-13</v>
      </c>
      <c r="AC114" s="22">
        <f t="shared" si="57"/>
        <v>10.948558965682677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116.87253889414677</v>
      </c>
      <c r="T115" s="59">
        <f t="shared" si="88"/>
        <v>309.04878184451508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9.724441122147006</v>
      </c>
      <c r="AA115" s="21">
        <f>EXP(-LN(2)/25)*AA114+(1-EXP(-LN(2)/25))/(LN(2)/25)*Calculateur!V115*Calculateur!X115*VLOOKUP('Données projet'!$B$9,Paramètres!$A$1:$I$89,3,0)*0.475*44/12</f>
        <v>1.0014585386128714</v>
      </c>
      <c r="AB115" s="21">
        <f>EXP(-LN(2)/2)*AB114+(1-EXP(-LN(2)/2))/(LN(2)/2)*V115*Y115*VLOOKUP('Données projet'!$B$9,Paramètres!$A$1:$I$89,3,0)*0.475*44/12</f>
        <v>2.6050307121476069E-13</v>
      </c>
      <c r="AC115" s="22">
        <f t="shared" si="57"/>
        <v>10.725899660760138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116.87253889414677</v>
      </c>
      <c r="T116" s="59">
        <f t="shared" si="88"/>
        <v>309.04878184451508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9.5337507630651182</v>
      </c>
      <c r="AA116" s="21">
        <f>EXP(-LN(2)/25)*AA115+(1-EXP(-LN(2)/25))/(LN(2)/25)*Calculateur!V116*Calculateur!X116*VLOOKUP('Données projet'!$B$9,Paramètres!$A$1:$I$89,3,0)*0.475*44/12</f>
        <v>0.97407360221008676</v>
      </c>
      <c r="AB116" s="21">
        <f>EXP(-LN(2)/2)*AB115+(1-EXP(-LN(2)/2))/(LN(2)/2)*V116*Y116*VLOOKUP('Données projet'!$B$9,Paramètres!$A$1:$I$89,3,0)*0.475*44/12</f>
        <v>1.8420348817587939E-13</v>
      </c>
      <c r="AC116" s="22">
        <f t="shared" si="57"/>
        <v>10.50782436527539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116.87253889414677</v>
      </c>
      <c r="T117" s="59">
        <f t="shared" si="88"/>
        <v>309.04878184451508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9.3467997256151918</v>
      </c>
      <c r="AA117" s="21">
        <f>EXP(-LN(2)/25)*AA116+(1-EXP(-LN(2)/25))/(LN(2)/25)*Calculateur!V117*Calculateur!X117*VLOOKUP('Données projet'!$B$9,Paramètres!$A$1:$I$89,3,0)*0.475*44/12</f>
        <v>0.9474375083333475</v>
      </c>
      <c r="AB117" s="21">
        <f>EXP(-LN(2)/2)*AB116+(1-EXP(-LN(2)/2))/(LN(2)/2)*V117*Y117*VLOOKUP('Données projet'!$B$9,Paramètres!$A$1:$I$89,3,0)*0.475*44/12</f>
        <v>1.3025153560738034E-13</v>
      </c>
      <c r="AC117" s="22">
        <f t="shared" si="57"/>
        <v>10.294237233948669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116.87253889414677</v>
      </c>
      <c r="T118" s="59">
        <f t="shared" si="88"/>
        <v>309.04878184451508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9.1635146839807842</v>
      </c>
      <c r="AA118" s="21">
        <f>EXP(-LN(2)/25)*AA117+(1-EXP(-LN(2)/25))/(LN(2)/25)*Calculateur!V118*Calculateur!X118*VLOOKUP('Données projet'!$B$9,Paramètres!$A$1:$I$89,3,0)*0.475*44/12</f>
        <v>0.92152977984439899</v>
      </c>
      <c r="AB118" s="21">
        <f>EXP(-LN(2)/2)*AB117+(1-EXP(-LN(2)/2))/(LN(2)/2)*V118*Y118*VLOOKUP('Données projet'!$B$9,Paramètres!$A$1:$I$89,3,0)*0.475*44/12</f>
        <v>9.2101744087939697E-14</v>
      </c>
      <c r="AC118" s="22">
        <f t="shared" si="57"/>
        <v>10.085044463825275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116.87253889414677</v>
      </c>
      <c r="T119" s="59">
        <f t="shared" si="88"/>
        <v>309.04878184451508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8.983823750219992</v>
      </c>
      <c r="AA119" s="21">
        <f>EXP(-LN(2)/25)*AA118+(1-EXP(-LN(2)/25))/(LN(2)/25)*Calculateur!V119*Calculateur!X119*VLOOKUP('Données projet'!$B$9,Paramètres!$A$1:$I$89,3,0)*0.475*44/12</f>
        <v>0.89633049955340893</v>
      </c>
      <c r="AB119" s="21">
        <f>EXP(-LN(2)/2)*AB118+(1-EXP(-LN(2)/2))/(LN(2)/2)*V119*Y119*VLOOKUP('Données projet'!$B$9,Paramètres!$A$1:$I$89,3,0)*0.475*44/12</f>
        <v>6.5125767803690172E-14</v>
      </c>
      <c r="AC119" s="22">
        <f t="shared" si="57"/>
        <v>9.8801542497734669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116.87253889414677</v>
      </c>
      <c r="T120" s="59">
        <f t="shared" si="88"/>
        <v>309.04878184451508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8.8076564460696005</v>
      </c>
      <c r="AA120" s="21">
        <f>EXP(-LN(2)/25)*AA119+(1-EXP(-LN(2)/25))/(LN(2)/25)*Calculateur!V120*Calculateur!X120*VLOOKUP('Données projet'!$B$9,Paramètres!$A$1:$I$89,3,0)*0.475*44/12</f>
        <v>0.87182029490714863</v>
      </c>
      <c r="AB120" s="21">
        <f>EXP(-LN(2)/2)*AB119+(1-EXP(-LN(2)/2))/(LN(2)/2)*V120*Y120*VLOOKUP('Données projet'!$B$9,Paramètres!$A$1:$I$89,3,0)*0.475*44/12</f>
        <v>4.6050872043969849E-14</v>
      </c>
      <c r="AC120" s="22">
        <f t="shared" si="57"/>
        <v>9.6794767409767957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116.87253889414677</v>
      </c>
      <c r="T121" s="59">
        <f t="shared" si="88"/>
        <v>309.04878184451508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8.6349436753021536</v>
      </c>
      <c r="AA121" s="21">
        <f>EXP(-LN(2)/25)*AA120+(1-EXP(-LN(2)/25))/(LN(2)/25)*Calculateur!V121*Calculateur!X121*VLOOKUP('Données projet'!$B$9,Paramètres!$A$1:$I$89,3,0)*0.475*44/12</f>
        <v>0.8479803230958759</v>
      </c>
      <c r="AB121" s="21">
        <f>EXP(-LN(2)/2)*AB120+(1-EXP(-LN(2)/2))/(LN(2)/2)*V121*Y121*VLOOKUP('Données projet'!$B$9,Paramètres!$A$1:$I$89,3,0)*0.475*44/12</f>
        <v>3.2562883901845086E-14</v>
      </c>
      <c r="AC121" s="22">
        <f t="shared" si="57"/>
        <v>9.4829239983980607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116.87253889414677</v>
      </c>
      <c r="T122" s="59">
        <f t="shared" si="88"/>
        <v>309.04878184451508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8.4656176966250669</v>
      </c>
      <c r="AA122" s="21">
        <f>EXP(-LN(2)/25)*AA121+(1-EXP(-LN(2)/25))/(LN(2)/25)*Calculateur!V122*Calculateur!X122*VLOOKUP('Données projet'!$B$9,Paramètres!$A$1:$I$89,3,0)*0.475*44/12</f>
        <v>0.82479225656747202</v>
      </c>
      <c r="AB122" s="21">
        <f>EXP(-LN(2)/2)*AB121+(1-EXP(-LN(2)/2))/(LN(2)/2)*V122*Y122*VLOOKUP('Données projet'!$B$9,Paramètres!$A$1:$I$89,3,0)*0.475*44/12</f>
        <v>2.3025436021984924E-14</v>
      </c>
      <c r="AC122" s="22">
        <f t="shared" si="57"/>
        <v>9.2904099531925617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116.87253889414677</v>
      </c>
      <c r="T123" s="59">
        <f t="shared" si="88"/>
        <v>309.04878184451508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8.29961209711119</v>
      </c>
      <c r="AA123" s="21">
        <f>EXP(-LN(2)/25)*AA122+(1-EXP(-LN(2)/25))/(LN(2)/25)*Calculateur!V123*Calculateur!X123*VLOOKUP('Données projet'!$B$9,Paramètres!$A$1:$I$89,3,0)*0.475*44/12</f>
        <v>0.80223826893769479</v>
      </c>
      <c r="AB123" s="21">
        <f>EXP(-LN(2)/2)*AB122+(1-EXP(-LN(2)/2))/(LN(2)/2)*V123*Y123*VLOOKUP('Données projet'!$B$9,Paramètres!$A$1:$I$89,3,0)*0.475*44/12</f>
        <v>1.6281441950922543E-14</v>
      </c>
      <c r="AC123" s="22">
        <f t="shared" si="57"/>
        <v>9.1018503660489003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116.87253889414677</v>
      </c>
      <c r="T124" s="59">
        <f t="shared" si="88"/>
        <v>309.04878184451508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8.1368617661503624</v>
      </c>
      <c r="AA124" s="21">
        <f>EXP(-LN(2)/25)*AA123+(1-EXP(-LN(2)/25))/(LN(2)/25)*Calculateur!V124*Calculateur!X124*VLOOKUP('Données projet'!$B$9,Paramètres!$A$1:$I$89,3,0)*0.475*44/12</f>
        <v>0.78030102128571655</v>
      </c>
      <c r="AB124" s="21">
        <f>EXP(-LN(2)/2)*AB123+(1-EXP(-LN(2)/2))/(LN(2)/2)*V124*Y124*VLOOKUP('Données projet'!$B$9,Paramètres!$A$1:$I$89,3,0)*0.475*44/12</f>
        <v>1.1512718010992462E-14</v>
      </c>
      <c r="AC124" s="22">
        <f t="shared" si="57"/>
        <v>8.917162787436089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116.87253889414677</v>
      </c>
      <c r="T125" s="59">
        <f t="shared" si="88"/>
        <v>309.04878184451508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7.9773028699117763</v>
      </c>
      <c r="AA125" s="21">
        <f>EXP(-LN(2)/25)*AA124+(1-EXP(-LN(2)/25))/(LN(2)/25)*Calculateur!V125*Calculateur!X125*VLOOKUP('Données projet'!$B$9,Paramètres!$A$1:$I$89,3,0)*0.475*44/12</f>
        <v>0.75896364882441136</v>
      </c>
      <c r="AB125" s="21">
        <f>EXP(-LN(2)/2)*AB124+(1-EXP(-LN(2)/2))/(LN(2)/2)*V125*Y125*VLOOKUP('Données projet'!$B$9,Paramètres!$A$1:$I$89,3,0)*0.475*44/12</f>
        <v>8.1407209754612715E-15</v>
      </c>
      <c r="AC125" s="22">
        <f t="shared" si="57"/>
        <v>8.7362665187361959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116.87253889414677</v>
      </c>
      <c r="T126" s="59">
        <f t="shared" si="88"/>
        <v>309.04878184451508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7.8208728263071112</v>
      </c>
      <c r="AA126" s="21">
        <f>EXP(-LN(2)/25)*AA125+(1-EXP(-LN(2)/25))/(LN(2)/25)*Calculateur!V126*Calculateur!X126*VLOOKUP('Données projet'!$B$9,Paramètres!$A$1:$I$89,3,0)*0.475*44/12</f>
        <v>0.73820974793514416</v>
      </c>
      <c r="AB126" s="21">
        <f>EXP(-LN(2)/2)*AB125+(1-EXP(-LN(2)/2))/(LN(2)/2)*V126*Y126*VLOOKUP('Données projet'!$B$9,Paramètres!$A$1:$I$89,3,0)*0.475*44/12</f>
        <v>5.7563590054962311E-15</v>
      </c>
      <c r="AC126" s="22">
        <f t="shared" si="57"/>
        <v>8.5590825742422609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116.87253889414677</v>
      </c>
      <c r="T127" s="59">
        <f t="shared" si="88"/>
        <v>309.04878184451508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7.6675102804446285</v>
      </c>
      <c r="AA127" s="21">
        <f>EXP(-LN(2)/25)*AA126+(1-EXP(-LN(2)/25))/(LN(2)/25)*Calculateur!V127*Calculateur!X127*VLOOKUP('Données projet'!$B$9,Paramètres!$A$1:$I$89,3,0)*0.475*44/12</f>
        <v>0.71802336355709417</v>
      </c>
      <c r="AB127" s="21">
        <f>EXP(-LN(2)/2)*AB126+(1-EXP(-LN(2)/2))/(LN(2)/2)*V127*Y127*VLOOKUP('Données projet'!$B$9,Paramètres!$A$1:$I$89,3,0)*0.475*44/12</f>
        <v>4.0703604877306358E-15</v>
      </c>
      <c r="AC127" s="22">
        <f t="shared" si="57"/>
        <v>8.3855336440017254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116.87253889414677</v>
      </c>
      <c r="T128" s="59">
        <f t="shared" si="88"/>
        <v>309.04878184451508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7.517155080564593</v>
      </c>
      <c r="AA128" s="21">
        <f>EXP(-LN(2)/25)*AA127+(1-EXP(-LN(2)/25))/(LN(2)/25)*Calculateur!V128*Calculateur!X128*VLOOKUP('Données projet'!$B$9,Paramètres!$A$1:$I$89,3,0)*0.475*44/12</f>
        <v>0.69838897692141777</v>
      </c>
      <c r="AB128" s="21">
        <f>EXP(-LN(2)/2)*AB127+(1-EXP(-LN(2)/2))/(LN(2)/2)*V128*Y128*VLOOKUP('Données projet'!$B$9,Paramètres!$A$1:$I$89,3,0)*0.475*44/12</f>
        <v>2.8781795027481155E-15</v>
      </c>
      <c r="AC128" s="22">
        <f t="shared" si="57"/>
        <v>8.2155440574860137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116.87253889414677</v>
      </c>
      <c r="T129" s="59">
        <f t="shared" si="88"/>
        <v>309.04878184451508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7.3697482544465878</v>
      </c>
      <c r="AA129" s="21">
        <f>EXP(-LN(2)/25)*AA128+(1-EXP(-LN(2)/25))/(LN(2)/25)*Calculateur!V129*Calculateur!X129*VLOOKUP('Données projet'!$B$9,Paramètres!$A$1:$I$89,3,0)*0.475*44/12</f>
        <v>0.67929149362082153</v>
      </c>
      <c r="AB129" s="21">
        <f>EXP(-LN(2)/2)*AB128+(1-EXP(-LN(2)/2))/(LN(2)/2)*V129*Y129*VLOOKUP('Données projet'!$B$9,Paramètres!$A$1:$I$89,3,0)*0.475*44/12</f>
        <v>2.0351802438653179E-15</v>
      </c>
      <c r="AC129" s="22">
        <f t="shared" si="57"/>
        <v>8.0490397480674112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116.87253889414677</v>
      </c>
      <c r="T130" s="59">
        <f t="shared" si="88"/>
        <v>309.04878184451508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7.2252319862794705</v>
      </c>
      <c r="AA130" s="21">
        <f>EXP(-LN(2)/25)*AA129+(1-EXP(-LN(2)/25))/(LN(2)/25)*Calculateur!V130*Calculateur!X130*VLOOKUP('Données projet'!$B$9,Paramètres!$A$1:$I$89,3,0)*0.475*44/12</f>
        <v>0.66071623200537311</v>
      </c>
      <c r="AB130" s="21">
        <f>EXP(-LN(2)/2)*AB129+(1-EXP(-LN(2)/2))/(LN(2)/2)*V130*Y130*VLOOKUP('Données projet'!$B$9,Paramètres!$A$1:$I$89,3,0)*0.475*44/12</f>
        <v>1.4390897513740578E-15</v>
      </c>
      <c r="AC130" s="22">
        <f t="shared" si="57"/>
        <v>7.8859482182848453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116.87253889414677</v>
      </c>
      <c r="T131" s="59">
        <f t="shared" si="88"/>
        <v>309.04878184451508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7.0835495939848911</v>
      </c>
      <c r="AA131" s="21">
        <f>EXP(-LN(2)/25)*AA130+(1-EXP(-LN(2)/25))/(LN(2)/25)*Calculateur!V131*Calculateur!X131*VLOOKUP('Données projet'!$B$9,Paramètres!$A$1:$I$89,3,0)*0.475*44/12</f>
        <v>0.64264891189562967</v>
      </c>
      <c r="AB131" s="21">
        <f>EXP(-LN(2)/2)*AB130+(1-EXP(-LN(2)/2))/(LN(2)/2)*V131*Y131*VLOOKUP('Données projet'!$B$9,Paramètres!$A$1:$I$89,3,0)*0.475*44/12</f>
        <v>1.0175901219326589E-15</v>
      </c>
      <c r="AC131" s="22">
        <f t="shared" si="57"/>
        <v>7.7261985058805216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116.87253889414677</v>
      </c>
      <c r="T132" s="59">
        <f t="shared" si="88"/>
        <v>309.04878184451508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6.9446455069854824</v>
      </c>
      <c r="AA132" s="21">
        <f>EXP(-LN(2)/25)*AA131+(1-EXP(-LN(2)/25))/(LN(2)/25)*Calculateur!V132*Calculateur!X132*VLOOKUP('Données projet'!$B$9,Paramètres!$A$1:$I$89,3,0)*0.475*44/12</f>
        <v>0.62507564360440615</v>
      </c>
      <c r="AB132" s="21">
        <f>EXP(-LN(2)/2)*AB131+(1-EXP(-LN(2)/2))/(LN(2)/2)*V132*Y132*VLOOKUP('Données projet'!$B$9,Paramètres!$A$1:$I$89,3,0)*0.475*44/12</f>
        <v>7.1954487568702889E-16</v>
      </c>
      <c r="AC132" s="22">
        <f t="shared" ref="AC132:AC153" si="111">SUM(Z132:AB132)</f>
        <v>7.5697211505898894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116.87253889414677</v>
      </c>
      <c r="T133" s="59">
        <f t="shared" ref="T133:T196" si="142">$T$3</f>
        <v>309.04878184451508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6.8084652444090041</v>
      </c>
      <c r="AA133" s="21">
        <f>EXP(-LN(2)/25)*AA132+(1-EXP(-LN(2)/25))/(LN(2)/25)*Calculateur!V133*Calculateur!X133*VLOOKUP('Données projet'!$B$9,Paramètres!$A$1:$I$89,3,0)*0.475*44/12</f>
        <v>0.6079829172587442</v>
      </c>
      <c r="AB133" s="21">
        <f>EXP(-LN(2)/2)*AB132+(1-EXP(-LN(2)/2))/(LN(2)/2)*V133*Y133*VLOOKUP('Données projet'!$B$9,Paramètres!$A$1:$I$89,3,0)*0.475*44/12</f>
        <v>5.0879506096632947E-16</v>
      </c>
      <c r="AC133" s="22">
        <f t="shared" si="111"/>
        <v>7.4164481616677493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116.87253889414677</v>
      </c>
      <c r="T134" s="59">
        <f t="shared" si="142"/>
        <v>309.04878184451508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6.674955393719892</v>
      </c>
      <c r="AA134" s="21">
        <f>EXP(-LN(2)/25)*AA133+(1-EXP(-LN(2)/25))/(LN(2)/25)*Calculateur!V134*Calculateur!X134*VLOOKUP('Données projet'!$B$9,Paramètres!$A$1:$I$89,3,0)*0.475*44/12</f>
        <v>0.59135759241387176</v>
      </c>
      <c r="AB134" s="21">
        <f>EXP(-LN(2)/2)*AB133+(1-EXP(-LN(2)/2))/(LN(2)/2)*V134*Y134*VLOOKUP('Données projet'!$B$9,Paramètres!$A$1:$I$89,3,0)*0.475*44/12</f>
        <v>3.5977243784351444E-16</v>
      </c>
      <c r="AC134" s="22">
        <f t="shared" si="111"/>
        <v>7.2663129861337641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116.87253889414677</v>
      </c>
      <c r="T135" s="59">
        <f t="shared" si="142"/>
        <v>309.04878184451508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6.5440635897698254</v>
      </c>
      <c r="AA135" s="21">
        <f>EXP(-LN(2)/25)*AA134+(1-EXP(-LN(2)/25))/(LN(2)/25)*Calculateur!V135*Calculateur!X135*VLOOKUP('Données projet'!$B$9,Paramètres!$A$1:$I$89,3,0)*0.475*44/12</f>
        <v>0.57518688795117023</v>
      </c>
      <c r="AB135" s="21">
        <f>EXP(-LN(2)/2)*AB134+(1-EXP(-LN(2)/2))/(LN(2)/2)*V135*Y135*VLOOKUP('Données projet'!$B$9,Paramètres!$A$1:$I$89,3,0)*0.475*44/12</f>
        <v>2.5439753048316474E-16</v>
      </c>
      <c r="AC135" s="22">
        <f t="shared" si="111"/>
        <v>7.1192504777209953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116.87253889414677</v>
      </c>
      <c r="T136" s="59">
        <f t="shared" si="142"/>
        <v>309.04878184451508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6.4157384942591023</v>
      </c>
      <c r="AA136" s="21">
        <f>EXP(-LN(2)/25)*AA135+(1-EXP(-LN(2)/25))/(LN(2)/25)*Calculateur!V136*Calculateur!X136*VLOOKUP('Données projet'!$B$9,Paramètres!$A$1:$I$89,3,0)*0.475*44/12</f>
        <v>0.55945837225238171</v>
      </c>
      <c r="AB136" s="21">
        <f>EXP(-LN(2)/2)*AB135+(1-EXP(-LN(2)/2))/(LN(2)/2)*V136*Y136*VLOOKUP('Données projet'!$B$9,Paramètres!$A$1:$I$89,3,0)*0.475*44/12</f>
        <v>1.7988621892175722E-16</v>
      </c>
      <c r="AC136" s="22">
        <f t="shared" si="111"/>
        <v>6.9751968665114843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116.87253889414677</v>
      </c>
      <c r="T137" s="59">
        <f t="shared" si="142"/>
        <v>309.04878184451508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6.2899297756007648</v>
      </c>
      <c r="AA137" s="21">
        <f>EXP(-LN(2)/25)*AA136+(1-EXP(-LN(2)/25))/(LN(2)/25)*Calculateur!V137*Calculateur!X137*VLOOKUP('Données projet'!$B$9,Paramètres!$A$1:$I$89,3,0)*0.475*44/12</f>
        <v>0.54415995364250325</v>
      </c>
      <c r="AB137" s="21">
        <f>EXP(-LN(2)/2)*AB136+(1-EXP(-LN(2)/2))/(LN(2)/2)*V137*Y137*VLOOKUP('Données projet'!$B$9,Paramètres!$A$1:$I$89,3,0)*0.475*44/12</f>
        <v>1.2719876524158237E-16</v>
      </c>
      <c r="AC137" s="22">
        <f t="shared" si="111"/>
        <v>6.8340897292432681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116.87253889414677</v>
      </c>
      <c r="T138" s="59">
        <f t="shared" si="142"/>
        <v>309.04878184451508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6.1665880891795766</v>
      </c>
      <c r="AA138" s="21">
        <f>EXP(-LN(2)/25)*AA137+(1-EXP(-LN(2)/25))/(LN(2)/25)*Calculateur!V138*Calculateur!X138*VLOOKUP('Données projet'!$B$9,Paramètres!$A$1:$I$89,3,0)*0.475*44/12</f>
        <v>0.52927987109402075</v>
      </c>
      <c r="AB138" s="21">
        <f>EXP(-LN(2)/2)*AB137+(1-EXP(-LN(2)/2))/(LN(2)/2)*V138*Y138*VLOOKUP('Données projet'!$B$9,Paramètres!$A$1:$I$89,3,0)*0.475*44/12</f>
        <v>8.9943109460878611E-17</v>
      </c>
      <c r="AC138" s="22">
        <f t="shared" si="111"/>
        <v>6.6958679602735973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116.87253889414677</v>
      </c>
      <c r="T139" s="59">
        <f t="shared" si="142"/>
        <v>309.04878184451508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6.0456650579981073</v>
      </c>
      <c r="AA139" s="21">
        <f>EXP(-LN(2)/25)*AA138+(1-EXP(-LN(2)/25))/(LN(2)/25)*Calculateur!V139*Calculateur!X139*VLOOKUP('Données projet'!$B$9,Paramètres!$A$1:$I$89,3,0)*0.475*44/12</f>
        <v>0.51480668518533601</v>
      </c>
      <c r="AB139" s="21">
        <f>EXP(-LN(2)/2)*AB138+(1-EXP(-LN(2)/2))/(LN(2)/2)*V139*Y139*VLOOKUP('Données projet'!$B$9,Paramètres!$A$1:$I$89,3,0)*0.475*44/12</f>
        <v>6.3599382620791184E-17</v>
      </c>
      <c r="AC139" s="22">
        <f t="shared" si="111"/>
        <v>6.5604717431834434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116.87253889414677</v>
      </c>
      <c r="T140" s="59">
        <f t="shared" si="142"/>
        <v>309.04878184451508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5.9271132537023403</v>
      </c>
      <c r="AA140" s="21">
        <f>EXP(-LN(2)/25)*AA139+(1-EXP(-LN(2)/25))/(LN(2)/25)*Calculateur!V140*Calculateur!X140*VLOOKUP('Données projet'!$B$9,Paramètres!$A$1:$I$89,3,0)*0.475*44/12</f>
        <v>0.50072926930643602</v>
      </c>
      <c r="AB140" s="21">
        <f>EXP(-LN(2)/2)*AB139+(1-EXP(-LN(2)/2))/(LN(2)/2)*V140*Y140*VLOOKUP('Données projet'!$B$9,Paramètres!$A$1:$I$89,3,0)*0.475*44/12</f>
        <v>4.4971554730439305E-17</v>
      </c>
      <c r="AC140" s="22">
        <f t="shared" si="111"/>
        <v>6.4278425230087759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116.87253889414677</v>
      </c>
      <c r="T141" s="59">
        <f t="shared" si="142"/>
        <v>309.04878184451508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5.810886177979353</v>
      </c>
      <c r="AA141" s="21">
        <f>EXP(-LN(2)/25)*AA140+(1-EXP(-LN(2)/25))/(LN(2)/25)*Calculateur!V141*Calculateur!X141*VLOOKUP('Données projet'!$B$9,Paramètres!$A$1:$I$89,3,0)*0.475*44/12</f>
        <v>0.48703680110504366</v>
      </c>
      <c r="AB141" s="21">
        <f>EXP(-LN(2)/2)*AB140+(1-EXP(-LN(2)/2))/(LN(2)/2)*V141*Y141*VLOOKUP('Données projet'!$B$9,Paramètres!$A$1:$I$89,3,0)*0.475*44/12</f>
        <v>3.1799691310395592E-17</v>
      </c>
      <c r="AC141" s="22">
        <f t="shared" si="111"/>
        <v>6.2979229790843965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116.87253889414677</v>
      </c>
      <c r="T142" s="59">
        <f t="shared" si="142"/>
        <v>309.04878184451508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5.6969382443197771</v>
      </c>
      <c r="AA142" s="21">
        <f>EXP(-LN(2)/25)*AA141+(1-EXP(-LN(2)/25))/(LN(2)/25)*Calculateur!V142*Calculateur!X142*VLOOKUP('Données projet'!$B$9,Paramètres!$A$1:$I$89,3,0)*0.475*44/12</f>
        <v>0.47371875416667403</v>
      </c>
      <c r="AB142" s="21">
        <f>EXP(-LN(2)/2)*AB141+(1-EXP(-LN(2)/2))/(LN(2)/2)*V142*Y142*VLOOKUP('Données projet'!$B$9,Paramètres!$A$1:$I$89,3,0)*0.475*44/12</f>
        <v>2.2485777365219653E-17</v>
      </c>
      <c r="AC142" s="22">
        <f t="shared" si="111"/>
        <v>6.170656998486451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116.87253889414677</v>
      </c>
      <c r="T143" s="59">
        <f t="shared" si="142"/>
        <v>309.04878184451508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5.5852247601378888</v>
      </c>
      <c r="AA143" s="21">
        <f>EXP(-LN(2)/25)*AA142+(1-EXP(-LN(2)/25))/(LN(2)/25)*Calculateur!V143*Calculateur!X143*VLOOKUP('Données projet'!$B$9,Paramètres!$A$1:$I$89,3,0)*0.475*44/12</f>
        <v>0.46076488992219972</v>
      </c>
      <c r="AB143" s="21">
        <f>EXP(-LN(2)/2)*AB142+(1-EXP(-LN(2)/2))/(LN(2)/2)*V143*Y143*VLOOKUP('Données projet'!$B$9,Paramètres!$A$1:$I$89,3,0)*0.475*44/12</f>
        <v>1.5899845655197796E-17</v>
      </c>
      <c r="AC143" s="22">
        <f t="shared" si="111"/>
        <v>6.0459896500600889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116.87253889414677</v>
      </c>
      <c r="T144" s="59">
        <f t="shared" si="142"/>
        <v>309.04878184451508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5.4757019092423098</v>
      </c>
      <c r="AA144" s="21">
        <f>EXP(-LN(2)/25)*AA143+(1-EXP(-LN(2)/25))/(LN(2)/25)*Calculateur!V144*Calculateur!X144*VLOOKUP('Données projet'!$B$9,Paramètres!$A$1:$I$89,3,0)*0.475*44/12</f>
        <v>0.44816524977670469</v>
      </c>
      <c r="AB144" s="21">
        <f>EXP(-LN(2)/2)*AB143+(1-EXP(-LN(2)/2))/(LN(2)/2)*V144*Y144*VLOOKUP('Données projet'!$B$9,Paramètres!$A$1:$I$89,3,0)*0.475*44/12</f>
        <v>1.1242888682609826E-17</v>
      </c>
      <c r="AC144" s="22">
        <f t="shared" si="111"/>
        <v>5.9238671590190144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116.87253889414677</v>
      </c>
      <c r="T145" s="59">
        <f t="shared" si="142"/>
        <v>309.04878184451508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5.3683267346504504</v>
      </c>
      <c r="AA145" s="21">
        <f>EXP(-LN(2)/25)*AA144+(1-EXP(-LN(2)/25))/(LN(2)/25)*Calculateur!V145*Calculateur!X145*VLOOKUP('Données projet'!$B$9,Paramètres!$A$1:$I$89,3,0)*0.475*44/12</f>
        <v>0.43591014745357448</v>
      </c>
      <c r="AB145" s="21">
        <f>EXP(-LN(2)/2)*AB144+(1-EXP(-LN(2)/2))/(LN(2)/2)*V145*Y145*VLOOKUP('Données projet'!$B$9,Paramètres!$A$1:$I$89,3,0)*0.475*44/12</f>
        <v>7.949922827598898E-18</v>
      </c>
      <c r="AC145" s="22">
        <f t="shared" si="111"/>
        <v>5.8042368821040249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116.87253889414677</v>
      </c>
      <c r="T146" s="59">
        <f t="shared" si="142"/>
        <v>309.04878184451508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5.2630571217399478</v>
      </c>
      <c r="AA146" s="21">
        <f>EXP(-LN(2)/25)*AA145+(1-EXP(-LN(2)/25))/(LN(2)/25)*Calculateur!V146*Calculateur!X146*VLOOKUP('Données projet'!$B$9,Paramètres!$A$1:$I$89,3,0)*0.475*44/12</f>
        <v>0.42399016154793812</v>
      </c>
      <c r="AB146" s="21">
        <f>EXP(-LN(2)/2)*AB145+(1-EXP(-LN(2)/2))/(LN(2)/2)*V146*Y146*VLOOKUP('Données projet'!$B$9,Paramètres!$A$1:$I$89,3,0)*0.475*44/12</f>
        <v>5.6214443413049132E-18</v>
      </c>
      <c r="AC146" s="22">
        <f t="shared" si="111"/>
        <v>5.6870472832878862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116.87253889414677</v>
      </c>
      <c r="T147" s="59">
        <f t="shared" si="142"/>
        <v>309.04878184451508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5.1598517817304961</v>
      </c>
      <c r="AA147" s="21">
        <f>EXP(-LN(2)/25)*AA146+(1-EXP(-LN(2)/25))/(LN(2)/25)*Calculateur!V147*Calculateur!X147*VLOOKUP('Données projet'!$B$9,Paramètres!$A$1:$I$89,3,0)*0.475*44/12</f>
        <v>0.41239612828373617</v>
      </c>
      <c r="AB147" s="21">
        <f>EXP(-LN(2)/2)*AB146+(1-EXP(-LN(2)/2))/(LN(2)/2)*V147*Y147*VLOOKUP('Données projet'!$B$9,Paramètres!$A$1:$I$89,3,0)*0.475*44/12</f>
        <v>3.974961413799449E-18</v>
      </c>
      <c r="AC147" s="22">
        <f t="shared" si="111"/>
        <v>5.5722479100142319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116.87253889414677</v>
      </c>
      <c r="T148" s="59">
        <f t="shared" si="142"/>
        <v>309.04878184451508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5.0586702354895881</v>
      </c>
      <c r="AA148" s="21">
        <f>EXP(-LN(2)/25)*AA147+(1-EXP(-LN(2)/25))/(LN(2)/25)*Calculateur!V148*Calculateur!X148*VLOOKUP('Données projet'!$B$9,Paramètres!$A$1:$I$89,3,0)*0.475*44/12</f>
        <v>0.40111913446884756</v>
      </c>
      <c r="AB148" s="21">
        <f>EXP(-LN(2)/2)*AB147+(1-EXP(-LN(2)/2))/(LN(2)/2)*V148*Y148*VLOOKUP('Données projet'!$B$9,Paramètres!$A$1:$I$89,3,0)*0.475*44/12</f>
        <v>2.8107221706524566E-18</v>
      </c>
      <c r="AC148" s="22">
        <f t="shared" si="111"/>
        <v>5.4597893699584352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116.87253889414677</v>
      </c>
      <c r="T149" s="59">
        <f t="shared" si="142"/>
        <v>309.04878184451508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4.9594727976558151</v>
      </c>
      <c r="AA149" s="21">
        <f>EXP(-LN(2)/25)*AA148+(1-EXP(-LN(2)/25))/(LN(2)/25)*Calculateur!V149*Calculateur!X149*VLOOKUP('Données projet'!$B$9,Paramètres!$A$1:$I$89,3,0)*0.475*44/12</f>
        <v>0.39015051064285844</v>
      </c>
      <c r="AB149" s="21">
        <f>EXP(-LN(2)/2)*AB148+(1-EXP(-LN(2)/2))/(LN(2)/2)*V149*Y149*VLOOKUP('Données projet'!$B$9,Paramètres!$A$1:$I$89,3,0)*0.475*44/12</f>
        <v>1.9874807068997245E-18</v>
      </c>
      <c r="AC149" s="22">
        <f t="shared" si="111"/>
        <v>5.3496233082986731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116.87253889414677</v>
      </c>
      <c r="T150" s="59">
        <f t="shared" si="142"/>
        <v>309.04878184451508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4.8622205610734994</v>
      </c>
      <c r="AA150" s="21">
        <f>EXP(-LN(2)/25)*AA149+(1-EXP(-LN(2)/25))/(LN(2)/25)*Calculateur!V150*Calculateur!X150*VLOOKUP('Données projet'!$B$9,Paramètres!$A$1:$I$89,3,0)*0.475*44/12</f>
        <v>0.37948182441220585</v>
      </c>
      <c r="AB150" s="21">
        <f>EXP(-LN(2)/2)*AB149+(1-EXP(-LN(2)/2))/(LN(2)/2)*V150*Y150*VLOOKUP('Données projet'!$B$9,Paramètres!$A$1:$I$89,3,0)*0.475*44/12</f>
        <v>1.4053610853262283E-18</v>
      </c>
      <c r="AC150" s="22">
        <f t="shared" si="111"/>
        <v>5.2417023854857057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116.87253889414677</v>
      </c>
      <c r="T151" s="59">
        <f t="shared" si="142"/>
        <v>309.04878184451508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4.7668753815325555</v>
      </c>
      <c r="AA151" s="21">
        <f>EXP(-LN(2)/25)*AA150+(1-EXP(-LN(2)/25))/(LN(2)/25)*Calculateur!V151*Calculateur!X151*VLOOKUP('Données projet'!$B$9,Paramètres!$A$1:$I$89,3,0)*0.475*44/12</f>
        <v>0.36910487396757224</v>
      </c>
      <c r="AB151" s="21">
        <f>EXP(-LN(2)/2)*AB150+(1-EXP(-LN(2)/2))/(LN(2)/2)*V151*Y151*VLOOKUP('Données projet'!$B$9,Paramètres!$A$1:$I$89,3,0)*0.475*44/12</f>
        <v>9.9374035344986225E-19</v>
      </c>
      <c r="AC151" s="22">
        <f t="shared" si="111"/>
        <v>5.1359802555001277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116.87253889414677</v>
      </c>
      <c r="T152" s="59">
        <f t="shared" si="142"/>
        <v>309.04878184451508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4.6733998628075923</v>
      </c>
      <c r="AA152" s="21">
        <f>EXP(-LN(2)/25)*AA151+(1-EXP(-LN(2)/25))/(LN(2)/25)*Calculateur!V152*Calculateur!X152*VLOOKUP('Données projet'!$B$9,Paramètres!$A$1:$I$89,3,0)*0.475*44/12</f>
        <v>0.35901168177854725</v>
      </c>
      <c r="AB152" s="21">
        <f>EXP(-LN(2)/2)*AB151+(1-EXP(-LN(2)/2))/(LN(2)/2)*V152*Y152*VLOOKUP('Données projet'!$B$9,Paramètres!$A$1:$I$89,3,0)*0.475*44/12</f>
        <v>7.0268054266311415E-19</v>
      </c>
      <c r="AC152" s="22">
        <f t="shared" si="111"/>
        <v>5.0324115445861395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116.87253889414677</v>
      </c>
      <c r="T153" s="59">
        <f t="shared" si="142"/>
        <v>309.04878184451508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4.5817573419903894</v>
      </c>
      <c r="AA153" s="21">
        <f>EXP(-LN(2)/25)*AA152+(1-EXP(-LN(2)/25))/(LN(2)/25)*Calculateur!V153*Calculateur!X153*VLOOKUP('Données projet'!$B$9,Paramètres!$A$1:$I$89,3,0)*0.475*44/12</f>
        <v>0.34919448846070905</v>
      </c>
      <c r="AB153" s="21">
        <f>EXP(-LN(2)/2)*AB152+(1-EXP(-LN(2)/2))/(LN(2)/2)*V153*Y153*VLOOKUP('Données projet'!$B$9,Paramètres!$A$1:$I$89,3,0)*0.475*44/12</f>
        <v>4.9687017672493112E-19</v>
      </c>
      <c r="AC153" s="22">
        <f t="shared" si="111"/>
        <v>4.9309518304510984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116.87253889414677</v>
      </c>
      <c r="T154" s="59">
        <f t="shared" si="142"/>
        <v>309.04878184451508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4.4919118751099933</v>
      </c>
      <c r="AA154" s="21">
        <f>EXP(-LN(2)/25)*AA153+(1-EXP(-LN(2)/25))/(LN(2)/25)*Calculateur!V154*Calculateur!X154*VLOOKUP('Données projet'!$B$9,Paramètres!$A$1:$I$89,3,0)*0.475*44/12</f>
        <v>0.33964574681041093</v>
      </c>
      <c r="AB154" s="21">
        <f>EXP(-LN(2)/2)*AB153+(1-EXP(-LN(2)/2))/(LN(2)/2)*V154*Y154*VLOOKUP('Données projet'!$B$9,Paramètres!$A$1:$I$89,3,0)*0.475*44/12</f>
        <v>3.5134027133155707E-19</v>
      </c>
      <c r="AC154" s="22">
        <f t="shared" ref="AC154:AC203" si="163">SUM(Z154:AB154)</f>
        <v>4.8315576219204042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116.87253889414677</v>
      </c>
      <c r="T155" s="59">
        <f t="shared" si="142"/>
        <v>309.04878184451508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4.4038282230347976</v>
      </c>
      <c r="AA155" s="21">
        <f>EXP(-LN(2)/25)*AA154+(1-EXP(-LN(2)/25))/(LN(2)/25)*Calculateur!V155*Calculateur!X155*VLOOKUP('Données projet'!$B$9,Paramètres!$A$1:$I$89,3,0)*0.475*44/12</f>
        <v>0.33035811600268666</v>
      </c>
      <c r="AB155" s="21">
        <f>EXP(-LN(2)/2)*AB154+(1-EXP(-LN(2)/2))/(LN(2)/2)*V155*Y155*VLOOKUP('Données projet'!$B$9,Paramètres!$A$1:$I$89,3,0)*0.475*44/12</f>
        <v>2.4843508836246556E-19</v>
      </c>
      <c r="AC155" s="22">
        <f t="shared" si="163"/>
        <v>4.7341863390374845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116.87253889414677</v>
      </c>
      <c r="T156" s="59">
        <f t="shared" si="142"/>
        <v>309.04878184451508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4.3174718376510741</v>
      </c>
      <c r="AA156" s="21">
        <f>EXP(-LN(2)/25)*AA155+(1-EXP(-LN(2)/25))/(LN(2)/25)*Calculateur!V156*Calculateur!X156*VLOOKUP('Données projet'!$B$9,Paramètres!$A$1:$I$89,3,0)*0.475*44/12</f>
        <v>0.32132445594781495</v>
      </c>
      <c r="AB156" s="21">
        <f>EXP(-LN(2)/2)*AB155+(1-EXP(-LN(2)/2))/(LN(2)/2)*V156*Y156*VLOOKUP('Données projet'!$B$9,Paramètres!$A$1:$I$89,3,0)*0.475*44/12</f>
        <v>1.7567013566577854E-19</v>
      </c>
      <c r="AC156" s="22">
        <f t="shared" si="163"/>
        <v>4.6387962935988893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116.87253889414677</v>
      </c>
      <c r="T157" s="59">
        <f t="shared" si="142"/>
        <v>309.04878184451508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4.2328088483125308</v>
      </c>
      <c r="AA157" s="21">
        <f>EXP(-LN(2)/25)*AA156+(1-EXP(-LN(2)/25))/(LN(2)/25)*Calculateur!V157*Calculateur!X157*VLOOKUP('Données projet'!$B$9,Paramètres!$A$1:$I$89,3,0)*0.475*44/12</f>
        <v>0.31253782180220319</v>
      </c>
      <c r="AB157" s="21">
        <f>EXP(-LN(2)/2)*AB156+(1-EXP(-LN(2)/2))/(LN(2)/2)*V157*Y157*VLOOKUP('Données projet'!$B$9,Paramètres!$A$1:$I$89,3,0)*0.475*44/12</f>
        <v>1.2421754418123278E-19</v>
      </c>
      <c r="AC157" s="22">
        <f t="shared" si="163"/>
        <v>4.5453466701147338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116.87253889414677</v>
      </c>
      <c r="T158" s="59">
        <f t="shared" si="142"/>
        <v>309.04878184451508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4.1498060485555923</v>
      </c>
      <c r="AA158" s="21">
        <f>EXP(-LN(2)/25)*AA157+(1-EXP(-LN(2)/25))/(LN(2)/25)*Calculateur!V158*Calculateur!X158*VLOOKUP('Données projet'!$B$9,Paramètres!$A$1:$I$89,3,0)*0.475*44/12</f>
        <v>0.30399145862937221</v>
      </c>
      <c r="AB158" s="21">
        <f>EXP(-LN(2)/2)*AB157+(1-EXP(-LN(2)/2))/(LN(2)/2)*V158*Y158*VLOOKUP('Données projet'!$B$9,Paramètres!$A$1:$I$89,3,0)*0.475*44/12</f>
        <v>8.7835067832889268E-20</v>
      </c>
      <c r="AC158" s="22">
        <f t="shared" si="163"/>
        <v>4.4537975071849649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116.87253889414677</v>
      </c>
      <c r="T159" s="59">
        <f t="shared" si="142"/>
        <v>309.04878184451508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4.0684308830751785</v>
      </c>
      <c r="AA159" s="21">
        <f>EXP(-LN(2)/25)*AA158+(1-EXP(-LN(2)/25))/(LN(2)/25)*Calculateur!V159*Calculateur!X159*VLOOKUP('Données projet'!$B$9,Paramètres!$A$1:$I$89,3,0)*0.475*44/12</f>
        <v>0.29567879620693599</v>
      </c>
      <c r="AB159" s="21">
        <f>EXP(-LN(2)/2)*AB158+(1-EXP(-LN(2)/2))/(LN(2)/2)*V159*Y159*VLOOKUP('Données projet'!$B$9,Paramètres!$A$1:$I$89,3,0)*0.475*44/12</f>
        <v>6.210877209061639E-20</v>
      </c>
      <c r="AC159" s="22">
        <f t="shared" si="163"/>
        <v>4.3641096792821141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116.87253889414677</v>
      </c>
      <c r="T160" s="59">
        <f t="shared" si="142"/>
        <v>309.04878184451508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3.9886514349558855</v>
      </c>
      <c r="AA160" s="21">
        <f>EXP(-LN(2)/25)*AA159+(1-EXP(-LN(2)/25))/(LN(2)/25)*Calculateur!V160*Calculateur!X160*VLOOKUP('Données projet'!$B$9,Paramètres!$A$1:$I$89,3,0)*0.475*44/12</f>
        <v>0.28759344397558523</v>
      </c>
      <c r="AB160" s="21">
        <f>EXP(-LN(2)/2)*AB159+(1-EXP(-LN(2)/2))/(LN(2)/2)*V160*Y160*VLOOKUP('Données projet'!$B$9,Paramètres!$A$1:$I$89,3,0)*0.475*44/12</f>
        <v>4.3917533916444634E-20</v>
      </c>
      <c r="AC160" s="22">
        <f t="shared" si="163"/>
        <v>4.2762448789314709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116.87253889414677</v>
      </c>
      <c r="T161" s="59">
        <f t="shared" si="142"/>
        <v>309.04878184451508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3.9104364131535529</v>
      </c>
      <c r="AA161" s="21">
        <f>EXP(-LN(2)/25)*AA160+(1-EXP(-LN(2)/25))/(LN(2)/25)*Calculateur!V161*Calculateur!X161*VLOOKUP('Données projet'!$B$9,Paramètres!$A$1:$I$89,3,0)*0.475*44/12</f>
        <v>0.27972918612619091</v>
      </c>
      <c r="AB161" s="21">
        <f>EXP(-LN(2)/2)*AB160+(1-EXP(-LN(2)/2))/(LN(2)/2)*V161*Y161*VLOOKUP('Données projet'!$B$9,Paramètres!$A$1:$I$89,3,0)*0.475*44/12</f>
        <v>3.1054386045308195E-20</v>
      </c>
      <c r="AC161" s="22">
        <f t="shared" si="163"/>
        <v>4.1901655992797435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116.87253889414677</v>
      </c>
      <c r="T162" s="59">
        <f t="shared" si="142"/>
        <v>309.04878184451508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3.8337551402223116</v>
      </c>
      <c r="AA162" s="21">
        <f>EXP(-LN(2)/25)*AA161+(1-EXP(-LN(2)/25))/(LN(2)/25)*Calculateur!V162*Calculateur!X162*VLOOKUP('Données projet'!$B$9,Paramètres!$A$1:$I$89,3,0)*0.475*44/12</f>
        <v>0.27207997682125162</v>
      </c>
      <c r="AB162" s="21">
        <f>EXP(-LN(2)/2)*AB161+(1-EXP(-LN(2)/2))/(LN(2)/2)*V162*Y162*VLOOKUP('Données projet'!$B$9,Paramètres!$A$1:$I$89,3,0)*0.475*44/12</f>
        <v>2.1958766958222317E-20</v>
      </c>
      <c r="AC162" s="22">
        <f t="shared" si="163"/>
        <v>4.1058351170435632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116.87253889414677</v>
      </c>
      <c r="T163" s="59">
        <f t="shared" si="142"/>
        <v>309.04878184451508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3.7585775402822938</v>
      </c>
      <c r="AA163" s="21">
        <f>EXP(-LN(2)/25)*AA162+(1-EXP(-LN(2)/25))/(LN(2)/25)*Calculateur!V163*Calculateur!X163*VLOOKUP('Données projet'!$B$9,Paramètres!$A$1:$I$89,3,0)*0.475*44/12</f>
        <v>0.26463993554701037</v>
      </c>
      <c r="AB163" s="21">
        <f>EXP(-LN(2)/2)*AB162+(1-EXP(-LN(2)/2))/(LN(2)/2)*V163*Y163*VLOOKUP('Données projet'!$B$9,Paramètres!$A$1:$I$89,3,0)*0.475*44/12</f>
        <v>1.5527193022654098E-20</v>
      </c>
      <c r="AC163" s="22">
        <f t="shared" si="163"/>
        <v>4.0232174758293038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116.87253889414677</v>
      </c>
      <c r="T164" s="59">
        <f t="shared" si="142"/>
        <v>309.04878184451508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3.6848741272232917</v>
      </c>
      <c r="AA164" s="21">
        <f>EXP(-LN(2)/25)*AA163+(1-EXP(-LN(2)/25))/(LN(2)/25)*Calculateur!V164*Calculateur!X164*VLOOKUP('Données projet'!$B$9,Paramètres!$A$1:$I$89,3,0)*0.475*44/12</f>
        <v>0.25740334259266801</v>
      </c>
      <c r="AB164" s="21">
        <f>EXP(-LN(2)/2)*AB163+(1-EXP(-LN(2)/2))/(LN(2)/2)*V164*Y164*VLOOKUP('Données projet'!$B$9,Paramètres!$A$1:$I$89,3,0)*0.475*44/12</f>
        <v>1.0979383479111159E-20</v>
      </c>
      <c r="AC164" s="22">
        <f t="shared" si="163"/>
        <v>3.9422774698159597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116.87253889414677</v>
      </c>
      <c r="T165" s="59">
        <f t="shared" si="142"/>
        <v>309.04878184451508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3.6126159931397335</v>
      </c>
      <c r="AA165" s="21">
        <f>EXP(-LN(2)/25)*AA164+(1-EXP(-LN(2)/25))/(LN(2)/25)*Calculateur!V165*Calculateur!X165*VLOOKUP('Données projet'!$B$9,Paramètres!$A$1:$I$89,3,0)*0.475*44/12</f>
        <v>0.25036463465321801</v>
      </c>
      <c r="AB165" s="21">
        <f>EXP(-LN(2)/2)*AB164+(1-EXP(-LN(2)/2))/(LN(2)/2)*V165*Y165*VLOOKUP('Données projet'!$B$9,Paramètres!$A$1:$I$89,3,0)*0.475*44/12</f>
        <v>7.7635965113270488E-21</v>
      </c>
      <c r="AC165" s="22">
        <f t="shared" si="163"/>
        <v>3.8629806277929513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116.87253889414677</v>
      </c>
      <c r="T166" s="59">
        <f t="shared" si="142"/>
        <v>309.04878184451508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3.5417747969924438</v>
      </c>
      <c r="AA166" s="21">
        <f>EXP(-LN(2)/25)*AA165+(1-EXP(-LN(2)/25))/(LN(2)/25)*Calculateur!V166*Calculateur!X166*VLOOKUP('Données projet'!$B$9,Paramètres!$A$1:$I$89,3,0)*0.475*44/12</f>
        <v>0.24351840055252183</v>
      </c>
      <c r="AB166" s="21">
        <f>EXP(-LN(2)/2)*AB165+(1-EXP(-LN(2)/2))/(LN(2)/2)*V166*Y166*VLOOKUP('Données projet'!$B$9,Paramètres!$A$1:$I$89,3,0)*0.475*44/12</f>
        <v>5.4896917395555793E-21</v>
      </c>
      <c r="AC166" s="22">
        <f t="shared" si="163"/>
        <v>3.7852931975449655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116.87253889414677</v>
      </c>
      <c r="T167" s="59">
        <f t="shared" si="142"/>
        <v>309.04878184451508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3.4723227534927394</v>
      </c>
      <c r="AA167" s="21">
        <f>EXP(-LN(2)/25)*AA166+(1-EXP(-LN(2)/25))/(LN(2)/25)*Calculateur!V167*Calculateur!X167*VLOOKUP('Données projet'!$B$9,Paramètres!$A$1:$I$89,3,0)*0.475*44/12</f>
        <v>0.23685937708333701</v>
      </c>
      <c r="AB167" s="21">
        <f>EXP(-LN(2)/2)*AB166+(1-EXP(-LN(2)/2))/(LN(2)/2)*V167*Y167*VLOOKUP('Données projet'!$B$9,Paramètres!$A$1:$I$89,3,0)*0.475*44/12</f>
        <v>3.8817982556635244E-21</v>
      </c>
      <c r="AC167" s="22">
        <f t="shared" si="163"/>
        <v>3.7091821305760764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116.87253889414677</v>
      </c>
      <c r="T168" s="59">
        <f t="shared" si="142"/>
        <v>309.04878184451508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3.4042326222045003</v>
      </c>
      <c r="AA168" s="21">
        <f>EXP(-LN(2)/25)*AA167+(1-EXP(-LN(2)/25))/(LN(2)/25)*Calculateur!V168*Calculateur!X168*VLOOKUP('Données projet'!$B$9,Paramètres!$A$1:$I$89,3,0)*0.475*44/12</f>
        <v>0.23038244496109986</v>
      </c>
      <c r="AB168" s="21">
        <f>EXP(-LN(2)/2)*AB167+(1-EXP(-LN(2)/2))/(LN(2)/2)*V168*Y168*VLOOKUP('Données projet'!$B$9,Paramètres!$A$1:$I$89,3,0)*0.475*44/12</f>
        <v>2.7448458697777896E-21</v>
      </c>
      <c r="AC168" s="22">
        <f t="shared" si="163"/>
        <v>3.6346150671656003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116.87253889414677</v>
      </c>
      <c r="T169" s="59">
        <f t="shared" si="142"/>
        <v>309.04878184451508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3.3374776968599442</v>
      </c>
      <c r="AA169" s="21">
        <f>EXP(-LN(2)/25)*AA168+(1-EXP(-LN(2)/25))/(LN(2)/25)*Calculateur!V169*Calculateur!X169*VLOOKUP('Données projet'!$B$9,Paramètres!$A$1:$I$89,3,0)*0.475*44/12</f>
        <v>0.22408262488835234</v>
      </c>
      <c r="AB169" s="21">
        <f>EXP(-LN(2)/2)*AB168+(1-EXP(-LN(2)/2))/(LN(2)/2)*V169*Y169*VLOOKUP('Données projet'!$B$9,Paramètres!$A$1:$I$89,3,0)*0.475*44/12</f>
        <v>1.9408991278317622E-21</v>
      </c>
      <c r="AC169" s="22">
        <f t="shared" si="163"/>
        <v>3.5615603217482965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116.87253889414677</v>
      </c>
      <c r="T170" s="59">
        <f t="shared" si="142"/>
        <v>309.04878184451508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3.2720317948849109</v>
      </c>
      <c r="AA170" s="21">
        <f>EXP(-LN(2)/25)*AA169+(1-EXP(-LN(2)/25))/(LN(2)/25)*Calculateur!V170*Calculateur!X170*VLOOKUP('Données projet'!$B$9,Paramètres!$A$1:$I$89,3,0)*0.475*44/12</f>
        <v>0.21795507372678724</v>
      </c>
      <c r="AB170" s="21">
        <f>EXP(-LN(2)/2)*AB169+(1-EXP(-LN(2)/2))/(LN(2)/2)*V170*Y170*VLOOKUP('Données projet'!$B$9,Paramètres!$A$1:$I$89,3,0)*0.475*44/12</f>
        <v>1.3724229348888948E-21</v>
      </c>
      <c r="AC170" s="22">
        <f t="shared" si="163"/>
        <v>3.4899868686116982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116.87253889414677</v>
      </c>
      <c r="T171" s="59">
        <f t="shared" si="142"/>
        <v>309.04878184451508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3.2078692471295494</v>
      </c>
      <c r="AA171" s="21">
        <f>EXP(-LN(2)/25)*AA170+(1-EXP(-LN(2)/25))/(LN(2)/25)*Calculateur!V171*Calculateur!X171*VLOOKUP('Données projet'!$B$9,Paramètres!$A$1:$I$89,3,0)*0.475*44/12</f>
        <v>0.21199508077396906</v>
      </c>
      <c r="AB171" s="21">
        <f>EXP(-LN(2)/2)*AB170+(1-EXP(-LN(2)/2))/(LN(2)/2)*V171*Y171*VLOOKUP('Données projet'!$B$9,Paramètres!$A$1:$I$89,3,0)*0.475*44/12</f>
        <v>9.704495639158811E-22</v>
      </c>
      <c r="AC171" s="22">
        <f t="shared" si="163"/>
        <v>3.4198643279035186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116.87253889414677</v>
      </c>
      <c r="T172" s="59">
        <f t="shared" si="142"/>
        <v>309.04878184451508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3.1449648878003806</v>
      </c>
      <c r="AA172" s="21">
        <f>EXP(-LN(2)/25)*AA171+(1-EXP(-LN(2)/25))/(LN(2)/25)*Calculateur!V172*Calculateur!X172*VLOOKUP('Données projet'!$B$9,Paramètres!$A$1:$I$89,3,0)*0.475*44/12</f>
        <v>0.20619806414186809</v>
      </c>
      <c r="AB172" s="21">
        <f>EXP(-LN(2)/2)*AB171+(1-EXP(-LN(2)/2))/(LN(2)/2)*V172*Y172*VLOOKUP('Données projet'!$B$9,Paramètres!$A$1:$I$89,3,0)*0.475*44/12</f>
        <v>6.8621146744444741E-22</v>
      </c>
      <c r="AC172" s="22">
        <f t="shared" si="163"/>
        <v>3.3511629519422486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116.87253889414677</v>
      </c>
      <c r="T173" s="59">
        <f t="shared" si="142"/>
        <v>309.04878184451508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3.0832940445897865</v>
      </c>
      <c r="AA173" s="21">
        <f>EXP(-LN(2)/25)*AA172+(1-EXP(-LN(2)/25))/(LN(2)/25)*Calculateur!V173*Calculateur!X173*VLOOKUP('Données projet'!$B$9,Paramètres!$A$1:$I$89,3,0)*0.475*44/12</f>
        <v>0.20055956723442378</v>
      </c>
      <c r="AB173" s="21">
        <f>EXP(-LN(2)/2)*AB172+(1-EXP(-LN(2)/2))/(LN(2)/2)*V173*Y173*VLOOKUP('Données projet'!$B$9,Paramètres!$A$1:$I$89,3,0)*0.475*44/12</f>
        <v>4.8522478195794055E-22</v>
      </c>
      <c r="AC173" s="22">
        <f t="shared" si="163"/>
        <v>3.2838536118242101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116.87253889414677</v>
      </c>
      <c r="T174" s="59">
        <f t="shared" si="142"/>
        <v>309.04878184451508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3.0228325289990519</v>
      </c>
      <c r="AA174" s="21">
        <f>EXP(-LN(2)/25)*AA173+(1-EXP(-LN(2)/25))/(LN(2)/25)*Calculateur!V174*Calculateur!X174*VLOOKUP('Données projet'!$B$9,Paramètres!$A$1:$I$89,3,0)*0.475*44/12</f>
        <v>0.19507525532142922</v>
      </c>
      <c r="AB174" s="21">
        <f>EXP(-LN(2)/2)*AB173+(1-EXP(-LN(2)/2))/(LN(2)/2)*V174*Y174*VLOOKUP('Données projet'!$B$9,Paramètres!$A$1:$I$89,3,0)*0.475*44/12</f>
        <v>3.431057337222237E-22</v>
      </c>
      <c r="AC174" s="22">
        <f t="shared" si="163"/>
        <v>3.2179077843204809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116.87253889414677</v>
      </c>
      <c r="T175" s="59">
        <f t="shared" si="142"/>
        <v>309.04878184451508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2.9635566268511684</v>
      </c>
      <c r="AA175" s="21">
        <f>EXP(-LN(2)/25)*AA174+(1-EXP(-LN(2)/25))/(LN(2)/25)*Calculateur!V175*Calculateur!X175*VLOOKUP('Données projet'!$B$9,Paramètres!$A$1:$I$89,3,0)*0.475*44/12</f>
        <v>0.18974091220610292</v>
      </c>
      <c r="AB175" s="21">
        <f>EXP(-LN(2)/2)*AB174+(1-EXP(-LN(2)/2))/(LN(2)/2)*V175*Y175*VLOOKUP('Données projet'!$B$9,Paramètres!$A$1:$I$89,3,0)*0.475*44/12</f>
        <v>2.4261239097897028E-22</v>
      </c>
      <c r="AC175" s="22">
        <f t="shared" si="163"/>
        <v>3.1532975390572715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116.87253889414677</v>
      </c>
      <c r="T176" s="59">
        <f t="shared" si="142"/>
        <v>309.04878184451508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2.9054430889896747</v>
      </c>
      <c r="AA176" s="21">
        <f>EXP(-LN(2)/25)*AA175+(1-EXP(-LN(2)/25))/(LN(2)/25)*Calculateur!V176*Calculateur!X176*VLOOKUP('Données projet'!$B$9,Paramètres!$A$1:$I$89,3,0)*0.475*44/12</f>
        <v>0.18455243698378612</v>
      </c>
      <c r="AB176" s="21">
        <f>EXP(-LN(2)/2)*AB175+(1-EXP(-LN(2)/2))/(LN(2)/2)*V176*Y176*VLOOKUP('Données projet'!$B$9,Paramètres!$A$1:$I$89,3,0)*0.475*44/12</f>
        <v>1.7155286686111185E-22</v>
      </c>
      <c r="AC176" s="22">
        <f t="shared" si="163"/>
        <v>3.0899955259734608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116.87253889414677</v>
      </c>
      <c r="T177" s="59">
        <f t="shared" si="142"/>
        <v>309.04878184451508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2.8484691221598868</v>
      </c>
      <c r="AA177" s="21">
        <f>EXP(-LN(2)/25)*AA176+(1-EXP(-LN(2)/25))/(LN(2)/25)*Calculateur!V177*Calculateur!X177*VLOOKUP('Données projet'!$B$9,Paramètres!$A$1:$I$89,3,0)*0.475*44/12</f>
        <v>0.17950584088927363</v>
      </c>
      <c r="AB177" s="21">
        <f>EXP(-LN(2)/2)*AB176+(1-EXP(-LN(2)/2))/(LN(2)/2)*V177*Y177*VLOOKUP('Données projet'!$B$9,Paramètres!$A$1:$I$89,3,0)*0.475*44/12</f>
        <v>1.2130619548948514E-22</v>
      </c>
      <c r="AC177" s="22">
        <f t="shared" si="163"/>
        <v>3.0279749630491604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116.87253889414677</v>
      </c>
      <c r="T178" s="59">
        <f t="shared" si="142"/>
        <v>309.04878184451508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2.7926123800689426</v>
      </c>
      <c r="AA178" s="21">
        <f>EXP(-LN(2)/25)*AA177+(1-EXP(-LN(2)/25))/(LN(2)/25)*Calculateur!V178*Calculateur!X178*VLOOKUP('Données projet'!$B$9,Paramètres!$A$1:$I$89,3,0)*0.475*44/12</f>
        <v>0.17459724423035453</v>
      </c>
      <c r="AB178" s="21">
        <f>EXP(-LN(2)/2)*AB177+(1-EXP(-LN(2)/2))/(LN(2)/2)*V178*Y178*VLOOKUP('Données projet'!$B$9,Paramètres!$A$1:$I$89,3,0)*0.475*44/12</f>
        <v>8.5776433430555926E-23</v>
      </c>
      <c r="AC178" s="22">
        <f t="shared" si="163"/>
        <v>2.9672096242992971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116.87253889414677</v>
      </c>
      <c r="T179" s="59">
        <f t="shared" si="142"/>
        <v>309.04878184451508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2.7378509546211531</v>
      </c>
      <c r="AA179" s="21">
        <f>EXP(-LN(2)/25)*AA178+(1-EXP(-LN(2)/25))/(LN(2)/25)*Calculateur!V179*Calculateur!X179*VLOOKUP('Données projet'!$B$9,Paramètres!$A$1:$I$89,3,0)*0.475*44/12</f>
        <v>0.16982287340520547</v>
      </c>
      <c r="AB179" s="21">
        <f>EXP(-LN(2)/2)*AB178+(1-EXP(-LN(2)/2))/(LN(2)/2)*V179*Y179*VLOOKUP('Données projet'!$B$9,Paramètres!$A$1:$I$89,3,0)*0.475*44/12</f>
        <v>6.0653097744742569E-23</v>
      </c>
      <c r="AC179" s="22">
        <f t="shared" si="163"/>
        <v>2.9076738280263585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116.87253889414677</v>
      </c>
      <c r="T180" s="59">
        <f t="shared" si="142"/>
        <v>309.04878184451508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2.6841633673252234</v>
      </c>
      <c r="AA180" s="21">
        <f>EXP(-LN(2)/25)*AA179+(1-EXP(-LN(2)/25))/(LN(2)/25)*Calculateur!V180*Calculateur!X180*VLOOKUP('Données projet'!$B$9,Paramètres!$A$1:$I$89,3,0)*0.475*44/12</f>
        <v>0.16517905800134333</v>
      </c>
      <c r="AB180" s="21">
        <f>EXP(-LN(2)/2)*AB179+(1-EXP(-LN(2)/2))/(LN(2)/2)*V180*Y180*VLOOKUP('Données projet'!$B$9,Paramètres!$A$1:$I$89,3,0)*0.475*44/12</f>
        <v>4.2888216715277963E-23</v>
      </c>
      <c r="AC180" s="22">
        <f t="shared" si="163"/>
        <v>2.8493424253265669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116.87253889414677</v>
      </c>
      <c r="T181" s="59">
        <f t="shared" si="142"/>
        <v>309.04878184451508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2.6315285608699721</v>
      </c>
      <c r="AA181" s="21">
        <f>EXP(-LN(2)/25)*AA180+(1-EXP(-LN(2)/25))/(LN(2)/25)*Calculateur!V181*Calculateur!X181*VLOOKUP('Données projet'!$B$9,Paramètres!$A$1:$I$89,3,0)*0.475*44/12</f>
        <v>0.16066222797390747</v>
      </c>
      <c r="AB181" s="21">
        <f>EXP(-LN(2)/2)*AB180+(1-EXP(-LN(2)/2))/(LN(2)/2)*V181*Y181*VLOOKUP('Données projet'!$B$9,Paramètres!$A$1:$I$89,3,0)*0.475*44/12</f>
        <v>3.0326548872371284E-23</v>
      </c>
      <c r="AC181" s="22">
        <f t="shared" si="163"/>
        <v>2.7921907888438797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116.87253889414677</v>
      </c>
      <c r="T182" s="59">
        <f t="shared" si="142"/>
        <v>309.04878184451508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2.5799258908652463</v>
      </c>
      <c r="AA182" s="21">
        <f>EXP(-LN(2)/25)*AA181+(1-EXP(-LN(2)/25))/(LN(2)/25)*Calculateur!V182*Calculateur!X182*VLOOKUP('Données projet'!$B$9,Paramètres!$A$1:$I$89,3,0)*0.475*44/12</f>
        <v>0.15626891090110159</v>
      </c>
      <c r="AB182" s="21">
        <f>EXP(-LN(2)/2)*AB181+(1-EXP(-LN(2)/2))/(LN(2)/2)*V182*Y182*VLOOKUP('Données projet'!$B$9,Paramètres!$A$1:$I$89,3,0)*0.475*44/12</f>
        <v>2.1444108357638982E-23</v>
      </c>
      <c r="AC182" s="22">
        <f t="shared" si="163"/>
        <v>2.7361948017663478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116.87253889414677</v>
      </c>
      <c r="T183" s="59">
        <f t="shared" si="142"/>
        <v>309.04878184451508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2.5293351177447922</v>
      </c>
      <c r="AA183" s="21">
        <f>EXP(-LN(2)/25)*AA182+(1-EXP(-LN(2)/25))/(LN(2)/25)*Calculateur!V183*Calculateur!X183*VLOOKUP('Données projet'!$B$9,Paramètres!$A$1:$I$89,3,0)*0.475*44/12</f>
        <v>0.15199572931468611</v>
      </c>
      <c r="AB183" s="21">
        <f>EXP(-LN(2)/2)*AB182+(1-EXP(-LN(2)/2))/(LN(2)/2)*V183*Y183*VLOOKUP('Données projet'!$B$9,Paramètres!$A$1:$I$89,3,0)*0.475*44/12</f>
        <v>1.5163274436185642E-23</v>
      </c>
      <c r="AC183" s="22">
        <f t="shared" si="163"/>
        <v>2.6813308470594786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116.87253889414677</v>
      </c>
      <c r="T184" s="59">
        <f t="shared" si="142"/>
        <v>309.04878184451508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2.4797363988279058</v>
      </c>
      <c r="AA184" s="21">
        <f>EXP(-LN(2)/25)*AA183+(1-EXP(-LN(2)/25))/(LN(2)/25)*Calculateur!V184*Calculateur!X184*VLOOKUP('Données projet'!$B$9,Paramètres!$A$1:$I$89,3,0)*0.475*44/12</f>
        <v>0.14783939810346799</v>
      </c>
      <c r="AB184" s="21">
        <f>EXP(-LN(2)/2)*AB183+(1-EXP(-LN(2)/2))/(LN(2)/2)*V184*Y184*VLOOKUP('Données projet'!$B$9,Paramètres!$A$1:$I$89,3,0)*0.475*44/12</f>
        <v>1.0722054178819491E-23</v>
      </c>
      <c r="AC184" s="22">
        <f t="shared" si="163"/>
        <v>2.6275757969313736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116.87253889414677</v>
      </c>
      <c r="T185" s="59">
        <f t="shared" si="142"/>
        <v>309.04878184451508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2.4311102805367479</v>
      </c>
      <c r="AA185" s="21">
        <f>EXP(-LN(2)/25)*AA184+(1-EXP(-LN(2)/25))/(LN(2)/25)*Calculateur!V185*Calculateur!X185*VLOOKUP('Données projet'!$B$9,Paramètres!$A$1:$I$89,3,0)*0.475*44/12</f>
        <v>0.14379672198779261</v>
      </c>
      <c r="AB185" s="21">
        <f>EXP(-LN(2)/2)*AB184+(1-EXP(-LN(2)/2))/(LN(2)/2)*V185*Y185*VLOOKUP('Données projet'!$B$9,Paramètres!$A$1:$I$89,3,0)*0.475*44/12</f>
        <v>7.5816372180928211E-24</v>
      </c>
      <c r="AC185" s="22">
        <f t="shared" si="163"/>
        <v>2.5749070025245406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116.87253889414677</v>
      </c>
      <c r="T186" s="59">
        <f t="shared" si="142"/>
        <v>309.04878184451508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2.383437690766276</v>
      </c>
      <c r="AA186" s="21">
        <f>EXP(-LN(2)/25)*AA185+(1-EXP(-LN(2)/25))/(LN(2)/25)*Calculateur!V186*Calculateur!X186*VLOOKUP('Données projet'!$B$9,Paramètres!$A$1:$I$89,3,0)*0.475*44/12</f>
        <v>0.13986459306309545</v>
      </c>
      <c r="AB186" s="21">
        <f>EXP(-LN(2)/2)*AB185+(1-EXP(-LN(2)/2))/(LN(2)/2)*V186*Y186*VLOOKUP('Données projet'!$B$9,Paramètres!$A$1:$I$89,3,0)*0.475*44/12</f>
        <v>5.3610270894097454E-24</v>
      </c>
      <c r="AC186" s="22">
        <f t="shared" si="163"/>
        <v>2.5233022838293713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116.87253889414677</v>
      </c>
      <c r="T187" s="59">
        <f t="shared" si="142"/>
        <v>309.04878184451508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2.3366999314037944</v>
      </c>
      <c r="AA187" s="21">
        <f>EXP(-LN(2)/25)*AA186+(1-EXP(-LN(2)/25))/(LN(2)/25)*Calculateur!V187*Calculateur!X187*VLOOKUP('Données projet'!$B$9,Paramètres!$A$1:$I$89,3,0)*0.475*44/12</f>
        <v>0.13603998841062581</v>
      </c>
      <c r="AB187" s="21">
        <f>EXP(-LN(2)/2)*AB186+(1-EXP(-LN(2)/2))/(LN(2)/2)*V187*Y187*VLOOKUP('Données projet'!$B$9,Paramètres!$A$1:$I$89,3,0)*0.475*44/12</f>
        <v>3.7908186090464105E-24</v>
      </c>
      <c r="AC187" s="22">
        <f t="shared" si="163"/>
        <v>2.47273991981442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116.87253889414677</v>
      </c>
      <c r="T188" s="59">
        <f t="shared" si="142"/>
        <v>309.04878184451508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2.2908786709951929</v>
      </c>
      <c r="AA188" s="21">
        <f>EXP(-LN(2)/25)*AA187+(1-EXP(-LN(2)/25))/(LN(2)/25)*Calculateur!V188*Calculateur!X188*VLOOKUP('Données projet'!$B$9,Paramètres!$A$1:$I$89,3,0)*0.475*44/12</f>
        <v>0.13231996777350519</v>
      </c>
      <c r="AB188" s="21">
        <f>EXP(-LN(2)/2)*AB187+(1-EXP(-LN(2)/2))/(LN(2)/2)*V188*Y188*VLOOKUP('Données projet'!$B$9,Paramètres!$A$1:$I$89,3,0)*0.475*44/12</f>
        <v>2.6805135447048727E-24</v>
      </c>
      <c r="AC188" s="22">
        <f t="shared" si="163"/>
        <v>2.4231986387686981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116.87253889414677</v>
      </c>
      <c r="T189" s="59">
        <f t="shared" si="142"/>
        <v>309.04878184451508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2.2459559375549949</v>
      </c>
      <c r="AA189" s="21">
        <f>EXP(-LN(2)/25)*AA188+(1-EXP(-LN(2)/25))/(LN(2)/25)*Calculateur!V189*Calculateur!X189*VLOOKUP('Données projet'!$B$9,Paramètres!$A$1:$I$89,3,0)*0.475*44/12</f>
        <v>0.128701671296334</v>
      </c>
      <c r="AB189" s="21">
        <f>EXP(-LN(2)/2)*AB188+(1-EXP(-LN(2)/2))/(LN(2)/2)*V189*Y189*VLOOKUP('Données projet'!$B$9,Paramètres!$A$1:$I$89,3,0)*0.475*44/12</f>
        <v>1.8954093045232053E-24</v>
      </c>
      <c r="AC189" s="22">
        <f t="shared" si="163"/>
        <v>2.3746576088513289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116.87253889414677</v>
      </c>
      <c r="T190" s="59">
        <f t="shared" si="142"/>
        <v>309.04878184451508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2.201914111517397</v>
      </c>
      <c r="AA190" s="21">
        <f>EXP(-LN(2)/25)*AA189+(1-EXP(-LN(2)/25))/(LN(2)/25)*Calculateur!V190*Calculateur!X190*VLOOKUP('Données projet'!$B$9,Paramètres!$A$1:$I$89,3,0)*0.475*44/12</f>
        <v>0.12518231732660901</v>
      </c>
      <c r="AB190" s="21">
        <f>EXP(-LN(2)/2)*AB189+(1-EXP(-LN(2)/2))/(LN(2)/2)*V190*Y190*VLOOKUP('Données projet'!$B$9,Paramètres!$A$1:$I$89,3,0)*0.475*44/12</f>
        <v>1.3402567723524363E-24</v>
      </c>
      <c r="AC190" s="22">
        <f t="shared" si="163"/>
        <v>2.3270964288440061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116.87253889414677</v>
      </c>
      <c r="T191" s="59">
        <f t="shared" si="142"/>
        <v>309.04878184451508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2.1587359188255353</v>
      </c>
      <c r="AA191" s="21">
        <f>EXP(-LN(2)/25)*AA190+(1-EXP(-LN(2)/25))/(LN(2)/25)*Calculateur!V191*Calculateur!X191*VLOOKUP('Données projet'!$B$9,Paramètres!$A$1:$I$89,3,0)*0.475*44/12</f>
        <v>0.12175920027626091</v>
      </c>
      <c r="AB191" s="21">
        <f>EXP(-LN(2)/2)*AB190+(1-EXP(-LN(2)/2))/(LN(2)/2)*V191*Y191*VLOOKUP('Données projet'!$B$9,Paramètres!$A$1:$I$89,3,0)*0.475*44/12</f>
        <v>9.4770465226160264E-25</v>
      </c>
      <c r="AC191" s="22">
        <f t="shared" si="163"/>
        <v>2.2804951191017961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116.87253889414677</v>
      </c>
      <c r="T192" s="59">
        <f t="shared" si="142"/>
        <v>309.04878184451508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2.1164044241562636</v>
      </c>
      <c r="AA192" s="21">
        <f>EXP(-LN(2)/25)*AA191+(1-EXP(-LN(2)/25))/(LN(2)/25)*Calculateur!V192*Calculateur!X192*VLOOKUP('Données projet'!$B$9,Paramètres!$A$1:$I$89,3,0)*0.475*44/12</f>
        <v>0.11842968854166851</v>
      </c>
      <c r="AB192" s="21">
        <f>EXP(-LN(2)/2)*AB191+(1-EXP(-LN(2)/2))/(LN(2)/2)*V192*Y192*VLOOKUP('Données projet'!$B$9,Paramètres!$A$1:$I$89,3,0)*0.475*44/12</f>
        <v>6.7012838617621817E-25</v>
      </c>
      <c r="AC192" s="22">
        <f t="shared" si="163"/>
        <v>2.2348341126979321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116.87253889414677</v>
      </c>
      <c r="T193" s="59">
        <f t="shared" si="142"/>
        <v>309.04878184451508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2.0749030242777944</v>
      </c>
      <c r="AA193" s="21">
        <f>EXP(-LN(2)/25)*AA192+(1-EXP(-LN(2)/25))/(LN(2)/25)*Calculateur!V193*Calculateur!X193*VLOOKUP('Données projet'!$B$9,Paramètres!$A$1:$I$89,3,0)*0.475*44/12</f>
        <v>0.11519122248054993</v>
      </c>
      <c r="AB193" s="21">
        <f>EXP(-LN(2)/2)*AB192+(1-EXP(-LN(2)/2))/(LN(2)/2)*V193*Y193*VLOOKUP('Données projet'!$B$9,Paramètres!$A$1:$I$89,3,0)*0.475*44/12</f>
        <v>4.7385232613080132E-25</v>
      </c>
      <c r="AC193" s="22">
        <f t="shared" si="163"/>
        <v>2.1900942467583442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116.87253889414677</v>
      </c>
      <c r="T194" s="59">
        <f t="shared" si="142"/>
        <v>309.04878184451508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2.0342154415375875</v>
      </c>
      <c r="AA194" s="21">
        <f>EXP(-LN(2)/25)*AA193+(1-EXP(-LN(2)/25))/(LN(2)/25)*Calculateur!V194*Calculateur!X194*VLOOKUP('Données projet'!$B$9,Paramètres!$A$1:$I$89,3,0)*0.475*44/12</f>
        <v>0.11204131244417617</v>
      </c>
      <c r="AB194" s="21">
        <f>EXP(-LN(2)/2)*AB193+(1-EXP(-LN(2)/2))/(LN(2)/2)*V194*Y194*VLOOKUP('Données projet'!$B$9,Paramètres!$A$1:$I$89,3,0)*0.475*44/12</f>
        <v>3.3506419308810909E-25</v>
      </c>
      <c r="AC194" s="22">
        <f t="shared" si="163"/>
        <v>2.1462567539817639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116.87253889414677</v>
      </c>
      <c r="T195" s="59">
        <f t="shared" si="142"/>
        <v>309.04878184451508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1.994325717477941</v>
      </c>
      <c r="AA195" s="21">
        <f>EXP(-LN(2)/25)*AA194+(1-EXP(-LN(2)/25))/(LN(2)/25)*Calculateur!V195*Calculateur!X195*VLOOKUP('Données projet'!$B$9,Paramètres!$A$1:$I$89,3,0)*0.475*44/12</f>
        <v>0.10897753686339362</v>
      </c>
      <c r="AB195" s="21">
        <f>EXP(-LN(2)/2)*AB194+(1-EXP(-LN(2)/2))/(LN(2)/2)*V195*Y195*VLOOKUP('Données projet'!$B$9,Paramètres!$A$1:$I$89,3,0)*0.475*44/12</f>
        <v>2.3692616306540066E-25</v>
      </c>
      <c r="AC195" s="22">
        <f t="shared" si="163"/>
        <v>2.1033032543413346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116.87253889414677</v>
      </c>
      <c r="T196" s="59">
        <f t="shared" si="142"/>
        <v>309.04878184451508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1.9552182065767749</v>
      </c>
      <c r="AA196" s="21">
        <f>EXP(-LN(2)/25)*AA195+(1-EXP(-LN(2)/25))/(LN(2)/25)*Calculateur!V196*Calculateur!X196*VLOOKUP('Données projet'!$B$9,Paramètres!$A$1:$I$89,3,0)*0.475*44/12</f>
        <v>0.10599754038698453</v>
      </c>
      <c r="AB196" s="21">
        <f>EXP(-LN(2)/2)*AB195+(1-EXP(-LN(2)/2))/(LN(2)/2)*V196*Y196*VLOOKUP('Données projet'!$B$9,Paramètres!$A$1:$I$89,3,0)*0.475*44/12</f>
        <v>1.6753209654405454E-25</v>
      </c>
      <c r="AC196" s="22">
        <f t="shared" si="163"/>
        <v>2.0612157469637595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116.87253889414677</v>
      </c>
      <c r="T197" s="59">
        <f t="shared" ref="T197:T203" si="204">$T$3</f>
        <v>309.04878184451508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1.9168775701111542</v>
      </c>
      <c r="AA197" s="21">
        <f>EXP(-LN(2)/25)*AA196+(1-EXP(-LN(2)/25))/(LN(2)/25)*Calculateur!V197*Calculateur!X197*VLOOKUP('Données projet'!$B$9,Paramètres!$A$1:$I$89,3,0)*0.475*44/12</f>
        <v>0.10309903207093404</v>
      </c>
      <c r="AB197" s="21">
        <f>EXP(-LN(2)/2)*AB196+(1-EXP(-LN(2)/2))/(LN(2)/2)*V197*Y197*VLOOKUP('Données projet'!$B$9,Paramètres!$A$1:$I$89,3,0)*0.475*44/12</f>
        <v>1.1846308153270033E-25</v>
      </c>
      <c r="AC197" s="22">
        <f t="shared" si="163"/>
        <v>2.0199766021820884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116.87253889414677</v>
      </c>
      <c r="T198" s="59">
        <f t="shared" si="204"/>
        <v>309.04878184451508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1.8792887701411454</v>
      </c>
      <c r="AA198" s="21">
        <f>EXP(-LN(2)/25)*AA197+(1-EXP(-LN(2)/25))/(LN(2)/25)*Calculateur!V198*Calculateur!X198*VLOOKUP('Données projet'!$B$9,Paramètres!$A$1:$I$89,3,0)*0.475*44/12</f>
        <v>0.10027978361721189</v>
      </c>
      <c r="AB198" s="21">
        <f>EXP(-LN(2)/2)*AB197+(1-EXP(-LN(2)/2))/(LN(2)/2)*V198*Y198*VLOOKUP('Données projet'!$B$9,Paramètres!$A$1:$I$89,3,0)*0.475*44/12</f>
        <v>8.3766048272027271E-26</v>
      </c>
      <c r="AC198" s="22">
        <f t="shared" si="163"/>
        <v>1.9795685537583572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116.87253889414677</v>
      </c>
      <c r="T199" s="59">
        <f t="shared" si="204"/>
        <v>309.04878184451508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1.8424370636116443</v>
      </c>
      <c r="AA199" s="21">
        <f>EXP(-LN(2)/25)*AA198+(1-EXP(-LN(2)/25))/(LN(2)/25)*Calculateur!V199*Calculateur!X199*VLOOKUP('Données projet'!$B$9,Paramètres!$A$1:$I$89,3,0)*0.475*44/12</f>
        <v>9.753762766071461E-2</v>
      </c>
      <c r="AB199" s="21">
        <f>EXP(-LN(2)/2)*AB198+(1-EXP(-LN(2)/2))/(LN(2)/2)*V199*Y199*VLOOKUP('Données projet'!$B$9,Paramètres!$A$1:$I$89,3,0)*0.475*44/12</f>
        <v>5.9231540766350165E-26</v>
      </c>
      <c r="AC199" s="22">
        <f t="shared" si="163"/>
        <v>1.9399746912723588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116.87253889414677</v>
      </c>
      <c r="T200" s="59">
        <f t="shared" si="204"/>
        <v>309.04878184451508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1.8063079965698652</v>
      </c>
      <c r="AA200" s="21">
        <f>EXP(-LN(2)/25)*AA199+(1-EXP(-LN(2)/25))/(LN(2)/25)*Calculateur!V200*Calculateur!X200*VLOOKUP('Données projet'!$B$9,Paramètres!$A$1:$I$89,3,0)*0.475*44/12</f>
        <v>9.4870456103051462E-2</v>
      </c>
      <c r="AB200" s="21">
        <f>EXP(-LN(2)/2)*AB199+(1-EXP(-LN(2)/2))/(LN(2)/2)*V200*Y200*VLOOKUP('Données projet'!$B$9,Paramètres!$A$1:$I$89,3,0)*0.475*44/12</f>
        <v>4.1883024136013636E-26</v>
      </c>
      <c r="AC200" s="22">
        <f t="shared" si="163"/>
        <v>1.9011784526729167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116.87253889414677</v>
      </c>
      <c r="T201" s="59">
        <f t="shared" si="204"/>
        <v>309.04878184451508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1.7708873984962203</v>
      </c>
      <c r="AA201" s="21">
        <f>EXP(-LN(2)/25)*AA200+(1-EXP(-LN(2)/25))/(LN(2)/25)*Calculateur!V201*Calculateur!X201*VLOOKUP('Données projet'!$B$9,Paramètres!$A$1:$I$89,3,0)*0.475*44/12</f>
        <v>9.2276218491893061E-2</v>
      </c>
      <c r="AB201" s="21">
        <f>EXP(-LN(2)/2)*AB200+(1-EXP(-LN(2)/2))/(LN(2)/2)*V201*Y201*VLOOKUP('Données projet'!$B$9,Paramètres!$A$1:$I$89,3,0)*0.475*44/12</f>
        <v>2.9615770383175082E-26</v>
      </c>
      <c r="AC201" s="22">
        <f t="shared" si="163"/>
        <v>1.8631636169881134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116.87253889414677</v>
      </c>
      <c r="T202" s="59">
        <f t="shared" si="204"/>
        <v>309.04878184451508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1.7361613767463682</v>
      </c>
      <c r="AA202" s="21">
        <f>EXP(-LN(2)/25)*AA201+(1-EXP(-LN(2)/25))/(LN(2)/25)*Calculateur!V202*Calculateur!X202*VLOOKUP('Données projet'!$B$9,Paramètres!$A$1:$I$89,3,0)*0.475*44/12</f>
        <v>8.9752920444636813E-2</v>
      </c>
      <c r="AB202" s="21">
        <f>EXP(-LN(2)/2)*AB201+(1-EXP(-LN(2)/2))/(LN(2)/2)*V202*Y202*VLOOKUP('Données projet'!$B$9,Paramètres!$A$1:$I$89,3,0)*0.475*44/12</f>
        <v>2.0941512068006818E-26</v>
      </c>
      <c r="AC202" s="22">
        <f t="shared" si="163"/>
        <v>1.825914297191005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116.87253889414677</v>
      </c>
      <c r="T203" s="59">
        <f t="shared" si="204"/>
        <v>309.04878184451508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1.7021163111022486</v>
      </c>
      <c r="AA203" s="21">
        <f>EXP(-LN(2)/25)*AA202+(1-EXP(-LN(2)/25))/(LN(2)/25)*Calculateur!V203*Calculateur!X203*VLOOKUP('Données projet'!$B$9,Paramètres!$A$1:$I$89,3,0)*0.475*44/12</f>
        <v>8.7298622115177263E-2</v>
      </c>
      <c r="AB203" s="21">
        <f>EXP(-LN(2)/2)*AB202+(1-EXP(-LN(2)/2))/(LN(2)/2)*V203*Y203*VLOOKUP('Données projet'!$B$9,Paramètres!$A$1:$I$89,3,0)*0.475*44/12</f>
        <v>1.4807885191587541E-26</v>
      </c>
      <c r="AC203" s="22">
        <f t="shared" si="163"/>
        <v>1.7894149332174258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101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101</v>
      </c>
      <c r="BA204" s="81" t="s">
        <v>101</v>
      </c>
      <c r="BV204" s="81" t="s">
        <v>101</v>
      </c>
      <c r="CQ204" s="81" t="s">
        <v>101</v>
      </c>
      <c r="DL204" s="81" t="s">
        <v>101</v>
      </c>
      <c r="EG204" s="81" t="s">
        <v>101</v>
      </c>
      <c r="FB204" s="81" t="s">
        <v>101</v>
      </c>
      <c r="FW204" s="81" t="s">
        <v>101</v>
      </c>
      <c r="GR204" s="81" t="s">
        <v>101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0.42937043954955023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102</v>
      </c>
      <c r="B1" s="112" t="s">
        <v>103</v>
      </c>
      <c r="C1" s="113" t="s">
        <v>104</v>
      </c>
      <c r="D1" s="112" t="s">
        <v>105</v>
      </c>
      <c r="E1" s="113" t="s">
        <v>106</v>
      </c>
      <c r="F1" s="113" t="s">
        <v>105</v>
      </c>
      <c r="G1" s="113" t="s">
        <v>107</v>
      </c>
      <c r="H1" s="113" t="s">
        <v>105</v>
      </c>
      <c r="I1" s="114" t="s">
        <v>108</v>
      </c>
      <c r="J1" s="78"/>
      <c r="K1" s="78"/>
      <c r="L1" s="78"/>
      <c r="M1" s="78"/>
      <c r="N1" s="78"/>
    </row>
    <row r="2" spans="1:16" x14ac:dyDescent="0.35">
      <c r="A2" s="115" t="s">
        <v>109</v>
      </c>
      <c r="B2" s="116" t="s">
        <v>110</v>
      </c>
      <c r="C2" s="117">
        <v>0.62</v>
      </c>
      <c r="D2" s="117" t="s">
        <v>111</v>
      </c>
      <c r="E2" s="117">
        <v>1.56</v>
      </c>
      <c r="F2" s="117" t="s">
        <v>112</v>
      </c>
      <c r="G2" s="118">
        <v>0.43</v>
      </c>
      <c r="H2" s="119" t="s">
        <v>113</v>
      </c>
      <c r="I2" s="120">
        <v>0.25</v>
      </c>
      <c r="J2" s="78"/>
      <c r="K2" s="78"/>
      <c r="L2" s="78"/>
      <c r="M2" s="78"/>
      <c r="N2" s="78"/>
      <c r="O2" s="289" t="s">
        <v>114</v>
      </c>
      <c r="P2" s="121">
        <v>0</v>
      </c>
    </row>
    <row r="3" spans="1:16" ht="15" thickBot="1" x14ac:dyDescent="0.4">
      <c r="A3" s="122" t="s">
        <v>115</v>
      </c>
      <c r="B3" s="123" t="s">
        <v>116</v>
      </c>
      <c r="C3" s="124">
        <v>0.64</v>
      </c>
      <c r="D3" s="124" t="s">
        <v>111</v>
      </c>
      <c r="E3" s="124">
        <v>1.56</v>
      </c>
      <c r="F3" s="125" t="s">
        <v>112</v>
      </c>
      <c r="G3" s="126">
        <v>0.43</v>
      </c>
      <c r="H3" s="124" t="s">
        <v>113</v>
      </c>
      <c r="I3" s="127">
        <v>0.25</v>
      </c>
      <c r="J3" s="78"/>
      <c r="K3" s="78"/>
      <c r="L3" s="78"/>
      <c r="M3" s="78"/>
      <c r="N3" s="78"/>
      <c r="O3" s="290"/>
      <c r="P3" s="128">
        <v>0.2</v>
      </c>
    </row>
    <row r="4" spans="1:16" ht="15" thickBot="1" x14ac:dyDescent="0.4">
      <c r="A4" s="122" t="s">
        <v>117</v>
      </c>
      <c r="B4" s="123" t="s">
        <v>118</v>
      </c>
      <c r="C4" s="124">
        <v>0.42</v>
      </c>
      <c r="D4" s="124" t="s">
        <v>111</v>
      </c>
      <c r="E4" s="124">
        <v>1.56</v>
      </c>
      <c r="F4" s="125" t="s">
        <v>112</v>
      </c>
      <c r="G4" s="126">
        <v>0.43</v>
      </c>
      <c r="H4" s="124" t="s">
        <v>113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119</v>
      </c>
      <c r="B5" s="123" t="s">
        <v>120</v>
      </c>
      <c r="C5" s="124">
        <v>0.42</v>
      </c>
      <c r="D5" s="124" t="s">
        <v>111</v>
      </c>
      <c r="E5" s="124">
        <v>1.56</v>
      </c>
      <c r="F5" s="125" t="s">
        <v>112</v>
      </c>
      <c r="G5" s="126">
        <v>0.43</v>
      </c>
      <c r="H5" s="124" t="s">
        <v>113</v>
      </c>
      <c r="I5" s="127">
        <v>0.25</v>
      </c>
      <c r="J5" s="78"/>
      <c r="K5" s="78"/>
      <c r="L5" s="78"/>
      <c r="M5" s="78"/>
      <c r="N5" s="78"/>
      <c r="O5" s="289" t="s">
        <v>121</v>
      </c>
      <c r="P5" s="121">
        <v>0</v>
      </c>
    </row>
    <row r="6" spans="1:16" x14ac:dyDescent="0.35">
      <c r="A6" s="122" t="s">
        <v>122</v>
      </c>
      <c r="B6" s="123" t="s">
        <v>123</v>
      </c>
      <c r="C6" s="124">
        <v>0.42</v>
      </c>
      <c r="D6" s="124" t="s">
        <v>111</v>
      </c>
      <c r="E6" s="124">
        <v>1.56</v>
      </c>
      <c r="F6" s="125" t="s">
        <v>112</v>
      </c>
      <c r="G6" s="126">
        <v>0.43</v>
      </c>
      <c r="H6" s="124" t="s">
        <v>113</v>
      </c>
      <c r="I6" s="127">
        <v>0.25</v>
      </c>
      <c r="J6" s="78"/>
      <c r="K6" s="78"/>
      <c r="L6" s="78"/>
      <c r="M6" s="78"/>
      <c r="N6" s="78"/>
      <c r="O6" s="291"/>
      <c r="P6" s="129">
        <v>0.05</v>
      </c>
    </row>
    <row r="7" spans="1:16" x14ac:dyDescent="0.35">
      <c r="A7" s="122" t="s">
        <v>124</v>
      </c>
      <c r="B7" s="123" t="s">
        <v>125</v>
      </c>
      <c r="C7" s="124">
        <v>0.52</v>
      </c>
      <c r="D7" s="124" t="s">
        <v>111</v>
      </c>
      <c r="E7" s="124">
        <v>1.56</v>
      </c>
      <c r="F7" s="125" t="s">
        <v>112</v>
      </c>
      <c r="G7" s="126">
        <v>0.43</v>
      </c>
      <c r="H7" s="124" t="s">
        <v>113</v>
      </c>
      <c r="I7" s="127">
        <v>0.25</v>
      </c>
      <c r="J7" s="78"/>
      <c r="K7" s="78"/>
      <c r="L7" s="78"/>
      <c r="M7" s="78"/>
      <c r="N7" s="78"/>
      <c r="O7" s="291"/>
      <c r="P7" s="129">
        <v>0.1</v>
      </c>
    </row>
    <row r="8" spans="1:16" ht="15" thickBot="1" x14ac:dyDescent="0.4">
      <c r="A8" s="122" t="s">
        <v>126</v>
      </c>
      <c r="B8" s="123" t="s">
        <v>127</v>
      </c>
      <c r="C8" s="124">
        <v>0.36</v>
      </c>
      <c r="D8" s="124" t="s">
        <v>111</v>
      </c>
      <c r="E8" s="124">
        <v>1.3</v>
      </c>
      <c r="F8" s="125" t="s">
        <v>112</v>
      </c>
      <c r="G8" s="126">
        <v>0.55000000000000004</v>
      </c>
      <c r="H8" s="124" t="s">
        <v>128</v>
      </c>
      <c r="I8" s="127">
        <v>0.43</v>
      </c>
      <c r="J8" s="78"/>
      <c r="K8" s="78"/>
      <c r="L8" s="78"/>
      <c r="M8" s="78"/>
      <c r="N8" s="78"/>
      <c r="O8" s="290"/>
      <c r="P8" s="128">
        <v>0.15</v>
      </c>
    </row>
    <row r="9" spans="1:16" ht="15" thickBot="1" x14ac:dyDescent="0.4">
      <c r="A9" s="122" t="s">
        <v>129</v>
      </c>
      <c r="B9" s="123" t="s">
        <v>130</v>
      </c>
      <c r="C9" s="124">
        <v>0.61</v>
      </c>
      <c r="D9" s="124" t="s">
        <v>111</v>
      </c>
      <c r="E9" s="124">
        <v>1.56</v>
      </c>
      <c r="F9" s="125" t="s">
        <v>112</v>
      </c>
      <c r="G9" s="126">
        <v>0.43</v>
      </c>
      <c r="H9" s="124" t="s">
        <v>113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131</v>
      </c>
      <c r="B10" s="123" t="s">
        <v>132</v>
      </c>
      <c r="C10" s="124">
        <v>0.66</v>
      </c>
      <c r="D10" s="124" t="s">
        <v>111</v>
      </c>
      <c r="E10" s="124">
        <v>1.56</v>
      </c>
      <c r="F10" s="125" t="s">
        <v>112</v>
      </c>
      <c r="G10" s="126">
        <v>0.43</v>
      </c>
      <c r="H10" s="124" t="s">
        <v>113</v>
      </c>
      <c r="I10" s="127">
        <v>0.25</v>
      </c>
      <c r="J10" s="78"/>
      <c r="K10" s="78"/>
      <c r="L10" s="78"/>
      <c r="M10" s="78"/>
      <c r="N10" s="78"/>
      <c r="O10" s="289" t="s">
        <v>133</v>
      </c>
      <c r="P10" s="121">
        <v>0</v>
      </c>
    </row>
    <row r="11" spans="1:16" ht="15" thickBot="1" x14ac:dyDescent="0.4">
      <c r="A11" s="122" t="s">
        <v>134</v>
      </c>
      <c r="B11" s="123" t="s">
        <v>135</v>
      </c>
      <c r="C11" s="124">
        <v>0.47</v>
      </c>
      <c r="D11" s="124" t="s">
        <v>111</v>
      </c>
      <c r="E11" s="124">
        <v>1.56</v>
      </c>
      <c r="F11" s="125" t="s">
        <v>112</v>
      </c>
      <c r="G11" s="126">
        <v>0.43</v>
      </c>
      <c r="H11" s="124" t="s">
        <v>113</v>
      </c>
      <c r="I11" s="127">
        <v>0.25</v>
      </c>
      <c r="J11" s="78"/>
      <c r="K11" s="78"/>
      <c r="L11" s="78"/>
      <c r="M11" s="78"/>
      <c r="N11" s="78"/>
      <c r="O11" s="290"/>
      <c r="P11" s="128">
        <v>0.1</v>
      </c>
    </row>
    <row r="12" spans="1:16" x14ac:dyDescent="0.35">
      <c r="A12" s="122" t="s">
        <v>136</v>
      </c>
      <c r="B12" s="123" t="s">
        <v>137</v>
      </c>
      <c r="C12" s="124">
        <v>0.67</v>
      </c>
      <c r="D12" s="124" t="s">
        <v>111</v>
      </c>
      <c r="E12" s="124">
        <v>1.56</v>
      </c>
      <c r="F12" s="125" t="s">
        <v>112</v>
      </c>
      <c r="G12" s="126">
        <v>0.43</v>
      </c>
      <c r="H12" s="124" t="s">
        <v>138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139</v>
      </c>
      <c r="B13" s="123" t="s">
        <v>140</v>
      </c>
      <c r="C13" s="124">
        <v>0.7</v>
      </c>
      <c r="D13" s="124" t="s">
        <v>111</v>
      </c>
      <c r="E13" s="124">
        <v>1.56</v>
      </c>
      <c r="F13" s="125" t="s">
        <v>112</v>
      </c>
      <c r="G13" s="126">
        <v>0.43</v>
      </c>
      <c r="H13" s="124" t="s">
        <v>138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141</v>
      </c>
      <c r="B14" s="123" t="s">
        <v>142</v>
      </c>
      <c r="C14" s="124">
        <v>0.54</v>
      </c>
      <c r="D14" s="124" t="s">
        <v>111</v>
      </c>
      <c r="E14" s="124">
        <v>1.56</v>
      </c>
      <c r="F14" s="125" t="s">
        <v>112</v>
      </c>
      <c r="G14" s="126">
        <v>0.43</v>
      </c>
      <c r="H14" s="124" t="s">
        <v>138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21</v>
      </c>
      <c r="B15" s="123" t="s">
        <v>143</v>
      </c>
      <c r="C15" s="124">
        <v>0.65</v>
      </c>
      <c r="D15" s="124" t="s">
        <v>111</v>
      </c>
      <c r="E15" s="124">
        <v>1.56</v>
      </c>
      <c r="F15" s="125" t="s">
        <v>112</v>
      </c>
      <c r="G15" s="126">
        <v>0.43</v>
      </c>
      <c r="H15" s="124" t="s">
        <v>138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144</v>
      </c>
      <c r="B16" s="123" t="s">
        <v>145</v>
      </c>
      <c r="C16" s="124">
        <v>0.56000000000000005</v>
      </c>
      <c r="D16" s="124" t="s">
        <v>111</v>
      </c>
      <c r="E16" s="124">
        <v>1.56</v>
      </c>
      <c r="F16" s="125" t="s">
        <v>112</v>
      </c>
      <c r="G16" s="126">
        <v>0.43</v>
      </c>
      <c r="H16" s="124" t="s">
        <v>138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146</v>
      </c>
      <c r="B17" s="123" t="s">
        <v>147</v>
      </c>
      <c r="C17" s="124">
        <v>0.57999999999999996</v>
      </c>
      <c r="D17" s="124" t="s">
        <v>111</v>
      </c>
      <c r="E17" s="124">
        <v>1.56</v>
      </c>
      <c r="F17" s="125" t="s">
        <v>112</v>
      </c>
      <c r="G17" s="126">
        <v>0.43</v>
      </c>
      <c r="H17" s="124" t="s">
        <v>138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148</v>
      </c>
      <c r="B18" s="123" t="s">
        <v>149</v>
      </c>
      <c r="C18" s="124">
        <v>0.64</v>
      </c>
      <c r="D18" s="124" t="s">
        <v>111</v>
      </c>
      <c r="E18" s="124">
        <v>1.56</v>
      </c>
      <c r="F18" s="125" t="s">
        <v>112</v>
      </c>
      <c r="G18" s="126">
        <v>0.43</v>
      </c>
      <c r="H18" s="124" t="s">
        <v>138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150</v>
      </c>
      <c r="B19" s="123" t="s">
        <v>151</v>
      </c>
      <c r="C19" s="124">
        <v>0.73</v>
      </c>
      <c r="D19" s="124" t="s">
        <v>111</v>
      </c>
      <c r="E19" s="124">
        <v>1.56</v>
      </c>
      <c r="F19" s="125" t="s">
        <v>112</v>
      </c>
      <c r="G19" s="126">
        <v>0.43</v>
      </c>
      <c r="H19" s="124" t="s">
        <v>138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152</v>
      </c>
      <c r="B20" s="123" t="s">
        <v>153</v>
      </c>
      <c r="C20" s="124">
        <v>0.69</v>
      </c>
      <c r="D20" s="124" t="s">
        <v>154</v>
      </c>
      <c r="E20" s="124">
        <v>1.56</v>
      </c>
      <c r="F20" s="125" t="s">
        <v>112</v>
      </c>
      <c r="G20" s="126">
        <v>0.43</v>
      </c>
      <c r="H20" s="124" t="s">
        <v>155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156</v>
      </c>
      <c r="B21" s="123" t="s">
        <v>157</v>
      </c>
      <c r="C21" s="124">
        <v>0.36</v>
      </c>
      <c r="D21" s="124" t="s">
        <v>111</v>
      </c>
      <c r="E21" s="124">
        <v>1.3</v>
      </c>
      <c r="F21" s="125" t="s">
        <v>112</v>
      </c>
      <c r="G21" s="126">
        <v>0.55000000000000004</v>
      </c>
      <c r="H21" s="124" t="s">
        <v>128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158</v>
      </c>
      <c r="B22" s="123" t="s">
        <v>159</v>
      </c>
      <c r="C22" s="124">
        <v>0.4</v>
      </c>
      <c r="D22" s="124" t="s">
        <v>111</v>
      </c>
      <c r="E22" s="124">
        <v>1.3</v>
      </c>
      <c r="F22" s="125" t="s">
        <v>112</v>
      </c>
      <c r="G22" s="126">
        <v>0.55000000000000004</v>
      </c>
      <c r="H22" s="124" t="s">
        <v>128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16</v>
      </c>
      <c r="B23" s="123" t="s">
        <v>160</v>
      </c>
      <c r="C23" s="124">
        <v>0.43</v>
      </c>
      <c r="D23" s="124" t="s">
        <v>111</v>
      </c>
      <c r="E23" s="124">
        <v>1.3</v>
      </c>
      <c r="F23" s="125" t="s">
        <v>112</v>
      </c>
      <c r="G23" s="126">
        <v>0.55000000000000004</v>
      </c>
      <c r="H23" s="124" t="s">
        <v>128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161</v>
      </c>
      <c r="B24" s="123" t="s">
        <v>162</v>
      </c>
      <c r="C24" s="124">
        <v>0.37</v>
      </c>
      <c r="D24" s="124" t="s">
        <v>111</v>
      </c>
      <c r="E24" s="124">
        <v>1.3</v>
      </c>
      <c r="F24" s="125" t="s">
        <v>112</v>
      </c>
      <c r="G24" s="126">
        <v>0.55000000000000004</v>
      </c>
      <c r="H24" s="124" t="s">
        <v>138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71</v>
      </c>
      <c r="B25" s="123" t="s">
        <v>163</v>
      </c>
      <c r="C25" s="124">
        <v>0.36</v>
      </c>
      <c r="D25" s="124" t="s">
        <v>111</v>
      </c>
      <c r="E25" s="124">
        <v>1.3</v>
      </c>
      <c r="F25" s="125" t="s">
        <v>112</v>
      </c>
      <c r="G25" s="126">
        <v>0.55000000000000004</v>
      </c>
      <c r="H25" s="124" t="s">
        <v>138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164</v>
      </c>
      <c r="B26" s="123" t="s">
        <v>165</v>
      </c>
      <c r="C26" s="124">
        <v>0.56000000000000005</v>
      </c>
      <c r="D26" s="124" t="s">
        <v>111</v>
      </c>
      <c r="E26" s="124">
        <v>1.56</v>
      </c>
      <c r="F26" s="125" t="s">
        <v>112</v>
      </c>
      <c r="G26" s="126">
        <v>0.53</v>
      </c>
      <c r="H26" s="124" t="s">
        <v>166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167</v>
      </c>
      <c r="B27" s="123" t="s">
        <v>168</v>
      </c>
      <c r="C27" s="124">
        <v>0.51</v>
      </c>
      <c r="D27" s="124" t="s">
        <v>111</v>
      </c>
      <c r="E27" s="124">
        <v>1.56</v>
      </c>
      <c r="F27" s="125" t="s">
        <v>112</v>
      </c>
      <c r="G27" s="126">
        <v>0.53</v>
      </c>
      <c r="H27" s="124" t="s">
        <v>166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169</v>
      </c>
      <c r="B28" s="123" t="s">
        <v>170</v>
      </c>
      <c r="C28" s="124">
        <v>0.51</v>
      </c>
      <c r="D28" s="124" t="s">
        <v>111</v>
      </c>
      <c r="E28" s="124">
        <v>1.56</v>
      </c>
      <c r="F28" s="125" t="s">
        <v>112</v>
      </c>
      <c r="G28" s="126">
        <v>0.53</v>
      </c>
      <c r="H28" s="124" t="s">
        <v>166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171</v>
      </c>
      <c r="B29" s="123" t="s">
        <v>171</v>
      </c>
      <c r="C29" s="124">
        <v>0.56000000000000005</v>
      </c>
      <c r="D29" s="124" t="s">
        <v>111</v>
      </c>
      <c r="E29" s="124">
        <v>1.56</v>
      </c>
      <c r="F29" s="125" t="s">
        <v>112</v>
      </c>
      <c r="G29" s="126">
        <v>0.53</v>
      </c>
      <c r="H29" s="124" t="s">
        <v>166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172</v>
      </c>
      <c r="B30" s="123" t="s">
        <v>173</v>
      </c>
      <c r="C30" s="124">
        <v>0.55000000000000004</v>
      </c>
      <c r="D30" s="124" t="s">
        <v>111</v>
      </c>
      <c r="E30" s="124">
        <v>1.56</v>
      </c>
      <c r="F30" s="125" t="s">
        <v>112</v>
      </c>
      <c r="G30" s="126">
        <v>0.53</v>
      </c>
      <c r="H30" s="124" t="s">
        <v>138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174</v>
      </c>
      <c r="B31" s="123" t="s">
        <v>175</v>
      </c>
      <c r="C31" s="124">
        <v>0.56000000000000005</v>
      </c>
      <c r="D31" s="124" t="s">
        <v>111</v>
      </c>
      <c r="E31" s="124">
        <v>1.56</v>
      </c>
      <c r="F31" s="125" t="s">
        <v>112</v>
      </c>
      <c r="G31" s="126">
        <v>0.43</v>
      </c>
      <c r="H31" s="124" t="s">
        <v>113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19</v>
      </c>
      <c r="B32" s="123" t="s">
        <v>176</v>
      </c>
      <c r="C32" s="124">
        <v>0.48</v>
      </c>
      <c r="D32" s="124" t="s">
        <v>111</v>
      </c>
      <c r="E32" s="124">
        <v>1.3</v>
      </c>
      <c r="F32" s="125" t="s">
        <v>112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111</v>
      </c>
      <c r="E33" s="124">
        <v>1.3</v>
      </c>
      <c r="F33" s="125" t="s">
        <v>112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112</v>
      </c>
      <c r="G34" s="126">
        <v>0.6</v>
      </c>
      <c r="H34" s="123" t="s">
        <v>183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111</v>
      </c>
      <c r="E35" s="124">
        <v>1.56</v>
      </c>
      <c r="F35" s="125" t="s">
        <v>112</v>
      </c>
      <c r="G35" s="126">
        <v>0.43</v>
      </c>
      <c r="H35" s="124" t="s">
        <v>113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111</v>
      </c>
      <c r="E36" s="124">
        <v>1.56</v>
      </c>
      <c r="F36" s="125" t="s">
        <v>112</v>
      </c>
      <c r="G36" s="126">
        <v>0.53</v>
      </c>
      <c r="H36" s="124" t="s">
        <v>166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111</v>
      </c>
      <c r="E37" s="124">
        <v>1.56</v>
      </c>
      <c r="F37" s="125" t="s">
        <v>112</v>
      </c>
      <c r="G37" s="126">
        <v>0.53</v>
      </c>
      <c r="H37" s="124" t="s">
        <v>166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111</v>
      </c>
      <c r="E38" s="124">
        <v>1.56</v>
      </c>
      <c r="F38" s="125" t="s">
        <v>112</v>
      </c>
      <c r="G38" s="126">
        <v>0.43</v>
      </c>
      <c r="H38" s="124" t="s">
        <v>113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112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112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112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112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112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112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112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112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112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112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112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112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112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112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112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112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112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112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112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112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112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112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112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111</v>
      </c>
      <c r="E62" s="124">
        <v>1.56</v>
      </c>
      <c r="F62" s="125" t="s">
        <v>112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111</v>
      </c>
      <c r="E63" s="124">
        <v>1.3</v>
      </c>
      <c r="F63" s="125" t="s">
        <v>112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111</v>
      </c>
      <c r="E64" s="124">
        <v>1.3</v>
      </c>
      <c r="F64" s="125" t="s">
        <v>112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111</v>
      </c>
      <c r="E65" s="124">
        <v>1.3</v>
      </c>
      <c r="F65" s="125" t="s">
        <v>112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111</v>
      </c>
      <c r="E66" s="124">
        <v>1.3</v>
      </c>
      <c r="F66" s="125" t="s">
        <v>112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229</v>
      </c>
      <c r="B67" s="123" t="s">
        <v>230</v>
      </c>
      <c r="C67" s="124">
        <v>0.46</v>
      </c>
      <c r="D67" s="124" t="s">
        <v>111</v>
      </c>
      <c r="E67" s="124">
        <v>1.3</v>
      </c>
      <c r="F67" s="125" t="s">
        <v>112</v>
      </c>
      <c r="G67" s="126">
        <v>0.45</v>
      </c>
      <c r="H67" s="124" t="s">
        <v>138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231</v>
      </c>
      <c r="B68" s="123" t="s">
        <v>232</v>
      </c>
      <c r="C68" s="124">
        <v>0.44</v>
      </c>
      <c r="D68" s="124" t="s">
        <v>111</v>
      </c>
      <c r="E68" s="124">
        <v>1.3</v>
      </c>
      <c r="F68" s="125" t="s">
        <v>112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233</v>
      </c>
      <c r="B69" s="123" t="s">
        <v>234</v>
      </c>
      <c r="C69" s="124">
        <v>0.46</v>
      </c>
      <c r="D69" s="124" t="s">
        <v>111</v>
      </c>
      <c r="E69" s="124">
        <v>1.3</v>
      </c>
      <c r="F69" s="125" t="s">
        <v>112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235</v>
      </c>
      <c r="B70" s="123" t="s">
        <v>236</v>
      </c>
      <c r="C70" s="124">
        <v>0.48</v>
      </c>
      <c r="D70" s="124" t="s">
        <v>111</v>
      </c>
      <c r="E70" s="124">
        <v>2.4</v>
      </c>
      <c r="F70" s="124" t="s">
        <v>237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238</v>
      </c>
      <c r="B71" s="123" t="s">
        <v>239</v>
      </c>
      <c r="C71" s="124">
        <v>0.46</v>
      </c>
      <c r="D71" s="124" t="s">
        <v>240</v>
      </c>
      <c r="E71" s="124">
        <v>1.3</v>
      </c>
      <c r="F71" s="125" t="s">
        <v>112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241</v>
      </c>
      <c r="B72" s="123" t="s">
        <v>242</v>
      </c>
      <c r="C72" s="124">
        <v>0.44</v>
      </c>
      <c r="D72" s="124" t="s">
        <v>111</v>
      </c>
      <c r="E72" s="124">
        <v>1.3</v>
      </c>
      <c r="F72" s="125" t="s">
        <v>112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243</v>
      </c>
      <c r="B73" s="123" t="s">
        <v>244</v>
      </c>
      <c r="C73" s="124">
        <v>0.46</v>
      </c>
      <c r="D73" s="124" t="s">
        <v>245</v>
      </c>
      <c r="E73" s="124">
        <v>1.3</v>
      </c>
      <c r="F73" s="125" t="s">
        <v>112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246</v>
      </c>
      <c r="B74" s="123" t="s">
        <v>247</v>
      </c>
      <c r="C74" s="124">
        <v>0.34</v>
      </c>
      <c r="D74" s="124" t="s">
        <v>111</v>
      </c>
      <c r="E74" s="124">
        <v>1.3</v>
      </c>
      <c r="F74" s="125" t="s">
        <v>112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248</v>
      </c>
      <c r="B75" s="123" t="s">
        <v>249</v>
      </c>
      <c r="C75" s="124">
        <v>0.5</v>
      </c>
      <c r="D75" s="124" t="s">
        <v>111</v>
      </c>
      <c r="E75" s="124">
        <v>1.56</v>
      </c>
      <c r="F75" s="125" t="s">
        <v>112</v>
      </c>
      <c r="G75" s="126">
        <v>0.53</v>
      </c>
      <c r="H75" s="124" t="s">
        <v>166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250</v>
      </c>
      <c r="B76" s="123" t="s">
        <v>251</v>
      </c>
      <c r="C76" s="124">
        <v>0.57999999999999996</v>
      </c>
      <c r="D76" s="124" t="s">
        <v>111</v>
      </c>
      <c r="E76" s="124">
        <v>1.56</v>
      </c>
      <c r="F76" s="125" t="s">
        <v>112</v>
      </c>
      <c r="G76" s="126">
        <v>0.3</v>
      </c>
      <c r="H76" s="124" t="s">
        <v>252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253</v>
      </c>
      <c r="B77" s="123" t="s">
        <v>254</v>
      </c>
      <c r="C77" s="124">
        <v>0.37</v>
      </c>
      <c r="D77" s="124" t="s">
        <v>111</v>
      </c>
      <c r="E77" s="124">
        <v>1.3</v>
      </c>
      <c r="F77" s="125" t="s">
        <v>112</v>
      </c>
      <c r="G77" s="126">
        <v>0.55000000000000004</v>
      </c>
      <c r="H77" s="124" t="s">
        <v>138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255</v>
      </c>
      <c r="B78" s="123" t="s">
        <v>256</v>
      </c>
      <c r="C78" s="124">
        <v>0.37</v>
      </c>
      <c r="D78" s="124" t="s">
        <v>111</v>
      </c>
      <c r="E78" s="124">
        <v>1.3</v>
      </c>
      <c r="F78" s="125" t="s">
        <v>112</v>
      </c>
      <c r="G78" s="126">
        <v>0.55000000000000004</v>
      </c>
      <c r="H78" s="124" t="s">
        <v>138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257</v>
      </c>
      <c r="B79" s="123" t="s">
        <v>258</v>
      </c>
      <c r="C79" s="124">
        <v>0.38</v>
      </c>
      <c r="D79" s="124" t="s">
        <v>111</v>
      </c>
      <c r="E79" s="124">
        <v>1.3</v>
      </c>
      <c r="F79" s="125" t="s">
        <v>112</v>
      </c>
      <c r="G79" s="126">
        <v>0.55000000000000004</v>
      </c>
      <c r="H79" s="124" t="s">
        <v>128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259</v>
      </c>
      <c r="B80" s="123" t="s">
        <v>260</v>
      </c>
      <c r="C80" s="124">
        <v>0.36</v>
      </c>
      <c r="D80" s="124" t="s">
        <v>111</v>
      </c>
      <c r="E80" s="124">
        <v>1.3</v>
      </c>
      <c r="F80" s="125" t="s">
        <v>112</v>
      </c>
      <c r="G80" s="126">
        <v>0.55000000000000004</v>
      </c>
      <c r="H80" s="124" t="s">
        <v>128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261</v>
      </c>
      <c r="B81" s="123" t="s">
        <v>262</v>
      </c>
      <c r="C81" s="124">
        <v>0.37</v>
      </c>
      <c r="D81" s="124" t="s">
        <v>111</v>
      </c>
      <c r="E81" s="124">
        <v>1.56</v>
      </c>
      <c r="F81" s="125" t="s">
        <v>112</v>
      </c>
      <c r="G81" s="126">
        <v>0.43</v>
      </c>
      <c r="H81" s="124" t="s">
        <v>113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263</v>
      </c>
      <c r="B82" s="123" t="s">
        <v>264</v>
      </c>
      <c r="C82" s="124">
        <v>0.35</v>
      </c>
      <c r="D82" s="124" t="s">
        <v>265</v>
      </c>
      <c r="E82" s="124">
        <v>1.3</v>
      </c>
      <c r="F82" s="125" t="s">
        <v>112</v>
      </c>
      <c r="G82" s="126">
        <v>0.55000000000000004</v>
      </c>
      <c r="H82" s="124" t="s">
        <v>128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266</v>
      </c>
      <c r="B83" s="123" t="s">
        <v>267</v>
      </c>
      <c r="C83" s="124">
        <v>0.34</v>
      </c>
      <c r="D83" s="124" t="s">
        <v>111</v>
      </c>
      <c r="E83" s="124">
        <v>1.3</v>
      </c>
      <c r="F83" s="125" t="s">
        <v>112</v>
      </c>
      <c r="G83" s="126">
        <v>0.55000000000000004</v>
      </c>
      <c r="H83" s="124" t="s">
        <v>128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268</v>
      </c>
      <c r="B84" s="123" t="s">
        <v>269</v>
      </c>
      <c r="C84" s="124">
        <v>0.31</v>
      </c>
      <c r="D84" s="124" t="s">
        <v>111</v>
      </c>
      <c r="E84" s="124">
        <v>1.3</v>
      </c>
      <c r="F84" s="125" t="s">
        <v>112</v>
      </c>
      <c r="G84" s="126">
        <v>0.55000000000000004</v>
      </c>
      <c r="H84" s="124" t="s">
        <v>128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270</v>
      </c>
      <c r="B85" s="123" t="s">
        <v>271</v>
      </c>
      <c r="C85" s="124">
        <v>0.43</v>
      </c>
      <c r="D85" s="124" t="s">
        <v>111</v>
      </c>
      <c r="E85" s="124">
        <v>1.56</v>
      </c>
      <c r="F85" s="125" t="s">
        <v>112</v>
      </c>
      <c r="G85" s="126">
        <v>0.53</v>
      </c>
      <c r="H85" s="124" t="s">
        <v>166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272</v>
      </c>
      <c r="B86" s="123" t="s">
        <v>273</v>
      </c>
      <c r="C86" s="124">
        <v>0.38</v>
      </c>
      <c r="D86" s="124" t="s">
        <v>111</v>
      </c>
      <c r="E86" s="124">
        <v>1.56</v>
      </c>
      <c r="F86" s="125" t="s">
        <v>112</v>
      </c>
      <c r="G86" s="126">
        <v>0.6</v>
      </c>
      <c r="H86" s="124" t="s">
        <v>274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275</v>
      </c>
      <c r="B87" s="252" t="s">
        <v>276</v>
      </c>
      <c r="C87" s="253">
        <v>0.41</v>
      </c>
      <c r="D87" s="253" t="s">
        <v>277</v>
      </c>
      <c r="E87" s="253">
        <v>1.56</v>
      </c>
      <c r="F87" s="254" t="s">
        <v>112</v>
      </c>
      <c r="G87" s="255">
        <v>0.43</v>
      </c>
      <c r="H87" s="253" t="s">
        <v>113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278</v>
      </c>
      <c r="B88" s="130"/>
      <c r="C88" s="124">
        <v>0.42</v>
      </c>
      <c r="D88" s="124" t="s">
        <v>111</v>
      </c>
      <c r="E88" s="124">
        <v>1.3</v>
      </c>
      <c r="F88" s="125" t="s">
        <v>112</v>
      </c>
      <c r="G88" s="131"/>
      <c r="H88" s="130"/>
      <c r="I88" s="132"/>
    </row>
    <row r="89" spans="1:14" ht="15" thickBot="1" x14ac:dyDescent="0.4">
      <c r="A89" s="133" t="s">
        <v>279</v>
      </c>
      <c r="B89" s="134"/>
      <c r="C89" s="135">
        <v>0.56999999999999995</v>
      </c>
      <c r="D89" s="136" t="s">
        <v>111</v>
      </c>
      <c r="E89" s="135">
        <v>1.56</v>
      </c>
      <c r="F89" s="135" t="s">
        <v>112</v>
      </c>
      <c r="G89" s="134"/>
      <c r="H89" s="134"/>
      <c r="I89" s="137"/>
    </row>
    <row r="93" spans="1:14" x14ac:dyDescent="0.35">
      <c r="A93" s="122" t="s">
        <v>72</v>
      </c>
    </row>
    <row r="94" spans="1:14" x14ac:dyDescent="0.35">
      <c r="A94" s="122" t="s">
        <v>73</v>
      </c>
    </row>
    <row r="95" spans="1:14" x14ac:dyDescent="0.35">
      <c r="A95" s="122" t="s">
        <v>74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E5" zoomScale="90" zoomScaleNormal="90" workbookViewId="0">
      <selection activeCell="M23" sqref="M23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0" t="s">
        <v>280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2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281</v>
      </c>
      <c r="B5" s="139" t="s">
        <v>282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283</v>
      </c>
      <c r="F5" s="140" t="s">
        <v>284</v>
      </c>
      <c r="G5" s="140" t="s">
        <v>285</v>
      </c>
      <c r="H5" s="141" t="s">
        <v>286</v>
      </c>
      <c r="I5" s="142" t="s">
        <v>287</v>
      </c>
      <c r="J5" s="143" t="s">
        <v>288</v>
      </c>
      <c r="K5" s="144" t="s">
        <v>289</v>
      </c>
      <c r="L5" s="84" t="s">
        <v>290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Peuplier Koster</v>
      </c>
      <c r="B6" s="146">
        <f>'Données projet'!D9</f>
        <v>12.85</v>
      </c>
      <c r="C6" s="147">
        <f ca="1">IF(OR('Données projet'!B9="",'Données projet'!C9="",'Données projet'!C9=0%),0,Calculateur!S3)</f>
        <v>116.87253889414677</v>
      </c>
      <c r="D6" s="147">
        <f>IF(OR('Données projet'!B9="",'Données projet'!C9="",'Données projet'!C9=0%),0,Calculateur!T3)</f>
        <v>309.04878184451508</v>
      </c>
      <c r="E6" s="147">
        <f ca="1">MIN(C6,D6)</f>
        <v>116.87253889414677</v>
      </c>
      <c r="F6" s="147">
        <f ca="1">E6*B6</f>
        <v>1501.8121247897859</v>
      </c>
      <c r="G6" s="147">
        <f ca="1">F6*(100%-'Données projet'!$C$24)*(100%-'Données projet'!$C$25)*(100%-'Données projet'!$C$26)*(100%-'Données projet'!$C$27)</f>
        <v>1216.4678210797267</v>
      </c>
      <c r="H6" s="148">
        <f>IF(OR('Données projet'!B9="",'Données projet'!C9="",'Données projet'!C9=0%),0,AVERAGE(Calculateur!$AC$3:$AC$33)*B6)</f>
        <v>325.35947480532536</v>
      </c>
      <c r="I6" s="149">
        <f>H6*(100%-'Données projet'!$C$24)*(100%-'Données projet'!$C$25)*(100%-'Données projet'!$C$26)*(100%-'Données projet'!$C$27)</f>
        <v>263.54117459231355</v>
      </c>
      <c r="J6" s="150">
        <f>IF(OR('Données projet'!B9="",'Données projet'!C9="",'Données projet'!C9=0%),0,SUM(Calculateur!$V$3:$V$33)*VLOOKUP('Données projet'!$B$9,Paramètres!$A$1:$I$89,9,0)*B6)</f>
        <v>3370.8951955128196</v>
      </c>
      <c r="K6" s="151">
        <f>J6*(100%-'Données projet'!$C$24)*(100%-'Données projet'!$C$25)*(100%-'Données projet'!$C$26)*(100%-'Données projet'!$C$27)</f>
        <v>2730.4251083653839</v>
      </c>
      <c r="L6" s="152">
        <f ca="1">G6+I6+K6</f>
        <v>4210.4341040374238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1501.8121247897859</v>
      </c>
      <c r="G16" s="166">
        <f t="shared" ca="1" si="3"/>
        <v>1216.4678210797267</v>
      </c>
      <c r="H16" s="167">
        <f t="shared" si="3"/>
        <v>325.35947480532536</v>
      </c>
      <c r="I16" s="167">
        <f t="shared" si="3"/>
        <v>263.54117459231355</v>
      </c>
      <c r="J16" s="168">
        <f t="shared" si="3"/>
        <v>3370.8951955128196</v>
      </c>
      <c r="K16" s="168">
        <f t="shared" si="3"/>
        <v>2730.4251083653839</v>
      </c>
      <c r="L16" s="169">
        <f t="shared" ca="1" si="3"/>
        <v>4210.4341040374238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92" t="s">
        <v>291</v>
      </c>
      <c r="G17" s="293"/>
      <c r="H17" s="293"/>
      <c r="I17" s="293"/>
      <c r="J17" s="293"/>
      <c r="K17" s="293"/>
      <c r="L17" s="293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9"/>
      <c r="G18" s="279"/>
      <c r="H18" s="279"/>
      <c r="I18" s="279"/>
      <c r="J18" s="279"/>
      <c r="K18" s="279"/>
      <c r="L18" s="279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6" zoomScaleNormal="80" workbookViewId="0">
      <selection activeCell="O19" sqref="O19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0" t="s">
        <v>292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2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6" t="s">
        <v>293</v>
      </c>
      <c r="I4" s="266"/>
      <c r="K4" s="308" t="s">
        <v>294</v>
      </c>
      <c r="L4" s="309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57</v>
      </c>
      <c r="O7" s="247"/>
      <c r="P7" s="248"/>
      <c r="Q7" s="249"/>
      <c r="R7" s="300" t="s">
        <v>295</v>
      </c>
      <c r="S7" s="301"/>
      <c r="T7" s="301"/>
      <c r="U7" s="301"/>
      <c r="V7" s="302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296</v>
      </c>
      <c r="C9" s="23"/>
      <c r="D9" s="23"/>
      <c r="E9" s="23"/>
      <c r="F9" s="230"/>
      <c r="G9" s="93" t="s">
        <v>297</v>
      </c>
      <c r="J9" s="200"/>
      <c r="K9" s="208"/>
      <c r="O9" s="23"/>
      <c r="P9" s="23"/>
      <c r="Q9" s="234"/>
      <c r="R9" s="23"/>
      <c r="S9" s="4"/>
      <c r="T9" s="36" t="s">
        <v>298</v>
      </c>
      <c r="U9" s="176" t="s">
        <v>299</v>
      </c>
      <c r="V9" s="36" t="s">
        <v>300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301</v>
      </c>
      <c r="C10" s="23"/>
      <c r="D10" s="23"/>
      <c r="E10" s="23"/>
      <c r="F10" s="230"/>
      <c r="G10" s="93" t="s">
        <v>302</v>
      </c>
      <c r="J10" s="200"/>
      <c r="K10" s="208"/>
      <c r="O10" s="23"/>
      <c r="P10" s="23"/>
      <c r="Q10" s="234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5197.2558697708464</v>
      </c>
      <c r="U10" s="178">
        <f>'Données projet'!D9</f>
        <v>12.85</v>
      </c>
      <c r="V10" s="177">
        <f>U10*T10</f>
        <v>66784.737926555375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303</v>
      </c>
      <c r="B11" s="23"/>
      <c r="C11" s="23"/>
      <c r="D11" s="23"/>
      <c r="E11" s="23"/>
      <c r="F11" s="230"/>
      <c r="G11" s="93" t="s">
        <v>304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305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Peuplier Koster</v>
      </c>
      <c r="C14" s="4"/>
      <c r="D14" s="4"/>
      <c r="E14" s="4"/>
      <c r="F14" s="230"/>
      <c r="G14" s="23"/>
      <c r="H14" s="36" t="s">
        <v>76</v>
      </c>
      <c r="I14" s="36" t="s">
        <v>306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11" t="s">
        <v>307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47</v>
      </c>
      <c r="B16" s="48" t="s">
        <v>308</v>
      </c>
      <c r="C16" s="48" t="s">
        <v>309</v>
      </c>
      <c r="D16" s="36" t="s">
        <v>310</v>
      </c>
      <c r="E16" s="36" t="s">
        <v>311</v>
      </c>
      <c r="F16" s="230"/>
      <c r="G16" s="311"/>
      <c r="H16" s="190"/>
      <c r="I16" s="191"/>
      <c r="J16" s="202"/>
      <c r="K16" s="208"/>
      <c r="L16" s="308" t="s">
        <v>312</v>
      </c>
      <c r="M16" s="309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/>
      <c r="G17" s="311"/>
      <c r="J17" s="202"/>
      <c r="K17" s="208"/>
      <c r="L17" s="268" t="s">
        <v>313</v>
      </c>
      <c r="M17" s="27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G18" s="311"/>
      <c r="J18" s="202"/>
      <c r="K18" s="208"/>
      <c r="L18" s="268" t="s">
        <v>309</v>
      </c>
      <c r="M18" s="270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311"/>
      <c r="H19" s="212" t="s">
        <v>76</v>
      </c>
      <c r="I19" s="212" t="s">
        <v>314</v>
      </c>
      <c r="J19" s="93"/>
      <c r="K19" s="173"/>
      <c r="L19" s="308" t="s">
        <v>315</v>
      </c>
      <c r="M19" s="309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311"/>
      <c r="H20" s="190">
        <v>1</v>
      </c>
      <c r="I20" s="191">
        <v>191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>
        <v>1</v>
      </c>
      <c r="I21" s="191">
        <v>2637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310" t="s">
        <v>316</v>
      </c>
      <c r="M23" s="310"/>
      <c r="N23" s="310"/>
      <c r="O23" s="23"/>
      <c r="P23" s="23"/>
      <c r="Q23" s="234"/>
      <c r="R23" s="23"/>
      <c r="S23" s="36" t="s">
        <v>317</v>
      </c>
      <c r="T23" s="30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32009.809696890305</v>
      </c>
      <c r="U23" s="305"/>
      <c r="V23" s="305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3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318</v>
      </c>
      <c r="T24" s="306">
        <f ca="1">'Scénario référence'!$B$8*$M$30*'Données projet'!$C$5+('Scénario référence'!B9+'Scénario référence'!B10+'Scénario référence'!F8+'Scénario référence'!F9)*$N$19/(1+M4)^N16*'Données projet'!$C$5</f>
        <v>190982.10438865217</v>
      </c>
      <c r="U24" s="306"/>
      <c r="V24" s="30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4</v>
      </c>
      <c r="B25" s="181">
        <f>'Données projet'!D38</f>
        <v>0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319</v>
      </c>
      <c r="M25" s="130"/>
      <c r="N25" s="130"/>
      <c r="O25" s="130"/>
      <c r="P25" s="192">
        <v>1061</v>
      </c>
      <c r="Q25" s="234"/>
      <c r="R25" s="23"/>
      <c r="S25" s="186" t="s">
        <v>320</v>
      </c>
      <c r="T25" s="307">
        <f ca="1">T23-T24</f>
        <v>-158972.29469176187</v>
      </c>
      <c r="U25" s="307"/>
      <c r="V25" s="307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5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4" t="s">
        <v>321</v>
      </c>
      <c r="M26" s="295"/>
      <c r="N26" s="295"/>
      <c r="O26" s="295"/>
      <c r="P26" s="296"/>
      <c r="Q26" s="234"/>
      <c r="R26" s="23"/>
      <c r="S26" s="186" t="s">
        <v>322</v>
      </c>
      <c r="T26" s="304" t="str">
        <f ca="1">IF(T25&lt;0,"Votre projet est additionnel","Votre projet n'est pas additionnel")</f>
        <v>Votre projet est additionnel</v>
      </c>
      <c r="U26" s="304"/>
      <c r="V26" s="30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6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7"/>
      <c r="M27" s="298"/>
      <c r="N27" s="298"/>
      <c r="O27" s="298"/>
      <c r="P27" s="299"/>
      <c r="Q27" s="234"/>
      <c r="R27" s="23"/>
      <c r="S27" s="303" t="s">
        <v>323</v>
      </c>
      <c r="T27" s="303"/>
      <c r="U27" s="303"/>
      <c r="V27" s="303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7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8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9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324</v>
      </c>
      <c r="M30" s="184">
        <f ca="1">SUM(OFFSET($P$33,0,0,MIN('Données projet'!$E$9:$E$18)+1,1))</f>
        <v>14862.420574992386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10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11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76</v>
      </c>
      <c r="P32" s="85" t="s">
        <v>310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12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1061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13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1015.3110047846891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14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971.58947826286044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15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929.75069690225882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16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889.71358555240101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17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851.40056033722578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18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814.73737831313497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19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779.652993601086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20</v>
      </c>
      <c r="B41" s="181">
        <f>'Données projet'!D54</f>
        <v>254.68589743589735</v>
      </c>
      <c r="C41" s="193">
        <v>50</v>
      </c>
      <c r="D41" s="182">
        <f t="shared" si="2"/>
        <v>12734.294871794868</v>
      </c>
      <c r="E41" s="193">
        <v>200</v>
      </c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746.07941971395815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713.95159781240022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683.20727063387596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653.78686185059894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625.63336062258293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598.69221112208879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47</v>
      </c>
      <c r="B47" s="48" t="s">
        <v>308</v>
      </c>
      <c r="C47" s="48" t="s">
        <v>309</v>
      </c>
      <c r="D47" s="36" t="s">
        <v>310</v>
      </c>
      <c r="E47" s="36" t="s">
        <v>311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572.91120681539621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548.24038929702976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524.63195148041143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502.04014495733156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480.42119134672885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459.73319746098457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439.93607412534419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3"/>
        <v>#VALUE!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3"/>
        <v>#VALUE!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3"/>
        <v>#VALUE!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3"/>
        <v>#VALUE!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3"/>
        <v>#VALUE!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3"/>
        <v>#VALUE!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3"/>
        <v>#VALUE!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3"/>
        <v>#VALUE!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3"/>
        <v>#VALUE!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3"/>
        <v>#VALUE!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47</v>
      </c>
      <c r="B78" s="48" t="s">
        <v>308</v>
      </c>
      <c r="C78" s="48" t="s">
        <v>309</v>
      </c>
      <c r="D78" s="36" t="s">
        <v>310</v>
      </c>
      <c r="E78" s="36" t="s">
        <v>311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/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22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47</v>
      </c>
      <c r="B109" s="48" t="s">
        <v>308</v>
      </c>
      <c r="C109" s="48" t="s">
        <v>309</v>
      </c>
      <c r="D109" s="36" t="s">
        <v>310</v>
      </c>
      <c r="E109" s="36" t="s">
        <v>311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23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47</v>
      </c>
      <c r="B140" s="48" t="s">
        <v>308</v>
      </c>
      <c r="C140" s="48" t="s">
        <v>309</v>
      </c>
      <c r="D140" s="36" t="s">
        <v>310</v>
      </c>
      <c r="E140" s="36" t="s">
        <v>311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24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47</v>
      </c>
      <c r="B171" s="48" t="s">
        <v>308</v>
      </c>
      <c r="C171" s="48" t="s">
        <v>309</v>
      </c>
      <c r="D171" s="36" t="s">
        <v>310</v>
      </c>
      <c r="E171" s="36" t="s">
        <v>311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25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47</v>
      </c>
      <c r="B202" s="48" t="s">
        <v>308</v>
      </c>
      <c r="C202" s="48" t="s">
        <v>309</v>
      </c>
      <c r="D202" s="36" t="s">
        <v>310</v>
      </c>
      <c r="E202" s="36" t="s">
        <v>311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26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47</v>
      </c>
      <c r="B233" s="48" t="s">
        <v>308</v>
      </c>
      <c r="C233" s="48" t="s">
        <v>309</v>
      </c>
      <c r="D233" s="36" t="s">
        <v>310</v>
      </c>
      <c r="E233" s="36" t="s">
        <v>311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27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47</v>
      </c>
      <c r="B264" s="48" t="s">
        <v>308</v>
      </c>
      <c r="C264" s="48" t="s">
        <v>309</v>
      </c>
      <c r="D264" s="36" t="s">
        <v>310</v>
      </c>
      <c r="E264" s="36" t="s">
        <v>311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28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47</v>
      </c>
      <c r="B295" s="48" t="s">
        <v>308</v>
      </c>
      <c r="C295" s="48" t="s">
        <v>309</v>
      </c>
      <c r="D295" s="36" t="s">
        <v>310</v>
      </c>
      <c r="E295" s="36" t="s">
        <v>311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694C8A0-A0E5-4C9F-8803-F9F5DB5BDB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360AE-2DF9-4A91-8AD6-7D879C061761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3.xml><?xml version="1.0" encoding="utf-8"?>
<ds:datastoreItem xmlns:ds="http://schemas.openxmlformats.org/officeDocument/2006/customXml" ds:itemID="{9E0386D0-DDDC-40D1-A3B3-A75065CAB1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Lucie CAUCHOIS</cp:lastModifiedBy>
  <cp:revision/>
  <dcterms:created xsi:type="dcterms:W3CDTF">2021-02-01T08:22:39Z</dcterms:created>
  <dcterms:modified xsi:type="dcterms:W3CDTF">2025-03-31T08:30:33Z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0x010100B17917BD1DD3FD43A53AD9CE171726C7</vt:lpwstr>
  </property>
</Properties>
</file>