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NIF/Label Bas Carbone/2- Dossiers en cours/GRAND OUEST (PB)/2BRES-124/Dossier octobre 2024/"/>
    </mc:Choice>
  </mc:AlternateContent>
  <xr:revisionPtr revIDLastSave="85" documentId="8_{6362D009-7DD1-44F6-A087-23A9A5600AA6}" xr6:coauthVersionLast="47" xr6:coauthVersionMax="47" xr10:uidLastSave="{F57811DE-36BE-4400-B823-86988DE5D04D}"/>
  <bookViews>
    <workbookView xWindow="-120" yWindow="-163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4" i="6" l="1"/>
  <c r="E142" i="6"/>
  <c r="E141" i="6"/>
  <c r="E143" i="6" s="1"/>
  <c r="E113" i="6"/>
  <c r="E112" i="6"/>
  <c r="E111" i="6"/>
  <c r="E82" i="6"/>
  <c r="E81" i="6"/>
  <c r="E80" i="6"/>
  <c r="E51" i="6"/>
  <c r="E50" i="6"/>
  <c r="E49" i="6"/>
  <c r="E17" i="6"/>
  <c r="E48" i="6"/>
  <c r="E79" i="6"/>
  <c r="E110" i="6"/>
  <c r="E19" i="6" l="1"/>
  <c r="E18" i="6"/>
  <c r="E20" i="6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I20" i="6" l="1"/>
  <c r="I22" i="6"/>
  <c r="I24" i="6"/>
  <c r="U30" i="6"/>
  <c r="V10" i="6"/>
  <c r="P67" i="6"/>
  <c r="H19" i="2"/>
  <c r="D20" i="2"/>
  <c r="G20" i="2" s="1"/>
  <c r="P40" i="6"/>
  <c r="U31" i="6" l="1"/>
  <c r="U33" i="6" s="1"/>
  <c r="T23" i="6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FR4" i="2"/>
  <c r="BR4" i="2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C122" i="2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HH146" i="2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HH155" i="2"/>
  <c r="AC154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HG156" i="2"/>
  <c r="FS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I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A161" i="2"/>
  <c r="AB161" i="2"/>
  <c r="E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C162" i="2"/>
  <c r="HG162" i="2"/>
  <c r="EB162" i="2"/>
  <c r="HH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R164" i="2" l="1"/>
  <c r="HH164" i="2"/>
  <c r="HG164" i="2"/>
  <c r="FS164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HH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H168" i="2"/>
  <c r="EW168" i="2"/>
  <c r="EC168" i="2"/>
  <c r="HI168" i="2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A172" i="2"/>
  <c r="HI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HH178" i="2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B185" i="2" l="1"/>
  <c r="HH185" i="2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EC187" i="2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AA189" i="2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B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V192" i="2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B195" i="2"/>
  <c r="EA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 l="1"/>
  <c r="EA201" i="2"/>
  <c r="HH201" i="2"/>
  <c r="EB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FS202" i="2"/>
  <c r="EW202" i="2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83" i="2" a="1"/>
  <c r="BC83" i="2" s="1"/>
  <c r="BC38" i="2" a="1"/>
  <c r="BC3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CS116" i="2" l="1" a="1"/>
  <c r="CS116" i="2" s="1"/>
  <c r="FS203" i="2"/>
  <c r="BC18" i="2" a="1"/>
  <c r="BC18" i="2" s="1"/>
  <c r="BC32" i="2" a="1"/>
  <c r="BC32" i="2" s="1"/>
  <c r="BC164" i="2" a="1"/>
  <c r="BC164" i="2" s="1"/>
  <c r="BC7" i="2" a="1"/>
  <c r="BC7" i="2" s="1"/>
  <c r="BC55" i="2" a="1"/>
  <c r="BC55" i="2" s="1"/>
  <c r="BC192" i="2" a="1"/>
  <c r="BC192" i="2" s="1"/>
  <c r="BC130" i="2" a="1"/>
  <c r="BC130" i="2" s="1"/>
  <c r="BC117" i="2" a="1"/>
  <c r="BC117" i="2" s="1"/>
  <c r="BC65" i="2" a="1"/>
  <c r="BC65" i="2" s="1"/>
  <c r="BC151" i="2" a="1"/>
  <c r="BC151" i="2" s="1"/>
  <c r="BC181" i="2" a="1"/>
  <c r="BC181" i="2" s="1"/>
  <c r="BC114" i="2" a="1"/>
  <c r="BC114" i="2" s="1"/>
  <c r="BC143" i="2" a="1"/>
  <c r="BC143" i="2" s="1"/>
  <c r="BC126" i="2" a="1"/>
  <c r="BC126" i="2" s="1"/>
  <c r="BC185" i="2" a="1"/>
  <c r="BC185" i="2" s="1"/>
  <c r="BC31" i="2" a="1"/>
  <c r="BC31" i="2" s="1"/>
  <c r="BC82" i="2" a="1"/>
  <c r="BC82" i="2" s="1"/>
  <c r="BC84" i="2" a="1"/>
  <c r="BC84" i="2" s="1"/>
  <c r="BC68" i="2" a="1"/>
  <c r="BC68" i="2" s="1"/>
  <c r="BC47" i="2" a="1"/>
  <c r="BC47" i="2" s="1"/>
  <c r="AH151" i="2" a="1"/>
  <c r="AH151" i="2" s="1"/>
  <c r="AH62" i="2" a="1"/>
  <c r="AH62" i="2" s="1"/>
  <c r="AH90" i="2" a="1"/>
  <c r="AH90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D168" i="2" l="1"/>
  <c r="CD60" i="2"/>
  <c r="CD123" i="2"/>
  <c r="CD25" i="2"/>
  <c r="CD113" i="2"/>
  <c r="CD130" i="2"/>
  <c r="CD95" i="2"/>
  <c r="CD18" i="2"/>
  <c r="CD196" i="2"/>
  <c r="CD53" i="2"/>
  <c r="CD159" i="2"/>
  <c r="CD142" i="2"/>
  <c r="CD96" i="2"/>
  <c r="CD172" i="2"/>
  <c r="CD42" i="2"/>
  <c r="CD38" i="2"/>
  <c r="CD90" i="2"/>
  <c r="CD61" i="2"/>
  <c r="CD133" i="2"/>
  <c r="CD101" i="2"/>
  <c r="CD157" i="2"/>
  <c r="CD36" i="2"/>
  <c r="CD203" i="2"/>
  <c r="CD201" i="2"/>
  <c r="CD86" i="2"/>
  <c r="CD48" i="2"/>
  <c r="CD193" i="2"/>
  <c r="CD179" i="2"/>
  <c r="CD22" i="2"/>
  <c r="CD78" i="2"/>
  <c r="CD8" i="2"/>
  <c r="CD56" i="2"/>
  <c r="CD104" i="2"/>
  <c r="CD134" i="2"/>
  <c r="CD27" i="2"/>
  <c r="CD100" i="2"/>
  <c r="CD34" i="2"/>
  <c r="CD97" i="2"/>
  <c r="CD114" i="2"/>
  <c r="CD175" i="2"/>
  <c r="CD110" i="2"/>
  <c r="CD192" i="2"/>
  <c r="CD166" i="2"/>
  <c r="CD147" i="2"/>
  <c r="CD29" i="2"/>
  <c r="CD137" i="2"/>
  <c r="CD44" i="2"/>
  <c r="CD186" i="2"/>
  <c r="CD65" i="2"/>
  <c r="CD136" i="2"/>
  <c r="CD45" i="2"/>
  <c r="CD17" i="2"/>
  <c r="CD106" i="2"/>
  <c r="CD99" i="2"/>
  <c r="CD117" i="2"/>
  <c r="CD49" i="2"/>
  <c r="CD171" i="2"/>
  <c r="CD3" i="2"/>
  <c r="C9" i="4" s="1"/>
  <c r="E9" i="4" s="1"/>
  <c r="F9" i="4" s="1"/>
  <c r="G9" i="4" s="1"/>
  <c r="L9" i="4" s="1"/>
  <c r="CD182" i="2"/>
  <c r="CD5" i="2"/>
  <c r="CD88" i="2"/>
  <c r="CD20" i="2"/>
  <c r="CD39" i="2"/>
  <c r="CD54" i="2"/>
  <c r="CD148" i="2"/>
  <c r="CD71" i="2"/>
  <c r="CD126" i="2"/>
  <c r="CD145" i="2"/>
  <c r="CD92" i="2"/>
  <c r="CD81" i="2"/>
  <c r="CD118" i="2"/>
  <c r="CD144" i="2"/>
  <c r="CD109" i="2"/>
  <c r="CD73" i="2"/>
  <c r="CD80" i="2"/>
  <c r="CD13" i="2"/>
  <c r="CD200" i="2"/>
  <c r="CD125" i="2"/>
  <c r="CD105" i="2"/>
  <c r="CD191" i="2"/>
  <c r="CD10" i="2"/>
  <c r="CD83" i="2"/>
  <c r="CD164" i="2"/>
  <c r="CD62" i="2"/>
  <c r="CD122" i="2"/>
  <c r="CD46" i="2"/>
  <c r="CD169" i="2"/>
  <c r="CD156" i="2"/>
  <c r="CD120" i="2"/>
  <c r="CD40" i="2"/>
  <c r="CD28" i="2"/>
  <c r="CD31" i="2"/>
  <c r="CD57" i="2"/>
  <c r="CD32" i="2"/>
  <c r="CD52" i="2"/>
  <c r="CD170" i="2"/>
  <c r="CD119" i="2"/>
  <c r="CD77" i="2"/>
  <c r="CD199" i="2"/>
  <c r="CD146" i="2"/>
  <c r="CD74" i="2"/>
  <c r="CD102" i="2"/>
  <c r="CD121" i="2"/>
  <c r="CD135" i="2"/>
  <c r="CD149" i="2"/>
  <c r="CD75" i="2"/>
  <c r="CD87" i="2"/>
  <c r="CD140" i="2"/>
  <c r="CD47" i="2"/>
  <c r="CD197" i="2"/>
  <c r="CD107" i="2"/>
  <c r="CD127" i="2"/>
  <c r="CD153" i="2"/>
  <c r="CD195" i="2"/>
  <c r="CD9" i="2"/>
  <c r="CD70" i="2"/>
  <c r="CD79" i="2"/>
  <c r="CD180" i="2"/>
  <c r="CD112" i="2"/>
  <c r="CD194" i="2"/>
  <c r="CD35" i="2"/>
  <c r="CD58" i="2"/>
  <c r="CD152" i="2"/>
  <c r="CD116" i="2"/>
  <c r="CD181" i="2"/>
  <c r="CD103" i="2"/>
  <c r="CD68" i="2"/>
  <c r="CD143" i="2"/>
  <c r="CD190" i="2"/>
  <c r="CD177" i="2"/>
  <c r="CD161" i="2"/>
  <c r="CD91" i="2"/>
  <c r="CD16" i="2"/>
  <c r="CD63" i="2"/>
  <c r="CD198" i="2"/>
  <c r="CD151" i="2"/>
  <c r="CD84" i="2"/>
  <c r="CD185" i="2"/>
  <c r="CD128" i="2"/>
  <c r="CD189" i="2"/>
  <c r="CD21" i="2"/>
  <c r="CD160" i="2"/>
  <c r="CD173" i="2"/>
  <c r="CD30" i="2"/>
  <c r="CD76" i="2"/>
  <c r="CD69" i="2"/>
  <c r="CD129" i="2"/>
  <c r="CD67" i="2"/>
  <c r="CD43" i="2"/>
  <c r="CD162" i="2"/>
  <c r="CD89" i="2"/>
  <c r="CD37" i="2"/>
  <c r="CD51" i="2"/>
  <c r="CD23" i="2"/>
  <c r="CD19" i="2"/>
  <c r="CD33" i="2"/>
  <c r="CD14" i="2"/>
  <c r="CD158" i="2"/>
  <c r="CD167" i="2"/>
  <c r="CD6" i="2"/>
  <c r="CD165" i="2"/>
  <c r="CD155" i="2"/>
  <c r="CD178" i="2"/>
  <c r="CD93" i="2"/>
  <c r="CD11" i="2"/>
  <c r="CD183" i="2"/>
  <c r="CD174" i="2"/>
  <c r="CD55" i="2"/>
  <c r="CD187" i="2"/>
  <c r="CD7" i="2"/>
  <c r="CD163" i="2"/>
  <c r="CD131" i="2"/>
  <c r="CD111" i="2"/>
  <c r="CD72" i="2"/>
  <c r="CD82" i="2"/>
  <c r="CD59" i="2"/>
  <c r="CD85" i="2"/>
  <c r="CD94" i="2"/>
  <c r="CD64" i="2"/>
  <c r="CD4" i="2"/>
  <c r="CD138" i="2"/>
  <c r="CD202" i="2"/>
  <c r="CD184" i="2"/>
  <c r="CD124" i="2"/>
  <c r="CD176" i="2"/>
  <c r="CD132" i="2"/>
  <c r="CD98" i="2"/>
  <c r="CD41" i="2"/>
  <c r="CD15" i="2"/>
  <c r="CD26" i="2"/>
  <c r="CD188" i="2"/>
  <c r="CD139" i="2"/>
  <c r="CD115" i="2"/>
  <c r="CD24" i="2"/>
  <c r="CD50" i="2"/>
  <c r="CD108" i="2"/>
  <c r="CD150" i="2"/>
  <c r="CD141" i="2"/>
  <c r="CD66" i="2"/>
  <c r="CD12" i="2"/>
  <c r="CD154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  <author>tc={ADAB524F-EA78-48F9-90A1-30463D8A4463}</author>
    <author>tc={803A87BB-8364-40C0-9519-F19D0B308B24}</author>
    <author>tc={6A647EF5-4514-4C56-8623-DFA38F164C96}</author>
    <author>tc={90D0DDE6-3B75-45A3-9B93-8CFC0C16E5C7}</author>
    <author>tc={5264431B-7BCD-431A-9C8D-DE7DF08D3882}</author>
    <author>tc={44F18F2D-7DCB-4AEE-B560-189E52AAF056}</author>
    <author>tc={2EB48755-BFCE-4644-91CA-668DBC1A73D8}</author>
    <author>tc={F8F8919A-0174-4B0A-BFC5-01D40104AD90}</author>
    <author>tc={96D2EA83-C16F-4DDF-9B71-10375C6903FB}</author>
    <author>tc={48F0C696-C7F5-4431-B70A-B4DDB2DE725F}</author>
    <author>tc={37C81479-9053-462F-A22C-CBD6892A30C5}</author>
    <author>tc={6FC53EFC-E69A-4BB7-8699-6BFA79A106F8}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à partir de la 6e année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ADAB524F-EA78-48F9-90A1-30463D8A446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803A87BB-8364-40C0-9519-F19D0B308B24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6A647EF5-4514-4C56-8623-DFA38F164C9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0" authorId="10" shapeId="0" xr:uid="{90D0DDE6-3B75-45A3-9B93-8CFC0C16E5C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1" authorId="11" shapeId="0" xr:uid="{5264431B-7BCD-431A-9C8D-DE7DF08D3882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82" authorId="12" shapeId="0" xr:uid="{44F18F2D-7DCB-4AEE-B560-189E52AAF05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1" authorId="13" shapeId="0" xr:uid="{2EB48755-BFCE-4644-91CA-668DBC1A73D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2" authorId="14" shapeId="0" xr:uid="{F8F8919A-0174-4B0A-BFC5-01D40104AD90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13" authorId="15" shapeId="0" xr:uid="{96D2EA83-C16F-4DDF-9B71-10375C6903F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42" authorId="16" shapeId="0" xr:uid="{48F0C696-C7F5-4431-B70A-B4DDB2DE725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43" authorId="17" shapeId="0" xr:uid="{37C81479-9053-462F-A22C-CBD6892A30C5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44" authorId="18" shapeId="0" xr:uid="{6FC53EFC-E69A-4BB7-8699-6BFA79A106F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<sst xmlns="http://schemas.openxmlformats.org/spreadsheetml/2006/main" count="1180" uniqueCount="329">
  <si>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</si>
  <si>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</si>
  <si>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</si>
  <si>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</si>
  <si>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</si>
  <si>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</si>
  <si>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</si>
  <si>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</si>
  <si>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</si>
  <si>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</si>
  <si>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</si>
  <si>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</si>
  <si>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</si>
  <si>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</si>
  <si>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</si>
  <si>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</si>
  <si>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</si>
  <si>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</si>
  <si>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</si>
  <si>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</si>
  <si>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</si>
  <si>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</si>
  <si>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</si>
  <si>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</si>
  <si>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</si>
  <si>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</si>
  <si>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</si>
  <si>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</si>
  <si>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</si>
  <si>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</si>
  <si>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</si>
  <si>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</si>
  <si>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</si>
  <si>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</si>
  <si>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</si>
  <si>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</si>
  <si>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</si>
  <si>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</si>
  <si>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</si>
  <si>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</si>
  <si>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</si>
  <si>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</si>
  <si>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</si>
  <si>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</si>
  <si>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</si>
  <si>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</si>
  <si>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</si>
  <si>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</si>
  <si>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</si>
  <si>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</si>
  <si>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</si>
  <si>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</si>
  <si>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</si>
  <si>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</si>
  <si>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</si>
  <si>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</si>
  <si>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</si>
  <si>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</si>
  <si>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</si>
  <si>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</si>
  <si>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</si>
  <si>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</si>
  <si>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</si>
  <si>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</si>
  <si>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</si>
  <si>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</si>
  <si>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</si>
  <si>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</si>
  <si>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</si>
  <si>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</si>
  <si>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</si>
  <si>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</si>
  <si>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</si>
  <si>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</si>
  <si>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</si>
  <si>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</si>
  <si>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</si>
  <si>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</si>
  <si>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</si>
  <si>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</si>
  <si>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</si>
  <si>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</si>
  <si>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</si>
  <si>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</si>
  <si>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</si>
  <si>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</si>
  <si>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</si>
  <si>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</si>
  <si>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</si>
  <si>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</si>
  <si>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</si>
  <si>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</si>
  <si>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</si>
  <si>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</si>
  <si>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</si>
  <si>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</si>
  <si>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</si>
  <si>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</si>
  <si>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</si>
  <si>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</si>
  <si>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</si>
  <si>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</si>
  <si>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</si>
  <si>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</si>
  <si>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</si>
  <si>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</si>
  <si>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</si>
  <si>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</si>
  <si>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</si>
  <si>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</si>
  <si>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</si>
  <si>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</si>
  <si>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</si>
  <si>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</si>
  <si>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</si>
  <si>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</si>
  <si>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</si>
  <si>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</si>
  <si>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</si>
  <si>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</si>
  <si>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</si>
  <si>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</si>
  <si>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</si>
  <si>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</si>
  <si>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</si>
  <si>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</si>
  <si>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</si>
  <si>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</si>
  <si>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</si>
  <si>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</si>
  <si>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</si>
  <si>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</si>
  <si>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</si>
  <si>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</si>
  <si>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</si>
  <si>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</si>
  <si>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</si>
  <si>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</si>
  <si>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</si>
  <si>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</si>
  <si>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</si>
  <si>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</si>
  <si>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</si>
  <si>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</si>
  <si>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</si>
  <si>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</si>
  <si>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</si>
  <si>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</si>
  <si>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</si>
  <si>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</si>
  <si>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</si>
  <si>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</si>
  <si>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</si>
  <si>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</si>
  <si>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</si>
  <si>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</si>
  <si>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</si>
  <si>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</si>
  <si>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</si>
  <si>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</si>
  <si>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</si>
  <si>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</si>
  <si>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</si>
  <si>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</si>
  <si>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</si>
  <si>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</si>
  <si>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</si>
  <si>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</si>
  <si>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</si>
  <si>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</si>
  <si>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</si>
  <si>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</si>
  <si>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</si>
  <si>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</si>
  <si>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</si>
  <si>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</si>
  <si>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</si>
  <si>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</si>
  <si>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</si>
  <si>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</si>
  <si>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</si>
  <si>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</si>
  <si>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</si>
  <si>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</si>
  <si>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</si>
  <si>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</si>
  <si>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</si>
  <si>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</si>
  <si>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</si>
  <si>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</si>
  <si>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</si>
  <si>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</si>
  <si>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</si>
  <si>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</si>
  <si>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</si>
  <si>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</si>
  <si>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</si>
  <si>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</si>
  <si>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</si>
  <si>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</si>
  <si>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</si>
  <si>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</si>
  <si>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</si>
  <si>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</si>
  <si>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</si>
  <si>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</si>
  <si>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</si>
  <si>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</si>
  <si>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</si>
  <si>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</si>
  <si>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</si>
  <si>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</si>
  <si>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</si>
  <si>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</si>
  <si>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</si>
  <si>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</si>
  <si>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</si>
  <si>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</si>
  <si>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</si>
  <si>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</si>
  <si>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</si>
  <si>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</si>
  <si>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</si>
  <si>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</si>
  <si>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</si>
  <si>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</si>
  <si>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</si>
  <si>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</si>
  <si>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</si>
  <si>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</si>
  <si>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</si>
  <si>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</si>
  <si>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</si>
  <si>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</si>
  <si>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</si>
  <si>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</si>
  <si>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</si>
  <si>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</si>
  <si>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</si>
  <si>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</si>
  <si>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</si>
  <si>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</si>
  <si>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</si>
  <si>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</si>
  <si>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</si>
  <si>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</si>
  <si>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</si>
  <si>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</si>
  <si>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</si>
  <si>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</si>
  <si>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</si>
  <si>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</si>
  <si>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</si>
  <si>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</si>
  <si>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</si>
  <si>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</si>
  <si>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</si>
  <si>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</si>
  <si>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</si>
  <si>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</si>
  <si>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</si>
  <si>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</si>
  <si>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</si>
  <si>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</si>
  <si>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</si>
  <si>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</si>
  <si>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</si>
  <si>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</si>
  <si>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</si>
  <si>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</si>
  <si>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</si>
  <si>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</si>
  <si>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</si>
  <si>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</si>
  <si>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</si>
  <si>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</si>
  <si>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</si>
  <si>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</si>
  <si>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</si>
  <si>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</si>
  <si>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</si>
  <si>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</si>
  <si>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</si>
  <si>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</si>
  <si>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</si>
  <si>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</si>
  <si>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</si>
  <si>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</si>
  <si>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</si>
  <si>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</si>
  <si>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</si>
  <si>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</si>
  <si>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</si>
  <si>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</si>
  <si>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</si>
  <si>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</si>
  <si>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</si>
  <si>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</si>
  <si>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</si>
  <si>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</si>
  <si>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</si>
  <si>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</si>
  <si>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</si>
  <si>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</si>
  <si>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</si>
  <si>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</si>
  <si>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</si>
  <si>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</si>
  <si>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</si>
  <si>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</si>
  <si>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</si>
  <si>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</si>
  <si>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</si>
  <si>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</si>
  <si>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</si>
  <si>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</si>
  <si>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</si>
  <si>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</si>
  <si>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</si>
  <si>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</si>
  <si>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</si>
  <si>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</si>
  <si>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</si>
  <si>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</si>
  <si>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</si>
  <si>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Frais notariés</t>
  </si>
  <si>
    <t>Cout gestionnaire</t>
  </si>
  <si>
    <t>Coût total du projet Néosylva sur les 5 premières années</t>
  </si>
  <si>
    <t>Cout plantation + entretien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</si>
</sst>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9"/>
      <color indexed="81"/>
      <name val="Tahoma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166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Pourcentage" xfId="1" builtinId="5"/>
    <cellStyle name="Pourcentage 2" xfId="3" xr:uid="{186A45CC-BD99-428D-A67A-4B9D5C9DE4BC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1.918435946590699</c:v>
                </c:pt>
                <c:pt idx="2">
                  <c:v>2.373117389980314</c:v>
                </c:pt>
                <c:pt idx="3">
                  <c:v>2.9359817415961924</c:v>
                </c:pt>
                <c:pt idx="4">
                  <c:v>3.6328636551360431</c:v>
                </c:pt>
                <c:pt idx="5">
                  <c:v>4.4957884181579182</c:v>
                </c:pt>
                <c:pt idx="6">
                  <c:v>5.5644601109295779</c:v>
                </c:pt>
                <c:pt idx="7">
                  <c:v>6.8881085532734367</c:v>
                </c:pt>
                <c:pt idx="8">
                  <c:v>8.5277817745591538</c:v>
                </c:pt>
                <c:pt idx="9">
                  <c:v>10.559191761295033</c:v>
                </c:pt>
                <c:pt idx="10">
                  <c:v>13.076247361220192</c:v>
                </c:pt>
                <c:pt idx="11">
                  <c:v>16.195440694835355</c:v>
                </c:pt>
                <c:pt idx="12">
                  <c:v>20.06129379028172</c:v>
                </c:pt>
                <c:pt idx="13">
                  <c:v>24.853122337627141</c:v>
                </c:pt>
                <c:pt idx="14">
                  <c:v>30.793435845145144</c:v>
                </c:pt>
                <c:pt idx="15">
                  <c:v>38.158371047819237</c:v>
                </c:pt>
                <c:pt idx="16">
                  <c:v>47.290651867981289</c:v>
                </c:pt>
                <c:pt idx="17">
                  <c:v>58.615689164308343</c:v>
                </c:pt>
                <c:pt idx="18">
                  <c:v>72.661582657654549</c:v>
                </c:pt>
                <c:pt idx="19">
                  <c:v>90.083972919469474</c:v>
                </c:pt>
                <c:pt idx="20">
                  <c:v>111.69692202220851</c:v>
                </c:pt>
                <c:pt idx="21">
                  <c:v>138.51128842117049</c:v>
                </c:pt>
                <c:pt idx="22">
                  <c:v>171.78241860309038</c:v>
                </c:pt>
                <c:pt idx="23">
                  <c:v>124.07225894849046</c:v>
                </c:pt>
                <c:pt idx="24">
                  <c:v>144.64512045327049</c:v>
                </c:pt>
                <c:pt idx="25">
                  <c:v>165.1478824141137</c:v>
                </c:pt>
                <c:pt idx="26">
                  <c:v>185.59048254953419</c:v>
                </c:pt>
                <c:pt idx="27">
                  <c:v>205.98048401362226</c:v>
                </c:pt>
                <c:pt idx="28">
                  <c:v>178.51850048567601</c:v>
                </c:pt>
                <c:pt idx="29">
                  <c:v>200.02348598066854</c:v>
                </c:pt>
                <c:pt idx="30">
                  <c:v>221.47486264149299</c:v>
                </c:pt>
                <c:pt idx="31">
                  <c:v>242.87855360298769</c:v>
                </c:pt>
                <c:pt idx="32">
                  <c:v>264.23935165042923</c:v>
                </c:pt>
                <c:pt idx="33">
                  <c:v>285.56121089534162</c:v>
                </c:pt>
                <c:pt idx="34">
                  <c:v>242.26244165420408</c:v>
                </c:pt>
                <c:pt idx="35">
                  <c:v>263.73520381427102</c:v>
                </c:pt>
                <c:pt idx="36">
                  <c:v>285.1685350174958</c:v>
                </c:pt>
                <c:pt idx="37">
                  <c:v>306.56581456468069</c:v>
                </c:pt>
                <c:pt idx="38">
                  <c:v>327.9299114637476</c:v>
                </c:pt>
                <c:pt idx="39">
                  <c:v>349.26329041321316</c:v>
                </c:pt>
                <c:pt idx="40">
                  <c:v>370.56809051054279</c:v>
                </c:pt>
                <c:pt idx="41">
                  <c:v>391.84618490100002</c:v>
                </c:pt>
                <c:pt idx="42">
                  <c:v>319.87385016852937</c:v>
                </c:pt>
                <c:pt idx="43">
                  <c:v>339.97241120235782</c:v>
                </c:pt>
                <c:pt idx="44">
                  <c:v>360.04484296464358</c:v>
                </c:pt>
                <c:pt idx="45">
                  <c:v>380.09280633515499</c:v>
                </c:pt>
                <c:pt idx="46">
                  <c:v>400.11777275179605</c:v>
                </c:pt>
                <c:pt idx="47">
                  <c:v>420.12105441362888</c:v>
                </c:pt>
                <c:pt idx="48">
                  <c:v>440.10382843073722</c:v>
                </c:pt>
                <c:pt idx="49">
                  <c:v>460.06715635927225</c:v>
                </c:pt>
                <c:pt idx="50">
                  <c:v>480.01200016945177</c:v>
                </c:pt>
                <c:pt idx="51">
                  <c:v>408.79839326527775</c:v>
                </c:pt>
                <c:pt idx="52">
                  <c:v>426.75219446239686</c:v>
                </c:pt>
                <c:pt idx="53">
                  <c:v>444.68975682178706</c:v>
                </c:pt>
                <c:pt idx="54">
                  <c:v>462.61182724795117</c:v>
                </c:pt>
                <c:pt idx="55">
                  <c:v>480.51909008117696</c:v>
                </c:pt>
                <c:pt idx="56">
                  <c:v>498.41217452232013</c:v>
                </c:pt>
                <c:pt idx="57">
                  <c:v>516.29166093616936</c:v>
                </c:pt>
                <c:pt idx="58">
                  <c:v>534.15808623651117</c:v>
                </c:pt>
                <c:pt idx="59">
                  <c:v>552.0119485135134</c:v>
                </c:pt>
                <c:pt idx="60">
                  <c:v>569.85371103158241</c:v>
                </c:pt>
                <c:pt idx="61">
                  <c:v>496.54621081777736</c:v>
                </c:pt>
                <c:pt idx="62">
                  <c:v>511.61287446770933</c:v>
                </c:pt>
                <c:pt idx="63">
                  <c:v>526.6701695557424</c:v>
                </c:pt>
                <c:pt idx="64">
                  <c:v>541.71840154308029</c:v>
                </c:pt>
                <c:pt idx="65">
                  <c:v>556.7578575437193</c:v>
                </c:pt>
                <c:pt idx="66">
                  <c:v>571.78880790256073</c:v>
                </c:pt>
                <c:pt idx="67">
                  <c:v>586.81150759902118</c:v>
                </c:pt>
                <c:pt idx="68">
                  <c:v>601.82619749950163</c:v>
                </c:pt>
                <c:pt idx="69">
                  <c:v>616.83310547843132</c:v>
                </c:pt>
                <c:pt idx="70">
                  <c:v>631.83244742460067</c:v>
                </c:pt>
                <c:pt idx="71">
                  <c:v>558.51065903898916</c:v>
                </c:pt>
                <c:pt idx="72">
                  <c:v>570.86927504318601</c:v>
                </c:pt>
                <c:pt idx="73">
                  <c:v>583.22230315943</c:v>
                </c:pt>
                <c:pt idx="74">
                  <c:v>595.5698783876577</c:v>
                </c:pt>
                <c:pt idx="75">
                  <c:v>607.91212967537479</c:v>
                </c:pt>
                <c:pt idx="76">
                  <c:v>620.24918030895208</c:v>
                </c:pt>
                <c:pt idx="77">
                  <c:v>632.58114827218651</c:v>
                </c:pt>
                <c:pt idx="78">
                  <c:v>644.90814657545729</c:v>
                </c:pt>
                <c:pt idx="79">
                  <c:v>657.23028355841973</c:v>
                </c:pt>
                <c:pt idx="80">
                  <c:v>669.54766316883126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8.7238773521599047</c:v>
                </c:pt>
                <c:pt idx="2">
                  <c:v>17.063280696299408</c:v>
                </c:pt>
                <c:pt idx="3">
                  <c:v>25.278518235236231</c:v>
                </c:pt>
                <c:pt idx="4">
                  <c:v>33.417217082826525</c:v>
                </c:pt>
                <c:pt idx="5">
                  <c:v>41.500963408389929</c:v>
                </c:pt>
                <c:pt idx="6">
                  <c:v>49.54207086415412</c:v>
                </c:pt>
                <c:pt idx="7">
                  <c:v>57.548477585595947</c:v>
                </c:pt>
                <c:pt idx="8">
                  <c:v>65.52571279747248</c:v>
                </c:pt>
                <c:pt idx="9">
                  <c:v>73.477840550317495</c:v>
                </c:pt>
                <c:pt idx="10">
                  <c:v>81.407968790534127</c:v>
                </c:pt>
                <c:pt idx="11">
                  <c:v>89.318547905534516</c:v>
                </c:pt>
                <c:pt idx="12">
                  <c:v>97.211557203899247</c:v>
                </c:pt>
                <c:pt idx="13">
                  <c:v>105.08862729802443</c:v>
                </c:pt>
                <c:pt idx="14">
                  <c:v>112.95112368620271</c:v>
                </c:pt>
                <c:pt idx="15">
                  <c:v>120.80020574188869</c:v>
                </c:pt>
                <c:pt idx="16">
                  <c:v>128.63686950992857</c:v>
                </c:pt>
                <c:pt idx="17">
                  <c:v>136.46197949248327</c:v>
                </c:pt>
                <c:pt idx="18">
                  <c:v>144.2762927401233</c:v>
                </c:pt>
                <c:pt idx="19">
                  <c:v>152.08047743586482</c:v>
                </c:pt>
                <c:pt idx="20">
                  <c:v>159.87512745516435</c:v>
                </c:pt>
                <c:pt idx="21">
                  <c:v>167.66077393116035</c:v>
                </c:pt>
                <c:pt idx="22">
                  <c:v>175.43789455459577</c:v>
                </c:pt>
                <c:pt idx="23">
                  <c:v>183.20692113504819</c:v>
                </c:pt>
                <c:pt idx="24">
                  <c:v>190.96824581005788</c:v>
                </c:pt>
                <c:pt idx="25">
                  <c:v>198.72222619024129</c:v>
                </c:pt>
                <c:pt idx="26">
                  <c:v>206.46918965801322</c:v>
                </c:pt>
                <c:pt idx="27">
                  <c:v>214.20943698636589</c:v>
                </c:pt>
                <c:pt idx="28">
                  <c:v>221.94324540646099</c:v>
                </c:pt>
                <c:pt idx="29">
                  <c:v>229.67087122468024</c:v>
                </c:pt>
                <c:pt idx="30">
                  <c:v>237.3925520685614</c:v>
                </c:pt>
                <c:pt idx="31">
                  <c:v>245.10850882486457</c:v>
                </c:pt>
                <c:pt idx="32">
                  <c:v>252.81894732054016</c:v>
                </c:pt>
                <c:pt idx="33">
                  <c:v>260.52405978767342</c:v>
                </c:pt>
                <c:pt idx="34">
                  <c:v>268.22402614587037</c:v>
                </c:pt>
                <c:pt idx="35">
                  <c:v>275.91901512953666</c:v>
                </c:pt>
                <c:pt idx="36">
                  <c:v>283.60918528270133</c:v>
                </c:pt>
                <c:pt idx="37">
                  <c:v>291.29468584019929</c:v>
                </c:pt>
                <c:pt idx="38">
                  <c:v>298.9756575109102</c:v>
                </c:pt>
                <c:pt idx="39">
                  <c:v>306.65223317623287</c:v>
                </c:pt>
                <c:pt idx="40">
                  <c:v>314.32453851490487</c:v>
                </c:pt>
                <c:pt idx="41">
                  <c:v>321.99269256358195</c:v>
                </c:pt>
                <c:pt idx="42">
                  <c:v>329.6568082211864</c:v>
                </c:pt>
                <c:pt idx="43">
                  <c:v>337.31699270386952</c:v>
                </c:pt>
                <c:pt idx="44">
                  <c:v>344.97334795645929</c:v>
                </c:pt>
                <c:pt idx="45">
                  <c:v>352.62597102544919</c:v>
                </c:pt>
                <c:pt idx="46">
                  <c:v>360.27495439789868</c:v>
                </c:pt>
                <c:pt idx="47">
                  <c:v>367.92038631003089</c:v>
                </c:pt>
                <c:pt idx="48">
                  <c:v>375.56235102882761</c:v>
                </c:pt>
                <c:pt idx="49">
                  <c:v>383.20092910949398</c:v>
                </c:pt>
                <c:pt idx="50">
                  <c:v>390.83619763131333</c:v>
                </c:pt>
                <c:pt idx="51">
                  <c:v>398.46823041410011</c:v>
                </c:pt>
                <c:pt idx="52">
                  <c:v>239.85910246404572</c:v>
                </c:pt>
                <c:pt idx="53">
                  <c:v>252.83074558705485</c:v>
                </c:pt>
                <c:pt idx="54">
                  <c:v>265.78731726655224</c:v>
                </c:pt>
                <c:pt idx="55">
                  <c:v>278.72965595209877</c:v>
                </c:pt>
                <c:pt idx="56">
                  <c:v>291.65851583527427</c:v>
                </c:pt>
                <c:pt idx="57">
                  <c:v>304.57457875644008</c:v>
                </c:pt>
                <c:pt idx="58">
                  <c:v>317.47846398478754</c:v>
                </c:pt>
                <c:pt idx="59">
                  <c:v>330.37073632430099</c:v>
                </c:pt>
                <c:pt idx="60">
                  <c:v>343.25191288767377</c:v>
                </c:pt>
                <c:pt idx="61">
                  <c:v>356.12246879986401</c:v>
                </c:pt>
                <c:pt idx="62">
                  <c:v>267.65291509049001</c:v>
                </c:pt>
                <c:pt idx="63">
                  <c:v>279.57365298312453</c:v>
                </c:pt>
                <c:pt idx="64">
                  <c:v>291.48299371257053</c:v>
                </c:pt>
                <c:pt idx="65">
                  <c:v>303.3814687484749</c:v>
                </c:pt>
                <c:pt idx="66">
                  <c:v>315.26956445016066</c:v>
                </c:pt>
                <c:pt idx="67">
                  <c:v>327.14772748854381</c:v>
                </c:pt>
                <c:pt idx="68">
                  <c:v>339.01636943905493</c:v>
                </c:pt>
                <c:pt idx="69">
                  <c:v>350.87587069749287</c:v>
                </c:pt>
                <c:pt idx="70">
                  <c:v>362.72658383860352</c:v>
                </c:pt>
                <c:pt idx="71">
                  <c:v>374.56883651267782</c:v>
                </c:pt>
                <c:pt idx="72">
                  <c:v>386.40293395661462</c:v>
                </c:pt>
                <c:pt idx="73">
                  <c:v>398.2291611812359</c:v>
                </c:pt>
                <c:pt idx="74">
                  <c:v>307.22146276591042</c:v>
                </c:pt>
                <c:pt idx="75">
                  <c:v>318.22291876813949</c:v>
                </c:pt>
                <c:pt idx="76">
                  <c:v>329.21595499534607</c:v>
                </c:pt>
                <c:pt idx="77">
                  <c:v>340.20089234590097</c:v>
                </c:pt>
                <c:pt idx="78">
                  <c:v>351.17802929444014</c:v>
                </c:pt>
                <c:pt idx="79">
                  <c:v>362.14764412577466</c:v>
                </c:pt>
                <c:pt idx="80">
                  <c:v>373.1099968839053</c:v>
                </c:pt>
                <c:pt idx="81">
                  <c:v>384.06533107994869</c:v>
                </c:pt>
                <c:pt idx="82">
                  <c:v>395.01387519496728</c:v>
                </c:pt>
                <c:pt idx="83">
                  <c:v>405.95584400744838</c:v>
                </c:pt>
                <c:pt idx="84">
                  <c:v>416.89143977016801</c:v>
                </c:pt>
                <c:pt idx="85">
                  <c:v>427.82085325710864</c:v>
                </c:pt>
                <c:pt idx="86">
                  <c:v>343.45578156792436</c:v>
                </c:pt>
                <c:pt idx="87">
                  <c:v>353.50604121858987</c:v>
                </c:pt>
                <c:pt idx="88">
                  <c:v>363.55004087719925</c:v>
                </c:pt>
                <c:pt idx="89">
                  <c:v>373.58797795476374</c:v>
                </c:pt>
                <c:pt idx="90">
                  <c:v>383.62003838338245</c:v>
                </c:pt>
                <c:pt idx="91">
                  <c:v>393.64639757291462</c:v>
                </c:pt>
                <c:pt idx="92">
                  <c:v>403.66722126506875</c:v>
                </c:pt>
                <c:pt idx="93">
                  <c:v>413.68266629823557</c:v>
                </c:pt>
                <c:pt idx="94">
                  <c:v>423.69288129437263</c:v>
                </c:pt>
                <c:pt idx="95">
                  <c:v>433.69800727757553</c:v>
                </c:pt>
                <c:pt idx="96">
                  <c:v>443.69817823258433</c:v>
                </c:pt>
                <c:pt idx="97">
                  <c:v>453.69352161030451</c:v>
                </c:pt>
                <c:pt idx="98">
                  <c:v>373.51565819693059</c:v>
                </c:pt>
                <c:pt idx="99">
                  <c:v>382.53832906741195</c:v>
                </c:pt>
                <c:pt idx="100">
                  <c:v>391.5563737739929</c:v>
                </c:pt>
                <c:pt idx="101">
                  <c:v>400.56991394266532</c:v>
                </c:pt>
                <c:pt idx="102">
                  <c:v>409.57906527648794</c:v>
                </c:pt>
                <c:pt idx="103">
                  <c:v>418.58393797078651</c:v>
                </c:pt>
                <c:pt idx="104">
                  <c:v>427.58463709075022</c:v>
                </c:pt>
                <c:pt idx="105">
                  <c:v>436.58126291557113</c:v>
                </c:pt>
                <c:pt idx="106">
                  <c:v>445.57391125272744</c:v>
                </c:pt>
                <c:pt idx="107">
                  <c:v>454.56267372556914</c:v>
                </c:pt>
                <c:pt idx="108">
                  <c:v>463.54763803696488</c:v>
                </c:pt>
                <c:pt idx="109">
                  <c:v>472.52888821143966</c:v>
                </c:pt>
                <c:pt idx="110">
                  <c:v>389.99513338800875</c:v>
                </c:pt>
                <c:pt idx="111">
                  <c:v>398.06147882289639</c:v>
                </c:pt>
                <c:pt idx="112">
                  <c:v>406.12428489378766</c:v>
                </c:pt>
                <c:pt idx="113">
                  <c:v>414.18363182026269</c:v>
                </c:pt>
                <c:pt idx="114">
                  <c:v>422.23959644349662</c:v>
                </c:pt>
                <c:pt idx="115">
                  <c:v>430.29225243168997</c:v>
                </c:pt>
                <c:pt idx="116">
                  <c:v>438.34167046931583</c:v>
                </c:pt>
                <c:pt idx="117">
                  <c:v>446.38791843173607</c:v>
                </c:pt>
                <c:pt idx="118">
                  <c:v>454.43106154656789</c:v>
                </c:pt>
                <c:pt idx="119">
                  <c:v>462.47116254302722</c:v>
                </c:pt>
                <c:pt idx="120">
                  <c:v>470.50828179034215</c:v>
                </c:pt>
                <c:pt idx="121">
                  <c:v>478.54247742621516</c:v>
                </c:pt>
                <c:pt idx="122">
                  <c:v>251.00231881385491</c:v>
                </c:pt>
                <c:pt idx="123">
                  <c:v>256.67781822926639</c:v>
                </c:pt>
                <c:pt idx="124">
                  <c:v>262.35047928007265</c:v>
                </c:pt>
                <c:pt idx="125">
                  <c:v>268.0203720944408</c:v>
                </c:pt>
                <c:pt idx="126">
                  <c:v>273.68756358672954</c:v>
                </c:pt>
                <c:pt idx="127">
                  <c:v>279.35211766977835</c:v>
                </c:pt>
                <c:pt idx="128">
                  <c:v>285.0140954490592</c:v>
                </c:pt>
                <c:pt idx="129">
                  <c:v>290.6735554005748</c:v>
                </c:pt>
                <c:pt idx="130">
                  <c:v>296.33055353416273</c:v>
                </c:pt>
                <c:pt idx="131">
                  <c:v>301.9851435436637</c:v>
                </c:pt>
                <c:pt idx="132">
                  <c:v>7.2667013513884219E-12</c:v>
                </c:pt>
                <c:pt idx="133">
                  <c:v>7.2667013513884219E-12</c:v>
                </c:pt>
                <c:pt idx="134">
                  <c:v>7.2667013513884219E-12</c:v>
                </c:pt>
                <c:pt idx="135">
                  <c:v>7.2667013513884219E-12</c:v>
                </c:pt>
                <c:pt idx="136">
                  <c:v>7.2667013513884219E-12</c:v>
                </c:pt>
                <c:pt idx="137">
                  <c:v>7.2667013513884219E-12</c:v>
                </c:pt>
                <c:pt idx="138">
                  <c:v>7.2667013513884219E-12</c:v>
                </c:pt>
                <c:pt idx="139">
                  <c:v>7.2667013513884219E-12</c:v>
                </c:pt>
                <c:pt idx="140">
                  <c:v>7.2667013513884219E-12</c:v>
                </c:pt>
                <c:pt idx="141">
                  <c:v>7.2667013513884219E-12</c:v>
                </c:pt>
                <c:pt idx="142">
                  <c:v>7.2667013513884219E-12</c:v>
                </c:pt>
                <c:pt idx="143">
                  <c:v>7.2667013513884219E-12</c:v>
                </c:pt>
                <c:pt idx="144">
                  <c:v>7.2667013513884219E-12</c:v>
                </c:pt>
                <c:pt idx="145">
                  <c:v>7.2667013513884219E-12</c:v>
                </c:pt>
                <c:pt idx="146">
                  <c:v>7.2667013513884219E-12</c:v>
                </c:pt>
                <c:pt idx="147">
                  <c:v>7.2667013513884219E-12</c:v>
                </c:pt>
                <c:pt idx="148">
                  <c:v>7.2667013513884219E-12</c:v>
                </c:pt>
                <c:pt idx="149">
                  <c:v>7.2667013513884219E-12</c:v>
                </c:pt>
                <c:pt idx="150">
                  <c:v>7.2667013513884219E-12</c:v>
                </c:pt>
                <c:pt idx="151">
                  <c:v>7.2667013513884219E-12</c:v>
                </c:pt>
                <c:pt idx="152">
                  <c:v>7.2667013513884219E-12</c:v>
                </c:pt>
                <c:pt idx="153">
                  <c:v>7.2667013513884219E-12</c:v>
                </c:pt>
                <c:pt idx="154">
                  <c:v>7.2667013513884219E-12</c:v>
                </c:pt>
                <c:pt idx="155">
                  <c:v>7.2667013513884219E-12</c:v>
                </c:pt>
                <c:pt idx="156">
                  <c:v>7.2667013513884219E-12</c:v>
                </c:pt>
                <c:pt idx="157">
                  <c:v>7.2667013513884219E-12</c:v>
                </c:pt>
                <c:pt idx="158">
                  <c:v>7.2667013513884219E-12</c:v>
                </c:pt>
                <c:pt idx="159">
                  <c:v>7.2667013513884219E-12</c:v>
                </c:pt>
                <c:pt idx="160">
                  <c:v>7.2667013513884219E-12</c:v>
                </c:pt>
                <c:pt idx="161">
                  <c:v>7.2667013513884219E-12</c:v>
                </c:pt>
                <c:pt idx="162">
                  <c:v>7.2667013513884219E-12</c:v>
                </c:pt>
                <c:pt idx="163">
                  <c:v>7.2667013513884219E-12</c:v>
                </c:pt>
                <c:pt idx="164">
                  <c:v>7.2667013513884219E-12</c:v>
                </c:pt>
                <c:pt idx="165">
                  <c:v>7.2667013513884219E-12</c:v>
                </c:pt>
                <c:pt idx="166">
                  <c:v>7.2667013513884219E-12</c:v>
                </c:pt>
                <c:pt idx="167">
                  <c:v>7.2667013513884219E-12</c:v>
                </c:pt>
                <c:pt idx="168">
                  <c:v>7.2667013513884219E-12</c:v>
                </c:pt>
                <c:pt idx="169">
                  <c:v>7.2667013513884219E-12</c:v>
                </c:pt>
                <c:pt idx="170">
                  <c:v>7.2667013513884219E-12</c:v>
                </c:pt>
                <c:pt idx="171">
                  <c:v>7.2667013513884219E-12</c:v>
                </c:pt>
                <c:pt idx="172">
                  <c:v>7.2667013513884219E-12</c:v>
                </c:pt>
                <c:pt idx="173">
                  <c:v>7.2667013513884219E-12</c:v>
                </c:pt>
                <c:pt idx="174">
                  <c:v>7.2667013513884219E-12</c:v>
                </c:pt>
                <c:pt idx="175">
                  <c:v>7.2667013513884219E-12</c:v>
                </c:pt>
                <c:pt idx="176">
                  <c:v>7.2667013513884219E-12</c:v>
                </c:pt>
                <c:pt idx="177">
                  <c:v>7.2667013513884219E-12</c:v>
                </c:pt>
                <c:pt idx="178">
                  <c:v>7.2667013513884219E-12</c:v>
                </c:pt>
                <c:pt idx="179">
                  <c:v>7.2667013513884219E-12</c:v>
                </c:pt>
                <c:pt idx="180">
                  <c:v>7.2667013513884219E-12</c:v>
                </c:pt>
                <c:pt idx="181">
                  <c:v>7.2667013513884219E-12</c:v>
                </c:pt>
                <c:pt idx="182">
                  <c:v>7.2667013513884219E-12</c:v>
                </c:pt>
                <c:pt idx="183">
                  <c:v>7.2667013513884219E-12</c:v>
                </c:pt>
                <c:pt idx="184">
                  <c:v>7.2667013513884219E-12</c:v>
                </c:pt>
                <c:pt idx="185">
                  <c:v>7.2667013513884219E-12</c:v>
                </c:pt>
                <c:pt idx="186">
                  <c:v>7.2667013513884219E-12</c:v>
                </c:pt>
                <c:pt idx="187">
                  <c:v>7.2667013513884219E-12</c:v>
                </c:pt>
                <c:pt idx="188">
                  <c:v>7.2667013513884219E-12</c:v>
                </c:pt>
                <c:pt idx="189">
                  <c:v>7.2667013513884219E-12</c:v>
                </c:pt>
                <c:pt idx="190">
                  <c:v>7.2667013513884219E-12</c:v>
                </c:pt>
                <c:pt idx="191">
                  <c:v>7.2667013513884219E-12</c:v>
                </c:pt>
                <c:pt idx="192">
                  <c:v>7.2667013513884219E-12</c:v>
                </c:pt>
                <c:pt idx="193">
                  <c:v>7.2667013513884219E-12</c:v>
                </c:pt>
                <c:pt idx="194">
                  <c:v>7.2667013513884219E-12</c:v>
                </c:pt>
                <c:pt idx="195">
                  <c:v>7.2667013513884219E-12</c:v>
                </c:pt>
                <c:pt idx="196">
                  <c:v>7.2667013513884219E-12</c:v>
                </c:pt>
                <c:pt idx="197">
                  <c:v>7.2667013513884219E-12</c:v>
                </c:pt>
                <c:pt idx="198">
                  <c:v>7.2667013513884219E-12</c:v>
                </c:pt>
                <c:pt idx="199">
                  <c:v>7.2667013513884219E-12</c:v>
                </c:pt>
                <c:pt idx="200">
                  <c:v>7.2667013513884219E-12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2.0235665383116852</c:v>
                </c:pt>
                <c:pt idx="2">
                  <c:v>3.0867024977715634</c:v>
                </c:pt>
                <c:pt idx="3">
                  <c:v>4.7110107526580478</c:v>
                </c:pt>
                <c:pt idx="4">
                  <c:v>7.1940042239361937</c:v>
                </c:pt>
                <c:pt idx="5">
                  <c:v>10.991567342344238</c:v>
                </c:pt>
                <c:pt idx="6">
                  <c:v>16.802574783745406</c:v>
                </c:pt>
                <c:pt idx="7">
                  <c:v>25.698876311710549</c:v>
                </c:pt>
                <c:pt idx="8">
                  <c:v>39.325044520668669</c:v>
                </c:pt>
                <c:pt idx="9">
                  <c:v>60.205438661070993</c:v>
                </c:pt>
                <c:pt idx="10">
                  <c:v>92.216406531483372</c:v>
                </c:pt>
                <c:pt idx="11">
                  <c:v>107.55037534680612</c:v>
                </c:pt>
                <c:pt idx="12">
                  <c:v>122.83043501507494</c:v>
                </c:pt>
                <c:pt idx="13">
                  <c:v>138.06424881086346</c:v>
                </c:pt>
                <c:pt idx="14">
                  <c:v>153.25764447193231</c:v>
                </c:pt>
                <c:pt idx="15">
                  <c:v>168.41519671250717</c:v>
                </c:pt>
                <c:pt idx="16">
                  <c:v>184.10544096822977</c:v>
                </c:pt>
                <c:pt idx="17">
                  <c:v>199.76443690428414</c:v>
                </c:pt>
                <c:pt idx="18">
                  <c:v>215.39497967713419</c:v>
                </c:pt>
                <c:pt idx="19">
                  <c:v>230.99942524020253</c:v>
                </c:pt>
                <c:pt idx="20">
                  <c:v>246.57978501166019</c:v>
                </c:pt>
                <c:pt idx="21">
                  <c:v>260.24674619967453</c:v>
                </c:pt>
                <c:pt idx="22">
                  <c:v>273.8975001014806</c:v>
                </c:pt>
                <c:pt idx="23">
                  <c:v>287.5329684358918</c:v>
                </c:pt>
                <c:pt idx="24">
                  <c:v>301.15397833147824</c:v>
                </c:pt>
                <c:pt idx="25">
                  <c:v>310.92466816276936</c:v>
                </c:pt>
                <c:pt idx="26">
                  <c:v>320.68854496672662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9.5616949382660383</c:v>
                </c:pt>
                <c:pt idx="2">
                  <c:v>18.705313109464633</c:v>
                </c:pt>
                <c:pt idx="3">
                  <c:v>27.713913471041348</c:v>
                </c:pt>
                <c:pt idx="4">
                  <c:v>36.63928571324923</c:v>
                </c:pt>
                <c:pt idx="5">
                  <c:v>45.504902621489315</c:v>
                </c:pt>
                <c:pt idx="6">
                  <c:v>54.324154052570456</c:v>
                </c:pt>
                <c:pt idx="7">
                  <c:v>63.105671929451027</c:v>
                </c:pt>
                <c:pt idx="8">
                  <c:v>71.855468727259591</c:v>
                </c:pt>
                <c:pt idx="9">
                  <c:v>80.577963691700518</c:v>
                </c:pt>
                <c:pt idx="10">
                  <c:v>89.276536401515969</c:v>
                </c:pt>
                <c:pt idx="11">
                  <c:v>97.953851406261848</c:v>
                </c:pt>
                <c:pt idx="12">
                  <c:v>106.6120610047026</c:v>
                </c:pt>
                <c:pt idx="13">
                  <c:v>115.25293832361577</c:v>
                </c:pt>
                <c:pt idx="14">
                  <c:v>123.87796820488852</c:v>
                </c:pt>
                <c:pt idx="15">
                  <c:v>132.4884113504034</c:v>
                </c:pt>
                <c:pt idx="16">
                  <c:v>141.08535085862869</c:v>
                </c:pt>
                <c:pt idx="17">
                  <c:v>149.66972678860873</c:v>
                </c:pt>
                <c:pt idx="18">
                  <c:v>158.24236235660359</c:v>
                </c:pt>
                <c:pt idx="19">
                  <c:v>166.80398414435732</c:v>
                </c:pt>
                <c:pt idx="20">
                  <c:v>175.35523793162534</c:v>
                </c:pt>
                <c:pt idx="21">
                  <c:v>183.89670127221041</c:v>
                </c:pt>
                <c:pt idx="22">
                  <c:v>192.42889360669196</c:v>
                </c:pt>
                <c:pt idx="23">
                  <c:v>200.95228448450212</c:v>
                </c:pt>
                <c:pt idx="24">
                  <c:v>209.4673003157277</c:v>
                </c:pt>
                <c:pt idx="25">
                  <c:v>217.97432996590248</c:v>
                </c:pt>
                <c:pt idx="26">
                  <c:v>226.47372943043516</c:v>
                </c:pt>
                <c:pt idx="27">
                  <c:v>234.96582576966659</c:v>
                </c:pt>
                <c:pt idx="28">
                  <c:v>243.45092044456825</c:v>
                </c:pt>
                <c:pt idx="29">
                  <c:v>251.92929216251972</c:v>
                </c:pt>
                <c:pt idx="30">
                  <c:v>260.40119931953944</c:v>
                </c:pt>
                <c:pt idx="31">
                  <c:v>268.86688210773553</c:v>
                </c:pt>
                <c:pt idx="32">
                  <c:v>277.32656434318966</c:v>
                </c:pt>
                <c:pt idx="33">
                  <c:v>285.78045505893664</c:v>
                </c:pt>
                <c:pt idx="34">
                  <c:v>294.2287498994304</c:v>
                </c:pt>
                <c:pt idx="35">
                  <c:v>302.67163234634512</c:v>
                </c:pt>
                <c:pt idx="36">
                  <c:v>311.10927480034724</c:v>
                </c:pt>
                <c:pt idx="37">
                  <c:v>319.5418395392914</c:v>
                </c:pt>
                <c:pt idx="38">
                  <c:v>327.96947956991511</c:v>
                </c:pt>
                <c:pt idx="39">
                  <c:v>336.39233938735816</c:v>
                </c:pt>
                <c:pt idx="40">
                  <c:v>344.81055565459184</c:v>
                </c:pt>
                <c:pt idx="41">
                  <c:v>353.2242578119924</c:v>
                </c:pt>
                <c:pt idx="42">
                  <c:v>361.6335686257687</c:v>
                </c:pt>
                <c:pt idx="43">
                  <c:v>288.27072916376034</c:v>
                </c:pt>
                <c:pt idx="44">
                  <c:v>308.62518568141826</c:v>
                </c:pt>
                <c:pt idx="45">
                  <c:v>328.94983583510964</c:v>
                </c:pt>
                <c:pt idx="46">
                  <c:v>349.24677945570858</c:v>
                </c:pt>
                <c:pt idx="47">
                  <c:v>369.51785243596299</c:v>
                </c:pt>
                <c:pt idx="48">
                  <c:v>389.76467286577935</c:v>
                </c:pt>
                <c:pt idx="49">
                  <c:v>409.98867707683922</c:v>
                </c:pt>
                <c:pt idx="50">
                  <c:v>430.19114820235546</c:v>
                </c:pt>
                <c:pt idx="51">
                  <c:v>374.0299946718726</c:v>
                </c:pt>
                <c:pt idx="52">
                  <c:v>394.66558084481431</c:v>
                </c:pt>
                <c:pt idx="53">
                  <c:v>415.27778963859856</c:v>
                </c:pt>
                <c:pt idx="54">
                  <c:v>435.8679438632073</c:v>
                </c:pt>
                <c:pt idx="55">
                  <c:v>456.43723122622731</c:v>
                </c:pt>
                <c:pt idx="56">
                  <c:v>476.98672372207147</c:v>
                </c:pt>
                <c:pt idx="57">
                  <c:v>497.51739350639696</c:v>
                </c:pt>
                <c:pt idx="58">
                  <c:v>518.0301260144621</c:v>
                </c:pt>
                <c:pt idx="59">
                  <c:v>441.33318735024449</c:v>
                </c:pt>
                <c:pt idx="60">
                  <c:v>461.24899603079712</c:v>
                </c:pt>
                <c:pt idx="61">
                  <c:v>481.14646030941248</c:v>
                </c:pt>
                <c:pt idx="62">
                  <c:v>501.02644502286307</c:v>
                </c:pt>
                <c:pt idx="63">
                  <c:v>520.88974082713423</c:v>
                </c:pt>
                <c:pt idx="64">
                  <c:v>540.73707320387359</c:v>
                </c:pt>
                <c:pt idx="65">
                  <c:v>560.56911007631913</c:v>
                </c:pt>
                <c:pt idx="66">
                  <c:v>580.38646829195295</c:v>
                </c:pt>
                <c:pt idx="67">
                  <c:v>492.36159904668904</c:v>
                </c:pt>
                <c:pt idx="68">
                  <c:v>511.40290568116535</c:v>
                </c:pt>
                <c:pt idx="69">
                  <c:v>530.42924301057599</c:v>
                </c:pt>
                <c:pt idx="70">
                  <c:v>549.44122317119627</c:v>
                </c:pt>
                <c:pt idx="71">
                  <c:v>568.43941251314141</c:v>
                </c:pt>
                <c:pt idx="72">
                  <c:v>587.42433647196356</c:v>
                </c:pt>
                <c:pt idx="73">
                  <c:v>606.39648377808339</c:v>
                </c:pt>
                <c:pt idx="74">
                  <c:v>625.35631011236683</c:v>
                </c:pt>
                <c:pt idx="75">
                  <c:v>542.45669606323679</c:v>
                </c:pt>
                <c:pt idx="76">
                  <c:v>561.05440928576149</c:v>
                </c:pt>
                <c:pt idx="77">
                  <c:v>579.63922623081567</c:v>
                </c:pt>
                <c:pt idx="78">
                  <c:v>598.21161828301217</c:v>
                </c:pt>
                <c:pt idx="79">
                  <c:v>616.77202519388391</c:v>
                </c:pt>
                <c:pt idx="80">
                  <c:v>635.3208581120781</c:v>
                </c:pt>
                <c:pt idx="81">
                  <c:v>653.85850224152387</c:v>
                </c:pt>
                <c:pt idx="82">
                  <c:v>672.38531918270314</c:v>
                </c:pt>
                <c:pt idx="83">
                  <c:v>690.90164900267018</c:v>
                </c:pt>
                <c:pt idx="84">
                  <c:v>709.40781207181215</c:v>
                </c:pt>
                <c:pt idx="85">
                  <c:v>595.82145440707143</c:v>
                </c:pt>
                <c:pt idx="86">
                  <c:v>613.55789548994426</c:v>
                </c:pt>
                <c:pt idx="87">
                  <c:v>631.2837063358362</c:v>
                </c:pt>
                <c:pt idx="88">
                  <c:v>648.99922722644521</c:v>
                </c:pt>
                <c:pt idx="89">
                  <c:v>666.70477836698205</c:v>
                </c:pt>
                <c:pt idx="90">
                  <c:v>684.40066158324714</c:v>
                </c:pt>
                <c:pt idx="91">
                  <c:v>702.08716183420108</c:v>
                </c:pt>
                <c:pt idx="92">
                  <c:v>719.76454856432804</c:v>
                </c:pt>
                <c:pt idx="93">
                  <c:v>737.43307691635209</c:v>
                </c:pt>
                <c:pt idx="94">
                  <c:v>755.09298882179371</c:v>
                </c:pt>
                <c:pt idx="95">
                  <c:v>640.33183130100645</c:v>
                </c:pt>
                <c:pt idx="96">
                  <c:v>657.52115573561741</c:v>
                </c:pt>
                <c:pt idx="97">
                  <c:v>674.70122757316892</c:v>
                </c:pt>
                <c:pt idx="98">
                  <c:v>691.87231540164976</c:v>
                </c:pt>
                <c:pt idx="99">
                  <c:v>709.0346734017312</c:v>
                </c:pt>
                <c:pt idx="100">
                  <c:v>726.18854245672571</c:v>
                </c:pt>
                <c:pt idx="101">
                  <c:v>743.33415115230719</c:v>
                </c:pt>
                <c:pt idx="102">
                  <c:v>760.4717166792833</c:v>
                </c:pt>
                <c:pt idx="103">
                  <c:v>777.60144565083658</c:v>
                </c:pt>
                <c:pt idx="104">
                  <c:v>794.72353484408177</c:v>
                </c:pt>
                <c:pt idx="105">
                  <c:v>683.39563744279849</c:v>
                </c:pt>
                <c:pt idx="106">
                  <c:v>700.32340506833361</c:v>
                </c:pt>
                <c:pt idx="107">
                  <c:v>717.24280108580388</c:v>
                </c:pt>
                <c:pt idx="108">
                  <c:v>734.15405061955198</c:v>
                </c:pt>
                <c:pt idx="109">
                  <c:v>751.05736758627074</c:v>
                </c:pt>
                <c:pt idx="110">
                  <c:v>767.95295549779041</c:v>
                </c:pt>
                <c:pt idx="111">
                  <c:v>784.84100818961235</c:v>
                </c:pt>
                <c:pt idx="112">
                  <c:v>801.7217104835396</c:v>
                </c:pt>
                <c:pt idx="113">
                  <c:v>818.59523879165329</c:v>
                </c:pt>
                <c:pt idx="114">
                  <c:v>835.46176166795476</c:v>
                </c:pt>
                <c:pt idx="115">
                  <c:v>733.15686072460585</c:v>
                </c:pt>
                <c:pt idx="116">
                  <c:v>750.18203757377194</c:v>
                </c:pt>
                <c:pt idx="117">
                  <c:v>767.199363469898</c:v>
                </c:pt>
                <c:pt idx="118">
                  <c:v>784.20903691748515</c:v>
                </c:pt>
                <c:pt idx="119">
                  <c:v>801.21124711630875</c:v>
                </c:pt>
                <c:pt idx="120">
                  <c:v>818.20617458978086</c:v>
                </c:pt>
                <c:pt idx="121">
                  <c:v>835.19399175844899</c:v>
                </c:pt>
                <c:pt idx="122">
                  <c:v>852.17486346445639</c:v>
                </c:pt>
                <c:pt idx="123">
                  <c:v>869.14894745207482</c:v>
                </c:pt>
                <c:pt idx="124">
                  <c:v>886.1163948087933</c:v>
                </c:pt>
                <c:pt idx="125">
                  <c:v>791.63883779902199</c:v>
                </c:pt>
                <c:pt idx="126">
                  <c:v>808.80371461740867</c:v>
                </c:pt>
                <c:pt idx="127">
                  <c:v>825.96124536678508</c:v>
                </c:pt>
                <c:pt idx="128">
                  <c:v>843.1116039792995</c:v>
                </c:pt>
                <c:pt idx="129">
                  <c:v>860.25495674174408</c:v>
                </c:pt>
                <c:pt idx="130">
                  <c:v>877.39146278036435</c:v>
                </c:pt>
                <c:pt idx="131">
                  <c:v>894.52127450587011</c:v>
                </c:pt>
                <c:pt idx="132">
                  <c:v>911.64453802262517</c:v>
                </c:pt>
                <c:pt idx="133">
                  <c:v>928.76139350553524</c:v>
                </c:pt>
                <c:pt idx="134">
                  <c:v>945.87197554774275</c:v>
                </c:pt>
                <c:pt idx="135">
                  <c:v>846.57269862596866</c:v>
                </c:pt>
                <c:pt idx="136">
                  <c:v>863.90366853717831</c:v>
                </c:pt>
                <c:pt idx="137">
                  <c:v>881.22767358744534</c:v>
                </c:pt>
                <c:pt idx="138">
                  <c:v>898.54486982875926</c:v>
                </c:pt>
                <c:pt idx="139">
                  <c:v>915.85540681479506</c:v>
                </c:pt>
                <c:pt idx="140">
                  <c:v>933.15942799170989</c:v>
                </c:pt>
                <c:pt idx="141">
                  <c:v>950.45707105848317</c:v>
                </c:pt>
                <c:pt idx="142">
                  <c:v>967.74846829969408</c:v>
                </c:pt>
                <c:pt idx="143">
                  <c:v>985.03374689331122</c:v>
                </c:pt>
                <c:pt idx="144">
                  <c:v>1002.3130291957826</c:v>
                </c:pt>
                <c:pt idx="145">
                  <c:v>901.23767646995248</c:v>
                </c:pt>
                <c:pt idx="146">
                  <c:v>918.89929586045457</c:v>
                </c:pt>
                <c:pt idx="147">
                  <c:v>936.55415722524458</c:v>
                </c:pt>
                <c:pt idx="148">
                  <c:v>954.20240574592299</c:v>
                </c:pt>
                <c:pt idx="149">
                  <c:v>971.84418080275736</c:v>
                </c:pt>
                <c:pt idx="150">
                  <c:v>989.47961630972395</c:v>
                </c:pt>
                <c:pt idx="151">
                  <c:v>1007.108841024456</c:v>
                </c:pt>
                <c:pt idx="152">
                  <c:v>1024.7319788353882</c:v>
                </c:pt>
                <c:pt idx="153">
                  <c:v>1042.349149028156</c:v>
                </c:pt>
                <c:pt idx="154">
                  <c:v>1059.9604665330687</c:v>
                </c:pt>
                <c:pt idx="155">
                  <c:v>961.1178977893378</c:v>
                </c:pt>
                <c:pt idx="156">
                  <c:v>979.00714902772279</c:v>
                </c:pt>
                <c:pt idx="157">
                  <c:v>996.88993412159937</c:v>
                </c:pt>
                <c:pt idx="158">
                  <c:v>1014.7663852488846</c:v>
                </c:pt>
                <c:pt idx="159">
                  <c:v>1032.6366295572141</c:v>
                </c:pt>
                <c:pt idx="160">
                  <c:v>1050.5007894408673</c:v>
                </c:pt>
                <c:pt idx="161">
                  <c:v>1068.3589827979044</c:v>
                </c:pt>
                <c:pt idx="162">
                  <c:v>1086.211323269242</c:v>
                </c:pt>
                <c:pt idx="163">
                  <c:v>1104.0579204612179</c:v>
                </c:pt>
                <c:pt idx="164">
                  <c:v>1121.8988801530404</c:v>
                </c:pt>
                <c:pt idx="165">
                  <c:v>1013.9704095406892</c:v>
                </c:pt>
                <c:pt idx="166">
                  <c:v>1032.0589003654065</c:v>
                </c:pt>
                <c:pt idx="167">
                  <c:v>1050.1411534158851</c:v>
                </c:pt>
                <c:pt idx="168">
                  <c:v>1068.2172910777583</c:v>
                </c:pt>
                <c:pt idx="169">
                  <c:v>1086.2874312629961</c:v>
                </c:pt>
                <c:pt idx="170">
                  <c:v>1104.3516876466244</c:v>
                </c:pt>
                <c:pt idx="171">
                  <c:v>1122.4101698871759</c:v>
                </c:pt>
                <c:pt idx="172">
                  <c:v>1140.4629838322371</c:v>
                </c:pt>
                <c:pt idx="173">
                  <c:v>1158.510231710324</c:v>
                </c:pt>
                <c:pt idx="174">
                  <c:v>1176.5520123102044</c:v>
                </c:pt>
                <c:pt idx="175">
                  <c:v>732.67672240369313</c:v>
                </c:pt>
                <c:pt idx="176">
                  <c:v>744.15284084631367</c:v>
                </c:pt>
                <c:pt idx="177">
                  <c:v>755.62535991176446</c:v>
                </c:pt>
                <c:pt idx="178">
                  <c:v>516.39182276754491</c:v>
                </c:pt>
                <c:pt idx="179">
                  <c:v>523.38068013229065</c:v>
                </c:pt>
                <c:pt idx="180">
                  <c:v>530.36757109014115</c:v>
                </c:pt>
                <c:pt idx="181">
                  <c:v>367.24151226883578</c:v>
                </c:pt>
                <c:pt idx="182">
                  <c:v>371.46425432265534</c:v>
                </c:pt>
                <c:pt idx="183">
                  <c:v>375.68594961378062</c:v>
                </c:pt>
                <c:pt idx="184">
                  <c:v>1.1507534481029384E-11</c:v>
                </c:pt>
                <c:pt idx="185">
                  <c:v>1.1507534481029384E-11</c:v>
                </c:pt>
                <c:pt idx="186">
                  <c:v>1.1507534481029384E-11</c:v>
                </c:pt>
                <c:pt idx="187">
                  <c:v>1.1507534481029384E-11</c:v>
                </c:pt>
                <c:pt idx="188">
                  <c:v>1.1507534481029384E-11</c:v>
                </c:pt>
                <c:pt idx="189">
                  <c:v>1.1507534481029384E-11</c:v>
                </c:pt>
                <c:pt idx="190">
                  <c:v>1.1507534481029384E-11</c:v>
                </c:pt>
                <c:pt idx="191">
                  <c:v>1.1507534481029384E-11</c:v>
                </c:pt>
                <c:pt idx="192">
                  <c:v>1.1507534481029384E-11</c:v>
                </c:pt>
                <c:pt idx="193">
                  <c:v>1.1507534481029384E-11</c:v>
                </c:pt>
                <c:pt idx="194">
                  <c:v>1.1507534481029384E-11</c:v>
                </c:pt>
                <c:pt idx="195">
                  <c:v>1.1507534481029384E-11</c:v>
                </c:pt>
                <c:pt idx="196">
                  <c:v>1.1507534481029384E-11</c:v>
                </c:pt>
                <c:pt idx="197">
                  <c:v>1.1507534481029384E-11</c:v>
                </c:pt>
                <c:pt idx="198">
                  <c:v>1.1507534481029384E-11</c:v>
                </c:pt>
                <c:pt idx="199">
                  <c:v>1.1507534481029384E-11</c:v>
                </c:pt>
                <c:pt idx="200">
                  <c:v>1.1507534481029384E-11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1.897949520393645</c:v>
                </c:pt>
                <c:pt idx="2">
                  <c:v>2.8948413716417249</c:v>
                </c:pt>
                <c:pt idx="3">
                  <c:v>4.4178160743020367</c:v>
                </c:pt>
                <c:pt idx="4">
                  <c:v>6.7457228972415457</c:v>
                </c:pt>
                <c:pt idx="5">
                  <c:v>10.305817910611822</c:v>
                </c:pt>
                <c:pt idx="6">
                  <c:v>15.753043999635855</c:v>
                </c:pt>
                <c:pt idx="7">
                  <c:v>24.091807695472088</c:v>
                </c:pt>
                <c:pt idx="8">
                  <c:v>36.863103147176993</c:v>
                </c:pt>
                <c:pt idx="9">
                  <c:v>56.432154324684745</c:v>
                </c:pt>
                <c:pt idx="10">
                  <c:v>86.430727179849029</c:v>
                </c:pt>
                <c:pt idx="11">
                  <c:v>100.80009849767515</c:v>
                </c:pt>
                <c:pt idx="12">
                  <c:v>115.1186409136285</c:v>
                </c:pt>
                <c:pt idx="13">
                  <c:v>129.39357984032668</c:v>
                </c:pt>
                <c:pt idx="14">
                  <c:v>143.6304100319434</c:v>
                </c:pt>
                <c:pt idx="15">
                  <c:v>157.8334448140121</c:v>
                </c:pt>
                <c:pt idx="16">
                  <c:v>172.53542828094487</c:v>
                </c:pt>
                <c:pt idx="17">
                  <c:v>187.20794888561957</c:v>
                </c:pt>
                <c:pt idx="18">
                  <c:v>201.85364207566207</c:v>
                </c:pt>
                <c:pt idx="19">
                  <c:v>216.47472919071288</c:v>
                </c:pt>
                <c:pt idx="20">
                  <c:v>231.07310672111598</c:v>
                </c:pt>
                <c:pt idx="21">
                  <c:v>243.87857241474671</c:v>
                </c:pt>
                <c:pt idx="22">
                  <c:v>256.66875686937948</c:v>
                </c:pt>
                <c:pt idx="23">
                  <c:v>269.44452913892604</c:v>
                </c:pt>
                <c:pt idx="24">
                  <c:v>282.20666909172456</c:v>
                </c:pt>
                <c:pt idx="25">
                  <c:v>291.36121983413398</c:v>
                </c:pt>
                <c:pt idx="26">
                  <c:v>300.50934682998599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à partir de la 6e année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  <threadedComment ref="E49" dT="2024-11-27T17:07:34.75" personId="{44BC7BF0-8157-4572-8E12-7E0C99523682}" id="{ADAB524F-EA78-48F9-90A1-30463D8A4463}">
    <text>A recopier sur toutes les essences.
Correspond aux frais fixes d’entretien mécanique + répulsif gibier</text>
  </threadedComment>
  <threadedComment ref="E50" dT="2024-11-27T17:08:05.48" personId="{44BC7BF0-8157-4572-8E12-7E0C99523682}" id="{803A87BB-8364-40C0-9519-F19D0B308B24}">
    <text xml:space="preserve">A recopier sur toutes les essences
Correspond aux frais fixes entretien manuel + répulsif gibier + regarnis
</text>
  </threadedComment>
  <threadedComment ref="E51" dT="2024-11-27T17:07:34.75" personId="{44BC7BF0-8157-4572-8E12-7E0C99523682}" id="{6A647EF5-4514-4C56-8623-DFA38F164C96}">
    <text>A recopier sur toutes les essences.
Correspond aux frais fixes d’entretien mécanique + répulsif gibier</text>
  </threadedComment>
  <threadedComment ref="E80" dT="2024-11-27T17:07:34.75" personId="{44BC7BF0-8157-4572-8E12-7E0C99523682}" id="{90D0DDE6-3B75-45A3-9B93-8CFC0C16E5C7}">
    <text>A recopier sur toutes les essences.
Correspond aux frais fixes d’entretien mécanique + répulsif gibier</text>
  </threadedComment>
  <threadedComment ref="E81" dT="2024-11-27T17:08:05.48" personId="{44BC7BF0-8157-4572-8E12-7E0C99523682}" id="{5264431B-7BCD-431A-9C8D-DE7DF08D3882}">
    <text xml:space="preserve">A recopier sur toutes les essences
Correspond aux frais fixes entretien manuel + répulsif gibier + regarnis
</text>
  </threadedComment>
  <threadedComment ref="E82" dT="2024-11-27T17:07:34.75" personId="{44BC7BF0-8157-4572-8E12-7E0C99523682}" id="{44F18F2D-7DCB-4AEE-B560-189E52AAF056}">
    <text>A recopier sur toutes les essences.
Correspond aux frais fixes d’entretien mécanique + répulsif gibier</text>
  </threadedComment>
  <threadedComment ref="E111" dT="2024-11-27T17:07:34.75" personId="{44BC7BF0-8157-4572-8E12-7E0C99523682}" id="{2EB48755-BFCE-4644-91CA-668DBC1A73D8}">
    <text>A recopier sur toutes les essences.
Correspond aux frais fixes d’entretien mécanique + répulsif gibier</text>
  </threadedComment>
  <threadedComment ref="E112" dT="2024-11-27T17:08:05.48" personId="{44BC7BF0-8157-4572-8E12-7E0C99523682}" id="{F8F8919A-0174-4B0A-BFC5-01D40104AD90}">
    <text xml:space="preserve">A recopier sur toutes les essences
Correspond aux frais fixes entretien manuel + répulsif gibier + regarnis
</text>
  </threadedComment>
  <threadedComment ref="E113" dT="2024-11-27T17:07:34.75" personId="{44BC7BF0-8157-4572-8E12-7E0C99523682}" id="{96D2EA83-C16F-4DDF-9B71-10375C6903FB}">
    <text>A recopier sur toutes les essences.
Correspond aux frais fixes d’entretien mécanique + répulsif gibier</text>
  </threadedComment>
  <threadedComment ref="E142" dT="2024-11-27T17:07:34.75" personId="{44BC7BF0-8157-4572-8E12-7E0C99523682}" id="{48F0C696-C7F5-4431-B70A-B4DDB2DE725F}">
    <text>A recopier sur toutes les essences.
Correspond aux frais fixes d’entretien mécanique + répulsif gibier</text>
  </threadedComment>
  <threadedComment ref="E143" dT="2024-11-27T17:08:05.48" personId="{44BC7BF0-8157-4572-8E12-7E0C99523682}" id="{37C81479-9053-462F-A22C-CBD6892A30C5}">
    <text xml:space="preserve">A recopier sur toutes les essences
Correspond aux frais fixes entretien manuel + répulsif gibier + regarnis
</text>
  </threadedComment>
  <threadedComment ref="E144" dT="2024-11-27T17:07:34.75" personId="{44BC7BF0-8157-4572-8E12-7E0C99523682}" id="{6FC53EFC-E69A-4BB7-8699-6BFA79A106F8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5" t="s">
        <v>291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">
      <c r="B18" s="265" t="s">
        <v>292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" zoomScale="80" zoomScaleNormal="80" workbookViewId="0">
      <selection activeCell="E14" sqref="E14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70" t="s">
        <v>190</v>
      </c>
      <c r="D1" s="270"/>
      <c r="E1" s="27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1" t="s">
        <v>192</v>
      </c>
      <c r="C3" s="272"/>
      <c r="D3" s="272"/>
      <c r="E3" s="272"/>
      <c r="F3" s="273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6" t="s">
        <v>231</v>
      </c>
      <c r="B5" s="276"/>
      <c r="C5" s="24">
        <v>22.8</v>
      </c>
      <c r="D5" s="277" t="s">
        <v>229</v>
      </c>
      <c r="E5" s="278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5" t="s">
        <v>226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35</v>
      </c>
      <c r="C9" s="32">
        <v>0.67400000000000004</v>
      </c>
      <c r="D9" s="33">
        <f t="shared" ref="D9:D18" si="0">C9*$C$5</f>
        <v>15.367200000000002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164</v>
      </c>
      <c r="C10" s="32">
        <v>0.1105</v>
      </c>
      <c r="D10" s="33">
        <f t="shared" si="0"/>
        <v>2.5194000000000001</v>
      </c>
      <c r="E10" s="34">
        <v>131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112</v>
      </c>
      <c r="C11" s="32">
        <v>7.85E-2</v>
      </c>
      <c r="D11" s="33">
        <f t="shared" si="0"/>
        <v>1.7898000000000001</v>
      </c>
      <c r="E11" s="34">
        <v>26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12</v>
      </c>
      <c r="C12" s="32">
        <v>5.7979999999999997E-2</v>
      </c>
      <c r="D12" s="33">
        <f t="shared" si="0"/>
        <v>1.321944</v>
      </c>
      <c r="E12" s="34">
        <v>183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116</v>
      </c>
      <c r="C13" s="32">
        <v>7.85E-2</v>
      </c>
      <c r="D13" s="33">
        <f t="shared" si="0"/>
        <v>1.7898000000000001</v>
      </c>
      <c r="E13" s="34">
        <v>26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0.99948000000000015</v>
      </c>
      <c r="D19" s="38">
        <f>SUM(D9:D18)</f>
        <v>22.788143999999999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4" t="s">
        <v>232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5" t="s">
        <v>227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laricio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6" t="s">
        <v>186</v>
      </c>
      <c r="D34" s="266"/>
      <c r="E34" s="267" t="s">
        <v>187</v>
      </c>
      <c r="F34" s="268"/>
      <c r="G34" s="268"/>
      <c r="H34" s="269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22</v>
      </c>
      <c r="B36" s="258">
        <v>129.07</v>
      </c>
      <c r="C36" s="258">
        <v>1</v>
      </c>
      <c r="D36" s="259">
        <v>52.41</v>
      </c>
      <c r="E36" s="260">
        <v>0.1</v>
      </c>
      <c r="F36" s="260">
        <v>0.8</v>
      </c>
      <c r="G36" s="260">
        <v>0</v>
      </c>
      <c r="H36" s="260">
        <v>0.1</v>
      </c>
      <c r="I36" s="49">
        <f>IFERROR(B36/A36,"")</f>
        <v>5.8668181818181813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1">
        <v>27</v>
      </c>
      <c r="B37" s="262">
        <v>155.49</v>
      </c>
      <c r="C37" s="262">
        <v>2</v>
      </c>
      <c r="D37" s="262">
        <v>37.840000000000003</v>
      </c>
      <c r="E37" s="263">
        <v>0.1</v>
      </c>
      <c r="F37" s="263">
        <v>0.8</v>
      </c>
      <c r="G37" s="263">
        <v>0</v>
      </c>
      <c r="H37" s="263">
        <v>0.1</v>
      </c>
      <c r="I37" s="53">
        <f t="shared" ref="I37:I55" si="1">IF(A37&lt;&gt;0,(B37-(B36-D36))/(A37-A36),"")</f>
        <v>15.766000000000002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1">
        <v>33</v>
      </c>
      <c r="B38" s="262">
        <v>217.34</v>
      </c>
      <c r="C38" s="262">
        <v>3</v>
      </c>
      <c r="D38" s="262">
        <v>50.41</v>
      </c>
      <c r="E38" s="263">
        <v>0.3</v>
      </c>
      <c r="F38" s="263">
        <v>0.5</v>
      </c>
      <c r="G38" s="263">
        <v>0</v>
      </c>
      <c r="H38" s="263">
        <v>0.2</v>
      </c>
      <c r="I38" s="53">
        <f t="shared" si="1"/>
        <v>16.614999999999998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1">
        <v>41</v>
      </c>
      <c r="B39" s="262">
        <v>300.54000000000002</v>
      </c>
      <c r="C39" s="262">
        <v>4</v>
      </c>
      <c r="D39" s="262">
        <v>72.13</v>
      </c>
      <c r="E39" s="263">
        <v>0.3</v>
      </c>
      <c r="F39" s="263">
        <v>0.5</v>
      </c>
      <c r="G39" s="263">
        <v>0</v>
      </c>
      <c r="H39" s="263">
        <v>0.2</v>
      </c>
      <c r="I39" s="49">
        <f t="shared" si="1"/>
        <v>16.701250000000002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1">
        <v>50</v>
      </c>
      <c r="B40" s="262">
        <v>369.94</v>
      </c>
      <c r="C40" s="262">
        <v>5</v>
      </c>
      <c r="D40" s="262">
        <v>70.2</v>
      </c>
      <c r="E40" s="263">
        <v>0.3</v>
      </c>
      <c r="F40" s="263">
        <v>0.5</v>
      </c>
      <c r="G40" s="263">
        <v>0</v>
      </c>
      <c r="H40" s="263">
        <v>0.2</v>
      </c>
      <c r="I40" s="49">
        <f t="shared" si="1"/>
        <v>15.725555555555552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1">
        <v>60</v>
      </c>
      <c r="B41" s="262">
        <v>440.94</v>
      </c>
      <c r="C41" s="262">
        <v>6</v>
      </c>
      <c r="D41" s="262">
        <v>69.849999999999994</v>
      </c>
      <c r="E41" s="263">
        <v>0.7</v>
      </c>
      <c r="F41" s="263">
        <v>0.3</v>
      </c>
      <c r="G41" s="263">
        <v>0</v>
      </c>
      <c r="H41" s="263">
        <v>0</v>
      </c>
      <c r="I41" s="53">
        <f t="shared" si="1"/>
        <v>14.12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1">
        <v>70</v>
      </c>
      <c r="B42" s="262">
        <v>490.06</v>
      </c>
      <c r="C42" s="262">
        <v>7</v>
      </c>
      <c r="D42" s="262">
        <v>67.88</v>
      </c>
      <c r="E42" s="263">
        <v>0.7</v>
      </c>
      <c r="F42" s="263">
        <v>0.3</v>
      </c>
      <c r="G42" s="263">
        <v>0</v>
      </c>
      <c r="H42" s="263">
        <v>0</v>
      </c>
      <c r="I42" s="53">
        <f t="shared" si="1"/>
        <v>11.896999999999997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1">
        <v>80</v>
      </c>
      <c r="B43" s="262">
        <v>520</v>
      </c>
      <c r="C43" s="262">
        <v>8</v>
      </c>
      <c r="D43" s="262">
        <v>520</v>
      </c>
      <c r="E43" s="263">
        <v>0.7</v>
      </c>
      <c r="F43" s="263">
        <v>0.3</v>
      </c>
      <c r="G43" s="263">
        <v>0</v>
      </c>
      <c r="H43" s="263">
        <v>0</v>
      </c>
      <c r="I43" s="49">
        <f t="shared" si="1"/>
        <v>9.782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1"/>
      <c r="B44" s="262"/>
      <c r="C44" s="262"/>
      <c r="D44" s="262"/>
      <c r="E44" s="263"/>
      <c r="F44" s="263"/>
      <c r="G44" s="263"/>
      <c r="H44" s="263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1"/>
      <c r="B45" s="262"/>
      <c r="C45" s="262"/>
      <c r="D45" s="262"/>
      <c r="E45" s="263"/>
      <c r="F45" s="263"/>
      <c r="G45" s="263"/>
      <c r="H45" s="263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1"/>
      <c r="B46" s="262"/>
      <c r="C46" s="262"/>
      <c r="D46" s="262"/>
      <c r="E46" s="263"/>
      <c r="F46" s="263"/>
      <c r="G46" s="263"/>
      <c r="H46" s="263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1"/>
      <c r="B47" s="262"/>
      <c r="C47" s="262"/>
      <c r="D47" s="262"/>
      <c r="E47" s="263"/>
      <c r="F47" s="263"/>
      <c r="G47" s="263"/>
      <c r="H47" s="263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1"/>
      <c r="B48" s="262"/>
      <c r="C48" s="262"/>
      <c r="D48" s="262"/>
      <c r="E48" s="263"/>
      <c r="F48" s="263"/>
      <c r="G48" s="263"/>
      <c r="H48" s="263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1"/>
      <c r="B49" s="262"/>
      <c r="C49" s="262"/>
      <c r="D49" s="262"/>
      <c r="E49" s="263"/>
      <c r="F49" s="263"/>
      <c r="G49" s="263"/>
      <c r="H49" s="263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2"/>
      <c r="C50" s="262"/>
      <c r="D50" s="262"/>
      <c r="E50" s="263"/>
      <c r="F50" s="263"/>
      <c r="G50" s="263"/>
      <c r="H50" s="263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2"/>
      <c r="C51" s="262"/>
      <c r="D51" s="262"/>
      <c r="E51" s="263"/>
      <c r="F51" s="263"/>
      <c r="G51" s="263"/>
      <c r="H51" s="263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2"/>
      <c r="C52" s="262"/>
      <c r="D52" s="262"/>
      <c r="E52" s="263"/>
      <c r="F52" s="263"/>
      <c r="G52" s="263"/>
      <c r="H52" s="263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2"/>
      <c r="C53" s="262"/>
      <c r="D53" s="262"/>
      <c r="E53" s="263"/>
      <c r="F53" s="263"/>
      <c r="G53" s="263"/>
      <c r="H53" s="263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6" t="s">
        <v>186</v>
      </c>
      <c r="D60" s="266"/>
      <c r="E60" s="267" t="s">
        <v>187</v>
      </c>
      <c r="F60" s="268"/>
      <c r="G60" s="268"/>
      <c r="H60" s="269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51</v>
      </c>
      <c r="B62" s="60">
        <v>390.67</v>
      </c>
      <c r="C62" s="60">
        <v>1</v>
      </c>
      <c r="D62" s="60">
        <v>171.3</v>
      </c>
      <c r="E62" s="51">
        <v>0.7</v>
      </c>
      <c r="F62" s="51">
        <v>0.3</v>
      </c>
      <c r="G62" s="51">
        <v>0</v>
      </c>
      <c r="H62" s="51">
        <v>0</v>
      </c>
      <c r="I62" s="53">
        <f>IFERROR(B62/A62,"")</f>
        <v>7.6601960784313725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61</v>
      </c>
      <c r="B63" s="60">
        <v>348.21</v>
      </c>
      <c r="C63" s="60">
        <v>2</v>
      </c>
      <c r="D63" s="60">
        <v>100.2</v>
      </c>
      <c r="E63" s="51">
        <v>0.7</v>
      </c>
      <c r="F63" s="51">
        <v>0.3</v>
      </c>
      <c r="G63" s="51">
        <v>0</v>
      </c>
      <c r="H63" s="51">
        <v>0</v>
      </c>
      <c r="I63" s="49">
        <f>IF(A63&lt;&gt;0,(B63-(B62-D62))/(A63-A62),"")</f>
        <v>12.883999999999997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73</v>
      </c>
      <c r="B64" s="60">
        <v>390.43</v>
      </c>
      <c r="C64" s="60">
        <v>3</v>
      </c>
      <c r="D64" s="60">
        <v>102.1</v>
      </c>
      <c r="E64" s="51">
        <v>0.7</v>
      </c>
      <c r="F64" s="51">
        <v>0.3</v>
      </c>
      <c r="G64" s="51">
        <v>0</v>
      </c>
      <c r="H64" s="51">
        <v>0</v>
      </c>
      <c r="I64" s="49">
        <f>IF(A64&lt;&gt;0,(B64-(B63-D63))/(A64-A63),"")</f>
        <v>11.868333333333334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85</v>
      </c>
      <c r="B65" s="60">
        <v>420.16</v>
      </c>
      <c r="C65" s="60">
        <v>4</v>
      </c>
      <c r="D65" s="60">
        <v>94.69</v>
      </c>
      <c r="E65" s="51">
        <v>0.7</v>
      </c>
      <c r="F65" s="51">
        <v>0.3</v>
      </c>
      <c r="G65" s="51">
        <v>0</v>
      </c>
      <c r="H65" s="51">
        <v>0</v>
      </c>
      <c r="I65" s="49">
        <f>IF(A65&lt;&gt;0,(B65-(B64-D64))/(A65-A64),"")</f>
        <v>10.985833333333332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97</v>
      </c>
      <c r="B66" s="60">
        <v>446.19</v>
      </c>
      <c r="C66" s="60">
        <v>5</v>
      </c>
      <c r="D66" s="60">
        <v>89.6</v>
      </c>
      <c r="E66" s="51">
        <v>0.7</v>
      </c>
      <c r="F66" s="51">
        <v>0.3</v>
      </c>
      <c r="G66" s="51">
        <v>0</v>
      </c>
      <c r="H66" s="51">
        <v>0</v>
      </c>
      <c r="I66" s="49">
        <f t="shared" ref="I66:I81" si="2">IF(A66&lt;&gt;0,(B66-(B65-D65))/(A66-A65),"")</f>
        <v>10.059999999999997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109</v>
      </c>
      <c r="B67" s="60">
        <v>465.16</v>
      </c>
      <c r="C67" s="60">
        <v>6</v>
      </c>
      <c r="D67" s="60">
        <v>91.09</v>
      </c>
      <c r="E67" s="51">
        <v>0.7</v>
      </c>
      <c r="F67" s="51">
        <v>0.3</v>
      </c>
      <c r="G67" s="51">
        <v>0</v>
      </c>
      <c r="H67" s="51">
        <v>0</v>
      </c>
      <c r="I67" s="49">
        <f t="shared" si="2"/>
        <v>9.0474999999999994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121</v>
      </c>
      <c r="B68" s="60">
        <v>471.22</v>
      </c>
      <c r="C68" s="60">
        <v>7</v>
      </c>
      <c r="D68" s="60">
        <v>233.54</v>
      </c>
      <c r="E68" s="51">
        <v>0.7</v>
      </c>
      <c r="F68" s="51">
        <v>0.3</v>
      </c>
      <c r="G68" s="51">
        <v>0</v>
      </c>
      <c r="H68" s="51">
        <v>0</v>
      </c>
      <c r="I68" s="49">
        <f t="shared" si="2"/>
        <v>8.0958333333333314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131</v>
      </c>
      <c r="B69" s="50">
        <v>294.08999999999997</v>
      </c>
      <c r="C69" s="50">
        <v>8</v>
      </c>
      <c r="D69" s="50">
        <v>294.08999999999997</v>
      </c>
      <c r="E69" s="51">
        <v>0.7</v>
      </c>
      <c r="F69" s="51">
        <v>0.3</v>
      </c>
      <c r="G69" s="51">
        <v>0</v>
      </c>
      <c r="H69" s="51">
        <v>0</v>
      </c>
      <c r="I69" s="49">
        <f t="shared" si="2"/>
        <v>5.6409999999999938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Peuplier Koster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6" t="s">
        <v>186</v>
      </c>
      <c r="D86" s="266"/>
      <c r="E86" s="267" t="s">
        <v>187</v>
      </c>
      <c r="F86" s="268"/>
      <c r="G86" s="268"/>
      <c r="H86" s="269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10</v>
      </c>
      <c r="B88" s="60">
        <v>80.128205128205124</v>
      </c>
      <c r="C88" s="60">
        <v>1</v>
      </c>
      <c r="D88" s="60">
        <v>0</v>
      </c>
      <c r="E88" s="51">
        <v>0.75</v>
      </c>
      <c r="F88" s="51">
        <v>0.2</v>
      </c>
      <c r="G88" s="51">
        <v>0</v>
      </c>
      <c r="H88" s="87">
        <v>0.05</v>
      </c>
      <c r="I88" s="53">
        <f>IFERROR(B88/A88,"")</f>
        <v>8.0128205128205128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15</v>
      </c>
      <c r="B89" s="60">
        <v>148.7179487179487</v>
      </c>
      <c r="C89" s="60">
        <v>2</v>
      </c>
      <c r="D89" s="60">
        <v>0</v>
      </c>
      <c r="E89" s="51">
        <v>0.75</v>
      </c>
      <c r="F89" s="51">
        <v>0.2</v>
      </c>
      <c r="G89" s="51">
        <v>0</v>
      </c>
      <c r="H89" s="87">
        <v>0.05</v>
      </c>
      <c r="I89" s="53">
        <f t="shared" ref="I89:I107" si="3">IF(A89&lt;&gt;0,(B89-(B88-D88))/(A89-A88),"")</f>
        <v>13.717948717948715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20</v>
      </c>
      <c r="B90" s="60">
        <v>219.87179487179486</v>
      </c>
      <c r="C90" s="60">
        <v>3</v>
      </c>
      <c r="D90" s="60">
        <v>0</v>
      </c>
      <c r="E90" s="87">
        <v>0.75</v>
      </c>
      <c r="F90" s="87">
        <v>0.2</v>
      </c>
      <c r="G90" s="87">
        <v>0</v>
      </c>
      <c r="H90" s="87">
        <v>0.05</v>
      </c>
      <c r="I90" s="53">
        <f t="shared" si="3"/>
        <v>14.230769230769232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22</v>
      </c>
      <c r="B91" s="60">
        <v>244.87179487179486</v>
      </c>
      <c r="C91" s="60">
        <v>4</v>
      </c>
      <c r="D91" s="60">
        <v>0</v>
      </c>
      <c r="E91" s="87">
        <v>0.75</v>
      </c>
      <c r="F91" s="87">
        <v>0.2</v>
      </c>
      <c r="G91" s="87">
        <v>0</v>
      </c>
      <c r="H91" s="87">
        <v>0.05</v>
      </c>
      <c r="I91" s="53">
        <f t="shared" si="3"/>
        <v>12.5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24</v>
      </c>
      <c r="B92" s="60">
        <v>269.87179487179486</v>
      </c>
      <c r="C92" s="60">
        <v>5</v>
      </c>
      <c r="D92" s="60">
        <v>0</v>
      </c>
      <c r="E92" s="87">
        <v>0.75</v>
      </c>
      <c r="F92" s="87">
        <v>0.2</v>
      </c>
      <c r="G92" s="87">
        <v>0</v>
      </c>
      <c r="H92" s="87">
        <v>0.05</v>
      </c>
      <c r="I92" s="53">
        <f t="shared" si="3"/>
        <v>12.5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26</v>
      </c>
      <c r="B93" s="60">
        <v>287.82051282051282</v>
      </c>
      <c r="C93" s="60">
        <v>6</v>
      </c>
      <c r="D93" s="60">
        <v>287.82051282051282</v>
      </c>
      <c r="E93" s="87">
        <v>0.75</v>
      </c>
      <c r="F93" s="87">
        <v>0.2</v>
      </c>
      <c r="G93" s="87">
        <v>0</v>
      </c>
      <c r="H93" s="87">
        <v>0.05</v>
      </c>
      <c r="I93" s="53">
        <f t="shared" si="3"/>
        <v>8.974358974358978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pubescent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6" t="s">
        <v>186</v>
      </c>
      <c r="D112" s="266"/>
      <c r="E112" s="267" t="s">
        <v>187</v>
      </c>
      <c r="F112" s="268"/>
      <c r="G112" s="268"/>
      <c r="H112" s="269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42</v>
      </c>
      <c r="B114" s="60">
        <v>163.26</v>
      </c>
      <c r="C114" s="50">
        <v>1</v>
      </c>
      <c r="D114" s="60">
        <v>43.21</v>
      </c>
      <c r="E114" s="51">
        <v>0.3</v>
      </c>
      <c r="F114" s="51">
        <v>0</v>
      </c>
      <c r="G114" s="51">
        <v>0</v>
      </c>
      <c r="H114" s="51">
        <v>0.7</v>
      </c>
      <c r="I114" s="53">
        <f>IFERROR(B114/A114,"")</f>
        <v>3.887142857142857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50</v>
      </c>
      <c r="B115" s="60">
        <v>195.02</v>
      </c>
      <c r="C115" s="50">
        <v>2</v>
      </c>
      <c r="D115" s="60">
        <v>35.58</v>
      </c>
      <c r="E115" s="51">
        <v>0.3</v>
      </c>
      <c r="F115" s="51">
        <v>0</v>
      </c>
      <c r="G115" s="51">
        <v>0</v>
      </c>
      <c r="H115" s="51">
        <v>0.7</v>
      </c>
      <c r="I115" s="53">
        <f t="shared" ref="I115:I133" si="4">IF(A115&lt;&gt;0,(B115-(B114-D114))/(A115-A114),"")</f>
        <v>9.3712500000000034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58</v>
      </c>
      <c r="B116" s="60">
        <v>235.87</v>
      </c>
      <c r="C116" s="50">
        <v>3</v>
      </c>
      <c r="D116" s="60">
        <v>44.93</v>
      </c>
      <c r="E116" s="51">
        <v>0.3</v>
      </c>
      <c r="F116" s="51">
        <v>0</v>
      </c>
      <c r="G116" s="51">
        <v>0</v>
      </c>
      <c r="H116" s="51">
        <v>0.7</v>
      </c>
      <c r="I116" s="53">
        <f t="shared" si="4"/>
        <v>9.5537500000000009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66</v>
      </c>
      <c r="B117" s="60">
        <v>264.95999999999998</v>
      </c>
      <c r="C117" s="50">
        <v>4</v>
      </c>
      <c r="D117" s="60">
        <v>49.91</v>
      </c>
      <c r="E117" s="51">
        <v>0.6</v>
      </c>
      <c r="F117" s="51">
        <v>0</v>
      </c>
      <c r="G117" s="51">
        <v>0</v>
      </c>
      <c r="H117" s="51">
        <v>0.4</v>
      </c>
      <c r="I117" s="53">
        <f t="shared" si="4"/>
        <v>9.2524999999999977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74</v>
      </c>
      <c r="B118" s="60">
        <v>285.98</v>
      </c>
      <c r="C118" s="50">
        <v>5</v>
      </c>
      <c r="D118" s="60">
        <v>47.4</v>
      </c>
      <c r="E118" s="51">
        <v>0.6</v>
      </c>
      <c r="F118" s="51">
        <v>0</v>
      </c>
      <c r="G118" s="51">
        <v>0</v>
      </c>
      <c r="H118" s="51">
        <v>0.4</v>
      </c>
      <c r="I118" s="53">
        <f t="shared" si="4"/>
        <v>8.8662500000000044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84</v>
      </c>
      <c r="B119" s="60">
        <v>325.35000000000002</v>
      </c>
      <c r="C119" s="50">
        <v>6</v>
      </c>
      <c r="D119" s="60">
        <v>61.47</v>
      </c>
      <c r="E119" s="51">
        <v>0.6</v>
      </c>
      <c r="F119" s="51">
        <v>0</v>
      </c>
      <c r="G119" s="51">
        <v>0</v>
      </c>
      <c r="H119" s="51">
        <v>0.4</v>
      </c>
      <c r="I119" s="53">
        <f t="shared" si="4"/>
        <v>8.6770000000000014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94</v>
      </c>
      <c r="B120" s="60">
        <v>346.79</v>
      </c>
      <c r="C120" s="60">
        <v>7</v>
      </c>
      <c r="D120" s="60">
        <v>61.85</v>
      </c>
      <c r="E120" s="87">
        <v>0.6</v>
      </c>
      <c r="F120" s="87">
        <v>0</v>
      </c>
      <c r="G120" s="87">
        <v>0</v>
      </c>
      <c r="H120" s="87">
        <v>0.4</v>
      </c>
      <c r="I120" s="53">
        <f t="shared" si="4"/>
        <v>8.2910000000000021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104</v>
      </c>
      <c r="B121" s="60">
        <v>365.41</v>
      </c>
      <c r="C121" s="60">
        <v>8</v>
      </c>
      <c r="D121" s="60">
        <v>60.19</v>
      </c>
      <c r="E121" s="87">
        <v>0.6</v>
      </c>
      <c r="F121" s="87">
        <v>0</v>
      </c>
      <c r="G121" s="87">
        <v>0</v>
      </c>
      <c r="H121" s="87">
        <v>0.4</v>
      </c>
      <c r="I121" s="53">
        <f t="shared" si="4"/>
        <v>8.0470000000000024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114</v>
      </c>
      <c r="B122" s="60">
        <v>384.57</v>
      </c>
      <c r="C122" s="60">
        <v>9</v>
      </c>
      <c r="D122" s="60">
        <v>56.07</v>
      </c>
      <c r="E122" s="87">
        <v>0.6</v>
      </c>
      <c r="F122" s="87">
        <v>0</v>
      </c>
      <c r="G122" s="87">
        <v>0</v>
      </c>
      <c r="H122" s="87">
        <v>0.4</v>
      </c>
      <c r="I122" s="53">
        <f t="shared" si="4"/>
        <v>7.9349999999999969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124</v>
      </c>
      <c r="B123" s="60">
        <v>408.42</v>
      </c>
      <c r="C123" s="60">
        <v>10</v>
      </c>
      <c r="D123" s="60">
        <v>52.53</v>
      </c>
      <c r="E123" s="87">
        <v>0.6</v>
      </c>
      <c r="F123" s="87">
        <v>0</v>
      </c>
      <c r="G123" s="87">
        <v>0</v>
      </c>
      <c r="H123" s="87">
        <v>0.4</v>
      </c>
      <c r="I123" s="53">
        <f t="shared" si="4"/>
        <v>7.9920000000000018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134</v>
      </c>
      <c r="B124" s="60">
        <v>436.59</v>
      </c>
      <c r="C124" s="60">
        <v>11</v>
      </c>
      <c r="D124" s="60">
        <v>54.95</v>
      </c>
      <c r="E124" s="87">
        <v>0.6</v>
      </c>
      <c r="F124" s="87">
        <v>0</v>
      </c>
      <c r="G124" s="87">
        <v>0</v>
      </c>
      <c r="H124" s="87">
        <v>0.4</v>
      </c>
      <c r="I124" s="53">
        <f t="shared" si="4"/>
        <v>8.0699999999999985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144</v>
      </c>
      <c r="B125" s="60">
        <v>463.23</v>
      </c>
      <c r="C125" s="60">
        <v>12</v>
      </c>
      <c r="D125" s="60">
        <v>56.01</v>
      </c>
      <c r="E125" s="87">
        <v>0.6</v>
      </c>
      <c r="F125" s="87">
        <v>0</v>
      </c>
      <c r="G125" s="87">
        <v>0</v>
      </c>
      <c r="H125" s="87">
        <v>0.4</v>
      </c>
      <c r="I125" s="53">
        <f t="shared" si="4"/>
        <v>8.1590000000000025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154</v>
      </c>
      <c r="B126" s="60">
        <v>490.47</v>
      </c>
      <c r="C126" s="60">
        <v>13</v>
      </c>
      <c r="D126" s="60">
        <v>55.13</v>
      </c>
      <c r="E126" s="65">
        <v>0.6</v>
      </c>
      <c r="F126" s="65">
        <v>0</v>
      </c>
      <c r="G126" s="65">
        <v>0</v>
      </c>
      <c r="H126" s="65">
        <v>0.4</v>
      </c>
      <c r="I126" s="53">
        <f t="shared" si="4"/>
        <v>8.3249999999999993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164</v>
      </c>
      <c r="B127" s="60">
        <v>519.77</v>
      </c>
      <c r="C127" s="60">
        <v>14</v>
      </c>
      <c r="D127" s="60">
        <v>59.58</v>
      </c>
      <c r="E127" s="65">
        <v>0.6</v>
      </c>
      <c r="F127" s="65">
        <v>0</v>
      </c>
      <c r="G127" s="65">
        <v>0</v>
      </c>
      <c r="H127" s="65">
        <v>0.4</v>
      </c>
      <c r="I127" s="53">
        <f t="shared" si="4"/>
        <v>8.4429999999999943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174</v>
      </c>
      <c r="B128" s="50">
        <v>545.65</v>
      </c>
      <c r="C128" s="50">
        <v>15</v>
      </c>
      <c r="D128" s="50">
        <v>214.77</v>
      </c>
      <c r="E128" s="54">
        <v>0.6</v>
      </c>
      <c r="F128" s="54">
        <v>0</v>
      </c>
      <c r="G128" s="54">
        <v>0</v>
      </c>
      <c r="H128" s="54">
        <v>0.4</v>
      </c>
      <c r="I128" s="53">
        <f t="shared" si="4"/>
        <v>8.5459999999999976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177</v>
      </c>
      <c r="B129" s="50">
        <v>347.04</v>
      </c>
      <c r="C129" s="50">
        <v>16</v>
      </c>
      <c r="D129" s="50">
        <v>115.19</v>
      </c>
      <c r="E129" s="54">
        <v>0.6</v>
      </c>
      <c r="F129" s="54">
        <v>0</v>
      </c>
      <c r="G129" s="54">
        <v>0</v>
      </c>
      <c r="H129" s="54">
        <v>0.4</v>
      </c>
      <c r="I129" s="53">
        <f t="shared" si="4"/>
        <v>5.3866666666666747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>
        <v>180</v>
      </c>
      <c r="B130" s="50">
        <v>241.62</v>
      </c>
      <c r="C130" s="50">
        <v>17</v>
      </c>
      <c r="D130" s="50">
        <v>77.72</v>
      </c>
      <c r="E130" s="54">
        <v>0.6</v>
      </c>
      <c r="F130" s="54">
        <v>0</v>
      </c>
      <c r="G130" s="54">
        <v>0</v>
      </c>
      <c r="H130" s="54">
        <v>0.4</v>
      </c>
      <c r="I130" s="53">
        <f t="shared" si="4"/>
        <v>3.2566666666666606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>
        <v>183</v>
      </c>
      <c r="B131" s="50">
        <v>169.76</v>
      </c>
      <c r="C131" s="50">
        <v>18</v>
      </c>
      <c r="D131" s="50">
        <v>169.76</v>
      </c>
      <c r="E131" s="54">
        <v>0.6</v>
      </c>
      <c r="F131" s="54">
        <v>0</v>
      </c>
      <c r="G131" s="54">
        <v>0</v>
      </c>
      <c r="H131" s="54">
        <v>0.4</v>
      </c>
      <c r="I131" s="53">
        <f t="shared" si="4"/>
        <v>1.9533333333333285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Peuplier Polargo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6" t="s">
        <v>186</v>
      </c>
      <c r="D138" s="266"/>
      <c r="E138" s="267" t="s">
        <v>187</v>
      </c>
      <c r="F138" s="268"/>
      <c r="G138" s="268"/>
      <c r="H138" s="269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10</v>
      </c>
      <c r="B140" s="60">
        <v>80.128205128205124</v>
      </c>
      <c r="C140" s="50">
        <v>1</v>
      </c>
      <c r="D140" s="60">
        <v>0</v>
      </c>
      <c r="E140" s="51">
        <v>0.75</v>
      </c>
      <c r="F140" s="51">
        <v>0.2</v>
      </c>
      <c r="G140" s="51">
        <v>0</v>
      </c>
      <c r="H140" s="51">
        <v>0.05</v>
      </c>
      <c r="I140" s="57">
        <f>IFERROR(B140/A140,"")</f>
        <v>8.0128205128205128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15</v>
      </c>
      <c r="B141" s="60">
        <v>148.7179487179487</v>
      </c>
      <c r="C141" s="50">
        <v>2</v>
      </c>
      <c r="D141" s="60">
        <v>0</v>
      </c>
      <c r="E141" s="51">
        <v>0.75</v>
      </c>
      <c r="F141" s="51">
        <v>0.2</v>
      </c>
      <c r="G141" s="51">
        <v>0</v>
      </c>
      <c r="H141" s="51">
        <v>0.05</v>
      </c>
      <c r="I141" s="57">
        <f t="shared" ref="I141:I159" si="5">IF(A141&lt;&gt;0,(B141-(B140-D140))/(A141-A140),"")</f>
        <v>13.717948717948715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20</v>
      </c>
      <c r="B142" s="60">
        <v>219.87179487179486</v>
      </c>
      <c r="C142" s="50">
        <v>3</v>
      </c>
      <c r="D142" s="60">
        <v>0</v>
      </c>
      <c r="E142" s="51">
        <v>0.75</v>
      </c>
      <c r="F142" s="51">
        <v>0.2</v>
      </c>
      <c r="G142" s="51">
        <v>0</v>
      </c>
      <c r="H142" s="51">
        <v>0.05</v>
      </c>
      <c r="I142" s="57">
        <f t="shared" si="5"/>
        <v>14.230769230769232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22</v>
      </c>
      <c r="B143" s="60">
        <v>244.87179487179486</v>
      </c>
      <c r="C143" s="50">
        <v>4</v>
      </c>
      <c r="D143" s="60">
        <v>0</v>
      </c>
      <c r="E143" s="51">
        <v>0.75</v>
      </c>
      <c r="F143" s="51">
        <v>0.2</v>
      </c>
      <c r="G143" s="51">
        <v>0</v>
      </c>
      <c r="H143" s="51">
        <v>0.05</v>
      </c>
      <c r="I143" s="57">
        <f t="shared" si="5"/>
        <v>12.5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24</v>
      </c>
      <c r="B144" s="60">
        <v>269.87179487179486</v>
      </c>
      <c r="C144" s="50">
        <v>5</v>
      </c>
      <c r="D144" s="60">
        <v>0</v>
      </c>
      <c r="E144" s="51">
        <v>0.75</v>
      </c>
      <c r="F144" s="51">
        <v>0.2</v>
      </c>
      <c r="G144" s="51">
        <v>0</v>
      </c>
      <c r="H144" s="51">
        <v>0.05</v>
      </c>
      <c r="I144" s="57">
        <f t="shared" si="5"/>
        <v>12.5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26</v>
      </c>
      <c r="B145" s="60">
        <v>287.82051282051282</v>
      </c>
      <c r="C145" s="50">
        <v>6</v>
      </c>
      <c r="D145" s="60">
        <v>287.82051282051282</v>
      </c>
      <c r="E145" s="51">
        <v>0.75</v>
      </c>
      <c r="F145" s="51">
        <v>0.2</v>
      </c>
      <c r="G145" s="51">
        <v>0</v>
      </c>
      <c r="H145" s="51">
        <v>0.05</v>
      </c>
      <c r="I145" s="57">
        <f t="shared" si="5"/>
        <v>8.974358974358978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6" t="s">
        <v>186</v>
      </c>
      <c r="D164" s="266"/>
      <c r="E164" s="267" t="s">
        <v>187</v>
      </c>
      <c r="F164" s="268"/>
      <c r="G164" s="268"/>
      <c r="H164" s="269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6" t="s">
        <v>186</v>
      </c>
      <c r="D190" s="266"/>
      <c r="E190" s="267" t="s">
        <v>187</v>
      </c>
      <c r="F190" s="268"/>
      <c r="G190" s="268"/>
      <c r="H190" s="269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6" t="s">
        <v>186</v>
      </c>
      <c r="D216" s="266"/>
      <c r="E216" s="267" t="s">
        <v>187</v>
      </c>
      <c r="F216" s="268"/>
      <c r="G216" s="268"/>
      <c r="H216" s="269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6" t="s">
        <v>186</v>
      </c>
      <c r="D242" s="266"/>
      <c r="E242" s="267" t="s">
        <v>187</v>
      </c>
      <c r="F242" s="268"/>
      <c r="G242" s="268"/>
      <c r="H242" s="269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6" t="s">
        <v>186</v>
      </c>
      <c r="D268" s="266"/>
      <c r="E268" s="267" t="s">
        <v>187</v>
      </c>
      <c r="F268" s="268"/>
      <c r="G268" s="268"/>
      <c r="H268" s="269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7" sqref="B7:C1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0" t="s">
        <v>191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0.72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0.28000000000000003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6" t="s">
        <v>176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Pin laricio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Cèdre de l'Atlas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Peuplier Koster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>Chêne pubescent</v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>Peuplier Polargo</v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/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3.5999999999999996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13.199999999999998</v>
      </c>
      <c r="H3" s="67">
        <f>(B3+E3+F3)*44/12+(C3+D3)*0.475*44/12</f>
        <v>203.86666666666667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52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190.66666666666666</v>
      </c>
      <c r="S3" s="59">
        <f ca="1">AVERAGE(OFFSET($R$3,0,0,'Données projet'!$E$9+1,1))-AVERAGE(OFFSET($H$3,0,0,'Données projet'!$E$9+1,1))</f>
        <v>366.78396742205962</v>
      </c>
      <c r="T3" s="59">
        <f>IF('Données projet'!E9&gt;30,$R$33-$H$33,LOOKUP('Données projet'!$E$9,$A$3:$A$203,R3:R203)-LOOKUP('Données projet'!$E$9,$A$3:$A$203,$H$3:$H$203))</f>
        <v>271.89887525994988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52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190.66666666666666</v>
      </c>
      <c r="AN3" s="59">
        <f ca="1">AVERAGE(OFFSET($AM$3,0,0,'Données projet'!$E$10+1,1))-AVERAGE(OFFSET($H$3,0,0,'Données projet'!$E$10+1,1))</f>
        <v>360.04137410460385</v>
      </c>
      <c r="AO3" s="59">
        <f>IF('Données projet'!E10&gt;30,$AM$33-$H$33,LOOKUP('Données projet'!$E$10,$A$3:$A$203,AM3:AM203)-LOOKUP('Données projet'!$E$10,$A$3:$A$203,$H$3:$H$203))</f>
        <v>287.81656468701829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52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190.66666666666666</v>
      </c>
      <c r="BI3" s="59">
        <f ca="1">AVERAGE(OFFSET($BH$3,0,0,'Données projet'!$E$11+1,1))-AVERAGE(OFFSET($H$3,0,0,'Données projet'!$E$11+1,1))</f>
        <v>155.76430449447392</v>
      </c>
      <c r="BJ3" s="59">
        <f>IF('Données projet'!E11&gt;30,$BH$33-$H$33,LOOKUP('Données projet'!$E$11,$A$3:$A$203,BH3:BH203)-LOOKUP('Données projet'!$E$11,$A$3:$A$203,$H$3:$H$203))</f>
        <v>363.39275685992129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52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190.66666666666666</v>
      </c>
      <c r="CD3" s="59">
        <f ca="1">AVERAGE(OFFSET($CC$3,0,0,'Données projet'!$E$12+1,1))-AVERAGE(OFFSET($H$3,0,0,'Données projet'!$E$12+1,1))</f>
        <v>679.4570479719705</v>
      </c>
      <c r="CE3" s="59">
        <f>IF('Données projet'!E12&gt;30,$CC$33-$H$33,LOOKUP('Données projet'!$E$12,$A$3:$A$203,CC3:CC203)-LOOKUP('Données projet'!$E$12,$A$3:$A$203,$H$3:$H$203))</f>
        <v>310.8252119379963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52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190.66666666666666</v>
      </c>
      <c r="CY3" s="59">
        <f ca="1">AVERAGE(OFFSET($CX$3,0,0,'Données projet'!$E$13+1,1))-AVERAGE(OFFSET($H$3,0,0,'Données projet'!$E$13+1,1))</f>
        <v>146.95547268081216</v>
      </c>
      <c r="CZ3" s="59">
        <f>IF('Données projet'!E13&gt;30,$CX$33-$H$33,LOOKUP('Données projet'!$E$13,$A$3:$A$203,CX3:CX203)-LOOKUP('Données projet'!$E$13,$A$3:$A$203,$H$3:$H$203))</f>
        <v>343.21355872318065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52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52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52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52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52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3.5999999999999996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13.199999999999998</v>
      </c>
      <c r="H4" s="67">
        <f t="shared" ref="H4:H67" si="1">(B4+E4+F4)*44/12+(C4+D4)*0.475*44/12</f>
        <v>203.86666666666667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52.312259758028681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5.8668181818181813</v>
      </c>
      <c r="N4" s="13">
        <f>IF('Données projet'!$A$36&gt;35,N3+M4-V3,IF(A4&lt;'Données projet'!$A$36,$K$205^A4,IF(A4='Données projet'!$A$36,'Données projet'!$B$36,N3+M4-V3)))</f>
        <v>1.2472301622014093</v>
      </c>
      <c r="O4" s="13">
        <f>N4*VLOOKUP('Données projet'!$B$9,Paramètres!$A$1:$I$89,3,0)*VLOOKUP('Données projet'!$B$9,Paramètres!$A$1:$I$89,5,0)</f>
        <v>0.74584363699644274</v>
      </c>
      <c r="P4" s="13">
        <f>EXP(-1.0587+0.8836*LN(O4)+0.284)</f>
        <v>0.35565068640491565</v>
      </c>
      <c r="Q4" s="20">
        <f t="shared" ref="Q4:Q34" si="2">(O4+P4)*0.475*44/12</f>
        <v>1.918435946590699</v>
      </c>
      <c r="R4" s="59">
        <f t="shared" si="0"/>
        <v>194.95227728158474</v>
      </c>
      <c r="S4" s="59">
        <f ca="1">AVERAGE(OFFSET($R$3,0,0,'Données projet'!$E$9+1,1))-AVERAGE(OFFSET($H$3,0,0,'Données projet'!$E$9+1,1))</f>
        <v>366.78396742205962</v>
      </c>
      <c r="T4" s="59">
        <f>$T$3</f>
        <v>271.89887525994988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52.312259758028681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7.6601960784313725</v>
      </c>
      <c r="AI4" s="13">
        <f>IF('Données projet'!$A$62&gt;35,AI3+AH4-AQ3,IF(A4&lt;'Données projet'!$A$62,$AF$205^A4,IF(A4='Données projet'!$A$62,'Données projet'!$B$62,AI3+AH4-AQ3)))</f>
        <v>7.6601960784313725</v>
      </c>
      <c r="AJ4" s="13">
        <f>AI4*VLOOKUP('Données projet'!$B$10,Paramètres!$A$1:$I$89,3,0)*VLOOKUP('Données projet'!$B$10,Paramètres!$A$1:$I$89,5,0)</f>
        <v>3.5849717647058821</v>
      </c>
      <c r="AK4" s="13">
        <f>EXP(-1.0587+0.8836*LN(AJ4)+0.284)</f>
        <v>1.4239530307926282</v>
      </c>
      <c r="AL4" s="20">
        <f t="shared" ref="AL4:AL67" si="4">(AJ4+AK4)*0.475*44/12</f>
        <v>8.7238773521599047</v>
      </c>
      <c r="AM4" s="59">
        <f t="shared" ref="AM4:AM67" si="5">AL4+(AD4+AE4)*44/12</f>
        <v>201.75771868715395</v>
      </c>
      <c r="AN4" s="59">
        <f ca="1">AVERAGE(OFFSET($AM$3,0,0,'Données projet'!$E$10+1,1))-AVERAGE(OFFSET($H$3,0,0,'Données projet'!$E$10+1,1))</f>
        <v>360.04137410460385</v>
      </c>
      <c r="AO4" s="59">
        <f>$AO$3</f>
        <v>287.81656468701829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52.312259758028681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8.0128205128205128</v>
      </c>
      <c r="BD4" s="12">
        <f>IF('Données projet'!$A$88&gt;35,BD3+BC4-BL3,IF(A4&lt;'Données projet'!$A$88,$BA$205^A4,IF(A4='Données projet'!$A$88,'Données projet'!$B$88,BD3+BC4-BL3)))</f>
        <v>1.5501671930596579</v>
      </c>
      <c r="BE4" s="13">
        <f>BD4*VLOOKUP('Données projet'!$B$11,Paramètres!$A$1:$I$89,3,0)*VLOOKUP('Données projet'!$B$11,Paramètres!$A$1:$I$89,5,0)</f>
        <v>0.78835302770241966</v>
      </c>
      <c r="BF4" s="13">
        <f>EXP(-1.0587+0.8836*LN(BE4)+0.284)</f>
        <v>0.3735033579310838</v>
      </c>
      <c r="BG4" s="20">
        <f t="shared" ref="BG4:BG67" si="7">(BE4+BF4)*0.475*44/12</f>
        <v>2.0235665383116852</v>
      </c>
      <c r="BH4" s="59">
        <f t="shared" ref="BH4:BH67" si="8">BG4+(AY4+AZ4)*44/12</f>
        <v>195.05740787330572</v>
      </c>
      <c r="BI4" s="59">
        <f ca="1">AVERAGE(OFFSET($BH$3,0,0,'Données projet'!$E$11+1,1))-AVERAGE(OFFSET($H$3,0,0,'Données projet'!$E$11+1,1))</f>
        <v>155.76430449447392</v>
      </c>
      <c r="BJ4" s="59">
        <f>$BJ$3</f>
        <v>363.39275685992129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52.312259758028681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3.887142857142857</v>
      </c>
      <c r="BY4" s="12">
        <f>IF('Données projet'!$A$114&gt;35,BY3+BX4-CG3,IF(A4&lt;'Données projet'!$A$114,$BV$205^A4,IF(A4='Données projet'!$A$114,'Données projet'!$B$114,BY3+BX4-CG3)))</f>
        <v>3.887142857142857</v>
      </c>
      <c r="BZ4" s="13">
        <f>BY4*VLOOKUP('Données projet'!$B$12,Paramètres!$A$1:$I$89,3,0)*VLOOKUP('Données projet'!$B$12,Paramètres!$A$1:$I$89,5,0)</f>
        <v>3.9415628571428569</v>
      </c>
      <c r="CA4" s="13">
        <f>EXP(-1.0587+0.8836*LN(BZ4)+0.284)</f>
        <v>1.5484055284644385</v>
      </c>
      <c r="CB4" s="20">
        <f t="shared" ref="CB4:CB67" si="10">(BZ4+CA4)*0.475*44/12</f>
        <v>9.5616949382660383</v>
      </c>
      <c r="CC4" s="59">
        <f t="shared" ref="CC4:CC67" si="11">CB4+(BT4+BU4)*44/12</f>
        <v>202.59553627326008</v>
      </c>
      <c r="CD4" s="59">
        <f ca="1">AVERAGE(OFFSET($CC$3,0,0,'Données projet'!$E$12+1,1))-AVERAGE(OFFSET($H$3,0,0,'Données projet'!$E$12+1,1))</f>
        <v>679.4570479719705</v>
      </c>
      <c r="CE4" s="59">
        <f>$CE$3</f>
        <v>310.8252119379963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52.312259758028681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8.0128205128205128</v>
      </c>
      <c r="CT4" s="12">
        <f>IF('Données projet'!$A$140&gt;35,CT3+CS4-DB3,IF(A4&lt;'Données projet'!$A$140,$CQ$205^A4,IF(A4='Données projet'!$A$140,'Données projet'!$B$140,CT3+CS4-DB3)))</f>
        <v>1.5501671930596579</v>
      </c>
      <c r="CU4" s="17">
        <f>CT4*VLOOKUP('Données projet'!$B$13,Paramètres!$A$1:$I$89,3,0)*VLOOKUP('Données projet'!$B$13,Paramètres!$A$1:$I$89,5,0)</f>
        <v>0.73756955045778516</v>
      </c>
      <c r="CV4" s="13">
        <f>EXP(-1.0587+0.8836*LN(CU4)+0.284)</f>
        <v>0.35216223158641285</v>
      </c>
      <c r="CW4" s="20">
        <f t="shared" ref="CW4:CW67" si="13">(CU4+CV4)*0.475*44/12</f>
        <v>1.897949520393645</v>
      </c>
      <c r="CX4" s="59">
        <f t="shared" ref="CX4:CX67" si="14">CW4+(CO4+CP4)*44/12</f>
        <v>194.93179085538767</v>
      </c>
      <c r="CY4" s="59">
        <f ca="1">AVERAGE(OFFSET($CX$3,0,0,'Données projet'!$E$13+1,1))-AVERAGE(OFFSET($H$3,0,0,'Données projet'!$E$13+1,1))</f>
        <v>146.95547268081216</v>
      </c>
      <c r="CZ4" s="59">
        <f>$CZ$3</f>
        <v>343.21355872318065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52.312259758028681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52.312259758028681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52.312259758028681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52.312259758028681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52.312259758028681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3.5999999999999996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13.199999999999998</v>
      </c>
      <c r="H5" s="67">
        <f t="shared" si="1"/>
        <v>203.86666666666667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52.619102507363799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5.8668181818181813</v>
      </c>
      <c r="N5" s="13">
        <f>IF('Données projet'!$A$36&gt;35,N4+M5-V4,IF(A5&lt;'Données projet'!$A$36,$K$205^A5,IF(A5='Données projet'!$A$36,'Données projet'!$B$36,N4+M5-V4)))</f>
        <v>1.5555830775049537</v>
      </c>
      <c r="O5" s="13">
        <f>N5*VLOOKUP('Données projet'!$B$9,Paramètres!$A$1:$I$89,3,0)*VLOOKUP('Données projet'!$B$9,Paramètres!$A$1:$I$89,5,0)</f>
        <v>0.93023868034796242</v>
      </c>
      <c r="P5" s="13">
        <f t="shared" ref="P5:P68" si="33">EXP(-1.0587+0.8836*LN(O5)+0.284)</f>
        <v>0.43231675887518456</v>
      </c>
      <c r="Q5" s="20">
        <f t="shared" si="2"/>
        <v>2.373117389980314</v>
      </c>
      <c r="R5" s="59">
        <f t="shared" si="0"/>
        <v>197.75427102809198</v>
      </c>
      <c r="S5" s="59">
        <f ca="1">AVERAGE(OFFSET($R$3,0,0,'Données projet'!$E$9+1,1))-AVERAGE(OFFSET($H$3,0,0,'Données projet'!$E$9+1,1))</f>
        <v>366.78396742205962</v>
      </c>
      <c r="T5" s="59">
        <f t="shared" ref="T5:T68" si="34">$T$3</f>
        <v>271.89887525994988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52.619102507363799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7.6601960784313725</v>
      </c>
      <c r="AI5" s="13">
        <f>IF('Données projet'!$A$62&gt;35,AI4+AH5-AQ4,IF(A5&lt;'Données projet'!$A$62,$AF$205^A5,IF(A5='Données projet'!$A$62,'Données projet'!$B$62,AI4+AH5-AQ4)))</f>
        <v>15.320392156862745</v>
      </c>
      <c r="AJ5" s="13">
        <f>AI5*VLOOKUP('Données projet'!$B$10,Paramètres!$A$1:$I$89,3,0)*VLOOKUP('Données projet'!$B$10,Paramètres!$A$1:$I$89,5,0)</f>
        <v>7.1699435294117642</v>
      </c>
      <c r="AK5" s="13">
        <f t="shared" ref="AK5:AK68" si="35">EXP(-1.0587+0.8836*LN(AJ5)+0.284)</f>
        <v>2.6271554349706712</v>
      </c>
      <c r="AL5" s="20">
        <f t="shared" si="4"/>
        <v>17.063280696299408</v>
      </c>
      <c r="AM5" s="59">
        <f t="shared" si="5"/>
        <v>212.44443433441108</v>
      </c>
      <c r="AN5" s="59">
        <f ca="1">AVERAGE(OFFSET($AM$3,0,0,'Données projet'!$E$10+1,1))-AVERAGE(OFFSET($H$3,0,0,'Données projet'!$E$10+1,1))</f>
        <v>360.04137410460385</v>
      </c>
      <c r="AO5" s="59">
        <f t="shared" ref="AO5:AO68" si="36">$AO$3</f>
        <v>287.81656468701829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52.619102507363799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8.0128205128205128</v>
      </c>
      <c r="BD5" s="12">
        <f>IF('Données projet'!$A$88&gt;35,BD4+BC5-BL4,IF(A5&lt;'Données projet'!$A$88,$BA$205^A5,IF(A5='Données projet'!$A$88,'Données projet'!$B$88,BD4+BC5-BL4)))</f>
        <v>2.4030183264384588</v>
      </c>
      <c r="BE5" s="13">
        <f>BD5*VLOOKUP('Données projet'!$B$11,Paramètres!$A$1:$I$89,3,0)*VLOOKUP('Données projet'!$B$11,Paramètres!$A$1:$I$89,5,0)</f>
        <v>1.2220790000935426</v>
      </c>
      <c r="BF5" s="13">
        <f t="shared" ref="BF5:BF68" si="37">EXP(-1.0587+0.8836*LN(BE5)+0.284)</f>
        <v>0.55019037661740311</v>
      </c>
      <c r="BG5" s="20">
        <f t="shared" si="7"/>
        <v>3.0867024977715634</v>
      </c>
      <c r="BH5" s="59">
        <f t="shared" si="8"/>
        <v>198.46785613588324</v>
      </c>
      <c r="BI5" s="59">
        <f ca="1">AVERAGE(OFFSET($BH$3,0,0,'Données projet'!$E$11+1,1))-AVERAGE(OFFSET($H$3,0,0,'Données projet'!$E$11+1,1))</f>
        <v>155.76430449447392</v>
      </c>
      <c r="BJ5" s="59">
        <f t="shared" ref="BJ5:BJ68" si="38">$BJ$3</f>
        <v>363.39275685992129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52.619102507363799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3.887142857142857</v>
      </c>
      <c r="BY5" s="12">
        <f>IF('Données projet'!$A$114&gt;35,BY4+BX5-CG4,IF(A5&lt;'Données projet'!$A$114,$BV$205^A5,IF(A5='Données projet'!$A$114,'Données projet'!$B$114,BY4+BX5-CG4)))</f>
        <v>7.774285714285714</v>
      </c>
      <c r="BZ5" s="13">
        <f>BY5*VLOOKUP('Données projet'!$B$12,Paramètres!$A$1:$I$89,3,0)*VLOOKUP('Données projet'!$B$12,Paramètres!$A$1:$I$89,5,0)</f>
        <v>7.8831257142857138</v>
      </c>
      <c r="CA5" s="13">
        <f t="shared" ref="CA5:CA68" si="39">EXP(-1.0587+0.8836*LN(BZ5)+0.284)</f>
        <v>2.8567669801437421</v>
      </c>
      <c r="CB5" s="20">
        <f t="shared" si="10"/>
        <v>18.705313109464633</v>
      </c>
      <c r="CC5" s="59">
        <f t="shared" si="11"/>
        <v>214.08646674757631</v>
      </c>
      <c r="CD5" s="59">
        <f ca="1">AVERAGE(OFFSET($CC$3,0,0,'Données projet'!$E$12+1,1))-AVERAGE(OFFSET($H$3,0,0,'Données projet'!$E$12+1,1))</f>
        <v>679.4570479719705</v>
      </c>
      <c r="CE5" s="59">
        <f t="shared" ref="CE5:CE68" si="40">$CE$3</f>
        <v>310.8252119379963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52.619102507363799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8.0128205128205128</v>
      </c>
      <c r="CT5" s="12">
        <f>IF('Données projet'!$A$140&gt;35,CT4+CS5-DB4,IF(A5&lt;'Données projet'!$A$140,$CQ$205^A5,IF(A5='Données projet'!$A$140,'Données projet'!$B$140,CT4+CS5-DB4)))</f>
        <v>2.4030183264384588</v>
      </c>
      <c r="CU5" s="17">
        <f>CT5*VLOOKUP('Données projet'!$B$13,Paramètres!$A$1:$I$89,3,0)*VLOOKUP('Données projet'!$B$13,Paramètres!$A$1:$I$89,5,0)</f>
        <v>1.1433561197194189</v>
      </c>
      <c r="CV5" s="13">
        <f t="shared" ref="CV5:CV68" si="41">EXP(-1.0587+0.8836*LN(CU5)+0.284)</f>
        <v>0.51875375873516005</v>
      </c>
      <c r="CW5" s="20">
        <f t="shared" si="13"/>
        <v>2.8948413716417249</v>
      </c>
      <c r="CX5" s="59">
        <f t="shared" si="14"/>
        <v>198.27599500975339</v>
      </c>
      <c r="CY5" s="59">
        <f ca="1">AVERAGE(OFFSET($CX$3,0,0,'Données projet'!$E$13+1,1))-AVERAGE(OFFSET($H$3,0,0,'Données projet'!$E$13+1,1))</f>
        <v>146.95547268081216</v>
      </c>
      <c r="CZ5" s="59">
        <f t="shared" ref="CZ5:CZ68" si="42">$CZ$3</f>
        <v>343.21355872318065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52.619102507363799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52.619102507363799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52.619102507363799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52.619102507363799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52.619102507363799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3.5999999999999996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13.199999999999998</v>
      </c>
      <c r="H6" s="67">
        <f t="shared" si="1"/>
        <v>203.86666666666667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52.920622220995575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5.8668181818181813</v>
      </c>
      <c r="N6" s="13">
        <f>IF('Données projet'!$A$36&gt;35,N5+M6-V5,IF(A6&lt;'Données projet'!$A$36,$K$205^A6,IF(A6='Données projet'!$A$36,'Données projet'!$B$36,N5+M6-V5)))</f>
        <v>1.9401701340742707</v>
      </c>
      <c r="O6" s="13">
        <f>N6*VLOOKUP('Données projet'!$B$9,Paramètres!$A$1:$I$89,3,0)*VLOOKUP('Données projet'!$B$9,Paramètres!$A$1:$I$89,5,0)</f>
        <v>1.1602217401764139</v>
      </c>
      <c r="P6" s="13">
        <f t="shared" si="33"/>
        <v>0.52550940332379237</v>
      </c>
      <c r="Q6" s="20">
        <f t="shared" si="2"/>
        <v>2.9359817415961924</v>
      </c>
      <c r="R6" s="59">
        <f t="shared" si="0"/>
        <v>200.64492988524663</v>
      </c>
      <c r="S6" s="59">
        <f ca="1">AVERAGE(OFFSET($R$3,0,0,'Données projet'!$E$9+1,1))-AVERAGE(OFFSET($H$3,0,0,'Données projet'!$E$9+1,1))</f>
        <v>366.78396742205962</v>
      </c>
      <c r="T6" s="59">
        <f t="shared" si="34"/>
        <v>271.89887525994988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52.920622220995575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7.6601960784313725</v>
      </c>
      <c r="AI6" s="13">
        <f>IF('Données projet'!$A$62&gt;35,AI5+AH6-AQ5,IF(A6&lt;'Données projet'!$A$62,$AF$205^A6,IF(A6='Données projet'!$A$62,'Données projet'!$B$62,AI5+AH6-AQ5)))</f>
        <v>22.980588235294118</v>
      </c>
      <c r="AJ6" s="13">
        <f>AI6*VLOOKUP('Données projet'!$B$10,Paramètres!$A$1:$I$89,3,0)*VLOOKUP('Données projet'!$B$10,Paramètres!$A$1:$I$89,5,0)</f>
        <v>10.754915294117646</v>
      </c>
      <c r="AK6" s="13">
        <f t="shared" si="35"/>
        <v>3.7590664677404781</v>
      </c>
      <c r="AL6" s="20">
        <f t="shared" si="4"/>
        <v>25.278518235236231</v>
      </c>
      <c r="AM6" s="59">
        <f t="shared" si="5"/>
        <v>222.98746637888667</v>
      </c>
      <c r="AN6" s="59">
        <f ca="1">AVERAGE(OFFSET($AM$3,0,0,'Données projet'!$E$10+1,1))-AVERAGE(OFFSET($H$3,0,0,'Données projet'!$E$10+1,1))</f>
        <v>360.04137410460385</v>
      </c>
      <c r="AO6" s="59">
        <f t="shared" si="36"/>
        <v>287.81656468701829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52.920622220995575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8.0128205128205128</v>
      </c>
      <c r="BD6" s="12">
        <f>IF('Données projet'!$A$88&gt;35,BD5+BC6-BL5,IF(A6&lt;'Données projet'!$A$88,$BA$205^A6,IF(A6='Données projet'!$A$88,'Données projet'!$B$88,BD5+BC6-BL5)))</f>
        <v>3.7250801739660222</v>
      </c>
      <c r="BE6" s="13">
        <f>BD6*VLOOKUP('Données projet'!$B$11,Paramètres!$A$1:$I$89,3,0)*VLOOKUP('Données projet'!$B$11,Paramètres!$A$1:$I$89,5,0)</f>
        <v>1.8944267732721605</v>
      </c>
      <c r="BF6" s="13">
        <f t="shared" si="37"/>
        <v>0.81045978327791524</v>
      </c>
      <c r="BG6" s="20">
        <f t="shared" si="7"/>
        <v>4.7110107526580478</v>
      </c>
      <c r="BH6" s="59">
        <f t="shared" si="8"/>
        <v>202.41995889630849</v>
      </c>
      <c r="BI6" s="59">
        <f ca="1">AVERAGE(OFFSET($BH$3,0,0,'Données projet'!$E$11+1,1))-AVERAGE(OFFSET($H$3,0,0,'Données projet'!$E$11+1,1))</f>
        <v>155.76430449447392</v>
      </c>
      <c r="BJ6" s="59">
        <f t="shared" si="38"/>
        <v>363.39275685992129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52.920622220995575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3.887142857142857</v>
      </c>
      <c r="BY6" s="12">
        <f>IF('Données projet'!$A$114&gt;35,BY5+BX6-CG5,IF(A6&lt;'Données projet'!$A$114,$BV$205^A6,IF(A6='Données projet'!$A$114,'Données projet'!$B$114,BY5+BX6-CG5)))</f>
        <v>11.661428571428571</v>
      </c>
      <c r="BZ6" s="13">
        <f>BY6*VLOOKUP('Données projet'!$B$12,Paramètres!$A$1:$I$89,3,0)*VLOOKUP('Données projet'!$B$12,Paramètres!$A$1:$I$89,5,0)</f>
        <v>11.824688571428572</v>
      </c>
      <c r="CA6" s="13">
        <f t="shared" si="39"/>
        <v>4.0876062444803347</v>
      </c>
      <c r="CB6" s="20">
        <f t="shared" si="10"/>
        <v>27.713913471041348</v>
      </c>
      <c r="CC6" s="59">
        <f t="shared" si="11"/>
        <v>225.42286161469178</v>
      </c>
      <c r="CD6" s="59">
        <f ca="1">AVERAGE(OFFSET($CC$3,0,0,'Données projet'!$E$12+1,1))-AVERAGE(OFFSET($H$3,0,0,'Données projet'!$E$12+1,1))</f>
        <v>679.4570479719705</v>
      </c>
      <c r="CE6" s="59">
        <f t="shared" si="40"/>
        <v>310.8252119379963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52.920622220995575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8.0128205128205128</v>
      </c>
      <c r="CT6" s="12">
        <f>IF('Données projet'!$A$140&gt;35,CT5+CS6-DB5,IF(A6&lt;'Données projet'!$A$140,$CQ$205^A6,IF(A6='Données projet'!$A$140,'Données projet'!$B$140,CT5+CS6-DB5)))</f>
        <v>3.7250801739660222</v>
      </c>
      <c r="CU6" s="17">
        <f>CT6*VLOOKUP('Données projet'!$B$13,Paramètres!$A$1:$I$89,3,0)*VLOOKUP('Données projet'!$B$13,Paramètres!$A$1:$I$89,5,0)</f>
        <v>1.7723931467730334</v>
      </c>
      <c r="CV6" s="13">
        <f t="shared" si="41"/>
        <v>0.76415196765875826</v>
      </c>
      <c r="CW6" s="20">
        <f t="shared" si="13"/>
        <v>4.4178160743020367</v>
      </c>
      <c r="CX6" s="59">
        <f t="shared" si="14"/>
        <v>202.12676421795248</v>
      </c>
      <c r="CY6" s="59">
        <f ca="1">AVERAGE(OFFSET($CX$3,0,0,'Données projet'!$E$13+1,1))-AVERAGE(OFFSET($H$3,0,0,'Données projet'!$E$13+1,1))</f>
        <v>146.95547268081216</v>
      </c>
      <c r="CZ6" s="59">
        <f t="shared" si="42"/>
        <v>343.21355872318065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52.920622220995575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52.920622220995575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52.920622220995575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52.920622220995575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52.920622220995575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3.5999999999999996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13.199999999999998</v>
      </c>
      <c r="H7" s="67">
        <f t="shared" si="1"/>
        <v>203.86666666666667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53.216911241692927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5.8668181818181813</v>
      </c>
      <c r="N7" s="13">
        <f>IF('Données projet'!$A$36&gt;35,N6+M7-V6,IF(A7&lt;'Données projet'!$A$36,$K$205^A7,IF(A7='Données projet'!$A$36,'Données projet'!$B$36,N6+M7-V6)))</f>
        <v>2.419838711019783</v>
      </c>
      <c r="O7" s="13">
        <f>N7*VLOOKUP('Données projet'!$B$9,Paramètres!$A$1:$I$89,3,0)*VLOOKUP('Données projet'!$B$9,Paramètres!$A$1:$I$89,5,0)</f>
        <v>1.4470635491898303</v>
      </c>
      <c r="P7" s="13">
        <f t="shared" si="33"/>
        <v>0.63879118103182142</v>
      </c>
      <c r="Q7" s="20">
        <f t="shared" si="2"/>
        <v>3.6328636551360431</v>
      </c>
      <c r="R7" s="59">
        <f t="shared" si="0"/>
        <v>203.65042709689899</v>
      </c>
      <c r="S7" s="59">
        <f ca="1">AVERAGE(OFFSET($R$3,0,0,'Données projet'!$E$9+1,1))-AVERAGE(OFFSET($H$3,0,0,'Données projet'!$E$9+1,1))</f>
        <v>366.78396742205962</v>
      </c>
      <c r="T7" s="59">
        <f t="shared" si="34"/>
        <v>271.89887525994988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53.216911241692927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7.6601960784313725</v>
      </c>
      <c r="AI7" s="13">
        <f>IF('Données projet'!$A$62&gt;35,AI6+AH7-AQ6,IF(A7&lt;'Données projet'!$A$62,$AF$205^A7,IF(A7='Données projet'!$A$62,'Données projet'!$B$62,AI6+AH7-AQ6)))</f>
        <v>30.64078431372549</v>
      </c>
      <c r="AJ7" s="13">
        <f>AI7*VLOOKUP('Données projet'!$B$10,Paramètres!$A$1:$I$89,3,0)*VLOOKUP('Données projet'!$B$10,Paramètres!$A$1:$I$89,5,0)</f>
        <v>14.339887058823528</v>
      </c>
      <c r="AK7" s="13">
        <f t="shared" si="35"/>
        <v>4.8470318404070136</v>
      </c>
      <c r="AL7" s="20">
        <f t="shared" si="4"/>
        <v>33.417217082826525</v>
      </c>
      <c r="AM7" s="59">
        <f t="shared" si="5"/>
        <v>233.43478052458948</v>
      </c>
      <c r="AN7" s="59">
        <f ca="1">AVERAGE(OFFSET($AM$3,0,0,'Données projet'!$E$10+1,1))-AVERAGE(OFFSET($H$3,0,0,'Données projet'!$E$10+1,1))</f>
        <v>360.04137410460385</v>
      </c>
      <c r="AO7" s="59">
        <f t="shared" si="36"/>
        <v>287.81656468701829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53.216911241692927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8.0128205128205128</v>
      </c>
      <c r="BD7" s="12">
        <f>IF('Données projet'!$A$88&gt;35,BD6+BC7-BL6,IF(A7&lt;'Données projet'!$A$88,$BA$205^A7,IF(A7='Données projet'!$A$88,'Données projet'!$B$88,BD6+BC7-BL6)))</f>
        <v>5.7744970771990918</v>
      </c>
      <c r="BE7" s="13">
        <f>BD7*VLOOKUP('Données projet'!$B$11,Paramètres!$A$1:$I$89,3,0)*VLOOKUP('Données projet'!$B$11,Paramètres!$A$1:$I$89,5,0)</f>
        <v>2.9366782335803703</v>
      </c>
      <c r="BF7" s="13">
        <f t="shared" si="37"/>
        <v>1.1938505074356272</v>
      </c>
      <c r="BG7" s="20">
        <f t="shared" si="7"/>
        <v>7.1940042239361937</v>
      </c>
      <c r="BH7" s="59">
        <f t="shared" si="8"/>
        <v>207.21156766569914</v>
      </c>
      <c r="BI7" s="59">
        <f ca="1">AVERAGE(OFFSET($BH$3,0,0,'Données projet'!$E$11+1,1))-AVERAGE(OFFSET($H$3,0,0,'Données projet'!$E$11+1,1))</f>
        <v>155.76430449447392</v>
      </c>
      <c r="BJ7" s="59">
        <f t="shared" si="38"/>
        <v>363.39275685992129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53.216911241692927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3.887142857142857</v>
      </c>
      <c r="BY7" s="12">
        <f>IF('Données projet'!$A$114&gt;35,BY6+BX7-CG6,IF(A7&lt;'Données projet'!$A$114,$BV$205^A7,IF(A7='Données projet'!$A$114,'Données projet'!$B$114,BY6+BX7-CG6)))</f>
        <v>15.548571428571428</v>
      </c>
      <c r="BZ7" s="13">
        <f>BY7*VLOOKUP('Données projet'!$B$12,Paramètres!$A$1:$I$89,3,0)*VLOOKUP('Données projet'!$B$12,Paramètres!$A$1:$I$89,5,0)</f>
        <v>15.766251428571428</v>
      </c>
      <c r="CA7" s="13">
        <f t="shared" si="39"/>
        <v>5.2706590287965538</v>
      </c>
      <c r="CB7" s="20">
        <f t="shared" si="10"/>
        <v>36.63928571324923</v>
      </c>
      <c r="CC7" s="59">
        <f t="shared" si="11"/>
        <v>236.65684915501217</v>
      </c>
      <c r="CD7" s="59">
        <f ca="1">AVERAGE(OFFSET($CC$3,0,0,'Données projet'!$E$12+1,1))-AVERAGE(OFFSET($H$3,0,0,'Données projet'!$E$12+1,1))</f>
        <v>679.4570479719705</v>
      </c>
      <c r="CE7" s="59">
        <f t="shared" si="40"/>
        <v>310.8252119379963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53.216911241692927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8.0128205128205128</v>
      </c>
      <c r="CT7" s="12">
        <f>IF('Données projet'!$A$140&gt;35,CT6+CS7-DB6,IF(A7&lt;'Données projet'!$A$140,$CQ$205^A7,IF(A7='Données projet'!$A$140,'Données projet'!$B$140,CT6+CS7-DB6)))</f>
        <v>5.7744970771990918</v>
      </c>
      <c r="CU7" s="17">
        <f>CT7*VLOOKUP('Données projet'!$B$13,Paramètres!$A$1:$I$89,3,0)*VLOOKUP('Données projet'!$B$13,Paramètres!$A$1:$I$89,5,0)</f>
        <v>2.7475057093313278</v>
      </c>
      <c r="CV7" s="13">
        <f t="shared" si="41"/>
        <v>1.1256366240131002</v>
      </c>
      <c r="CW7" s="20">
        <f t="shared" si="13"/>
        <v>6.7457228972415457</v>
      </c>
      <c r="CX7" s="59">
        <f t="shared" si="14"/>
        <v>206.76328633900448</v>
      </c>
      <c r="CY7" s="59">
        <f ca="1">AVERAGE(OFFSET($CX$3,0,0,'Données projet'!$E$13+1,1))-AVERAGE(OFFSET($H$3,0,0,'Données projet'!$E$13+1,1))</f>
        <v>146.95547268081216</v>
      </c>
      <c r="CZ7" s="59">
        <f t="shared" si="42"/>
        <v>343.21355872318065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53.216911241692927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53.216911241692927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53.216911241692927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53.216911241692927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53.216911241692927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3.5999999999999996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13.199999999999998</v>
      </c>
      <c r="H8" s="67">
        <f t="shared" si="1"/>
        <v>203.86666666666667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53.508060310284208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5.8668181818181813</v>
      </c>
      <c r="N8" s="13">
        <f>IF('Données projet'!$A$36&gt;35,N7+M8-V7,IF(A8&lt;'Données projet'!$A$36,$K$205^A8,IF(A8='Données projet'!$A$36,'Données projet'!$B$36,N7+M8-V7)))</f>
        <v>3.0180958280464529</v>
      </c>
      <c r="O8" s="13">
        <f>N8*VLOOKUP('Données projet'!$B$9,Paramètres!$A$1:$I$89,3,0)*VLOOKUP('Données projet'!$B$9,Paramètres!$A$1:$I$89,5,0)</f>
        <v>1.804821305171779</v>
      </c>
      <c r="P8" s="13">
        <f t="shared" si="33"/>
        <v>0.77649261912941803</v>
      </c>
      <c r="Q8" s="20">
        <f t="shared" si="2"/>
        <v>4.4957884181579182</v>
      </c>
      <c r="R8" s="59">
        <f t="shared" si="0"/>
        <v>206.8031206669778</v>
      </c>
      <c r="S8" s="59">
        <f ca="1">AVERAGE(OFFSET($R$3,0,0,'Données projet'!$E$9+1,1))-AVERAGE(OFFSET($H$3,0,0,'Données projet'!$E$9+1,1))</f>
        <v>366.78396742205962</v>
      </c>
      <c r="T8" s="59">
        <f t="shared" si="34"/>
        <v>271.89887525994988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53.508060310284208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7.6601960784313725</v>
      </c>
      <c r="AI8" s="13">
        <f>IF('Données projet'!$A$62&gt;35,AI7+AH8-AQ7,IF(A8&lt;'Données projet'!$A$62,$AF$205^A8,IF(A8='Données projet'!$A$62,'Données projet'!$B$62,AI7+AH8-AQ7)))</f>
        <v>38.300980392156859</v>
      </c>
      <c r="AJ8" s="13">
        <f>AI8*VLOOKUP('Données projet'!$B$10,Paramètres!$A$1:$I$89,3,0)*VLOOKUP('Données projet'!$B$10,Paramètres!$A$1:$I$89,5,0)</f>
        <v>17.924858823529409</v>
      </c>
      <c r="AK8" s="13">
        <f t="shared" si="35"/>
        <v>5.9034455257853864</v>
      </c>
      <c r="AL8" s="20">
        <f t="shared" si="4"/>
        <v>41.500963408389929</v>
      </c>
      <c r="AM8" s="59">
        <f t="shared" si="5"/>
        <v>243.80829565720981</v>
      </c>
      <c r="AN8" s="59">
        <f ca="1">AVERAGE(OFFSET($AM$3,0,0,'Données projet'!$E$10+1,1))-AVERAGE(OFFSET($H$3,0,0,'Données projet'!$E$10+1,1))</f>
        <v>360.04137410460385</v>
      </c>
      <c r="AO8" s="59">
        <f t="shared" si="36"/>
        <v>287.81656468701829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53.508060310284208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8.0128205128205128</v>
      </c>
      <c r="BD8" s="12">
        <f>IF('Données projet'!$A$88&gt;35,BD7+BC8-BL7,IF(A8&lt;'Données projet'!$A$88,$BA$205^A8,IF(A8='Données projet'!$A$88,'Données projet'!$B$88,BD7+BC8-BL7)))</f>
        <v>8.9514359254929143</v>
      </c>
      <c r="BE8" s="13">
        <f>BD8*VLOOKUP('Données projet'!$B$11,Paramètres!$A$1:$I$89,3,0)*VLOOKUP('Données projet'!$B$11,Paramètres!$A$1:$I$89,5,0)</f>
        <v>4.5523422542686767</v>
      </c>
      <c r="BF8" s="13">
        <f t="shared" si="37"/>
        <v>1.7586055021012204</v>
      </c>
      <c r="BG8" s="20">
        <f t="shared" si="7"/>
        <v>10.991567342344238</v>
      </c>
      <c r="BH8" s="59">
        <f t="shared" si="8"/>
        <v>213.29889959116412</v>
      </c>
      <c r="BI8" s="59">
        <f ca="1">AVERAGE(OFFSET($BH$3,0,0,'Données projet'!$E$11+1,1))-AVERAGE(OFFSET($H$3,0,0,'Données projet'!$E$11+1,1))</f>
        <v>155.76430449447392</v>
      </c>
      <c r="BJ8" s="59">
        <f t="shared" si="38"/>
        <v>363.39275685992129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53.508060310284208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3.887142857142857</v>
      </c>
      <c r="BY8" s="12">
        <f>IF('Données projet'!$A$114&gt;35,BY7+BX8-CG7,IF(A8&lt;'Données projet'!$A$114,$BV$205^A8,IF(A8='Données projet'!$A$114,'Données projet'!$B$114,BY7+BX8-CG7)))</f>
        <v>19.435714285714283</v>
      </c>
      <c r="BZ8" s="13">
        <f>BY8*VLOOKUP('Données projet'!$B$12,Paramètres!$A$1:$I$89,3,0)*VLOOKUP('Données projet'!$B$12,Paramètres!$A$1:$I$89,5,0)</f>
        <v>19.707814285714285</v>
      </c>
      <c r="CA8" s="13">
        <f t="shared" si="39"/>
        <v>6.4194025304518281</v>
      </c>
      <c r="CB8" s="20">
        <f t="shared" si="10"/>
        <v>45.504902621489315</v>
      </c>
      <c r="CC8" s="59">
        <f t="shared" si="11"/>
        <v>247.8122348703092</v>
      </c>
      <c r="CD8" s="59">
        <f ca="1">AVERAGE(OFFSET($CC$3,0,0,'Données projet'!$E$12+1,1))-AVERAGE(OFFSET($H$3,0,0,'Données projet'!$E$12+1,1))</f>
        <v>679.4570479719705</v>
      </c>
      <c r="CE8" s="59">
        <f t="shared" si="40"/>
        <v>310.8252119379963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53.508060310284208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8.0128205128205128</v>
      </c>
      <c r="CT8" s="12">
        <f>IF('Données projet'!$A$140&gt;35,CT7+CS8-DB7,IF(A8&lt;'Données projet'!$A$140,$CQ$205^A8,IF(A8='Données projet'!$A$140,'Données projet'!$B$140,CT7+CS8-DB7)))</f>
        <v>8.9514359254929143</v>
      </c>
      <c r="CU8" s="17">
        <f>CT8*VLOOKUP('Données projet'!$B$13,Paramètres!$A$1:$I$89,3,0)*VLOOKUP('Données projet'!$B$13,Paramètres!$A$1:$I$89,5,0)</f>
        <v>4.2590932133495292</v>
      </c>
      <c r="CV8" s="13">
        <f t="shared" si="41"/>
        <v>1.6581228118821392</v>
      </c>
      <c r="CW8" s="20">
        <f t="shared" si="13"/>
        <v>10.305817910611822</v>
      </c>
      <c r="CX8" s="59">
        <f t="shared" si="14"/>
        <v>212.61315015943171</v>
      </c>
      <c r="CY8" s="59">
        <f ca="1">AVERAGE(OFFSET($CX$3,0,0,'Données projet'!$E$13+1,1))-AVERAGE(OFFSET($H$3,0,0,'Données projet'!$E$13+1,1))</f>
        <v>146.95547268081216</v>
      </c>
      <c r="CZ8" s="59">
        <f t="shared" si="42"/>
        <v>343.21355872318065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53.508060310284208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53.508060310284208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53.508060310284208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53.508060310284208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53.508060310284208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3.5999999999999996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13.199999999999998</v>
      </c>
      <c r="H9" s="67">
        <f t="shared" si="1"/>
        <v>203.86666666666667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53.794158593447222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5.8668181818181813</v>
      </c>
      <c r="N9" s="13">
        <f>IF('Données projet'!$A$36&gt;35,N8+M9-V8,IF(A9&lt;'Données projet'!$A$36,$K$205^A9,IF(A9='Données projet'!$A$36,'Données projet'!$B$36,N8+M9-V8)))</f>
        <v>3.7642601491537744</v>
      </c>
      <c r="O9" s="13">
        <f>N9*VLOOKUP('Données projet'!$B$9,Paramètres!$A$1:$I$89,3,0)*VLOOKUP('Données projet'!$B$9,Paramètres!$A$1:$I$89,5,0)</f>
        <v>2.251027569193957</v>
      </c>
      <c r="P9" s="13">
        <f t="shared" si="33"/>
        <v>0.94387775765556148</v>
      </c>
      <c r="Q9" s="20">
        <f t="shared" si="2"/>
        <v>5.5644601109295779</v>
      </c>
      <c r="R9" s="59">
        <f t="shared" si="0"/>
        <v>210.14304162023606</v>
      </c>
      <c r="S9" s="59">
        <f ca="1">AVERAGE(OFFSET($R$3,0,0,'Données projet'!$E$9+1,1))-AVERAGE(OFFSET($H$3,0,0,'Données projet'!$E$9+1,1))</f>
        <v>366.78396742205962</v>
      </c>
      <c r="T9" s="59">
        <f t="shared" si="34"/>
        <v>271.89887525994988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53.794158593447222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7.6601960784313725</v>
      </c>
      <c r="AI9" s="13">
        <f>IF('Données projet'!$A$62&gt;35,AI8+AH9-AQ8,IF(A9&lt;'Données projet'!$A$62,$AF$205^A9,IF(A9='Données projet'!$A$62,'Données projet'!$B$62,AI8+AH9-AQ8)))</f>
        <v>45.961176470588228</v>
      </c>
      <c r="AJ9" s="13">
        <f>AI9*VLOOKUP('Données projet'!$B$10,Paramètres!$A$1:$I$89,3,0)*VLOOKUP('Données projet'!$B$10,Paramètres!$A$1:$I$89,5,0)</f>
        <v>21.509830588235292</v>
      </c>
      <c r="AK9" s="13">
        <f t="shared" si="35"/>
        <v>6.9353775634321488</v>
      </c>
      <c r="AL9" s="20">
        <f t="shared" si="4"/>
        <v>49.54207086415412</v>
      </c>
      <c r="AM9" s="59">
        <f t="shared" si="5"/>
        <v>254.12065237346059</v>
      </c>
      <c r="AN9" s="59">
        <f ca="1">AVERAGE(OFFSET($AM$3,0,0,'Données projet'!$E$10+1,1))-AVERAGE(OFFSET($H$3,0,0,'Données projet'!$E$10+1,1))</f>
        <v>360.04137410460385</v>
      </c>
      <c r="AO9" s="59">
        <f t="shared" si="36"/>
        <v>287.81656468701829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53.794158593447222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8.0128205128205128</v>
      </c>
      <c r="BD9" s="12">
        <f>IF('Données projet'!$A$88&gt;35,BD8+BC9-BL8,IF(A9&lt;'Données projet'!$A$88,$BA$205^A9,IF(A9='Données projet'!$A$88,'Données projet'!$B$88,BD8+BC9-BL8)))</f>
        <v>13.876222302474734</v>
      </c>
      <c r="BE9" s="13">
        <f>BD9*VLOOKUP('Données projet'!$B$11,Paramètres!$A$1:$I$89,3,0)*VLOOKUP('Données projet'!$B$11,Paramètres!$A$1:$I$89,5,0)</f>
        <v>7.0568916141465508</v>
      </c>
      <c r="BF9" s="13">
        <f t="shared" si="37"/>
        <v>2.5905197449417212</v>
      </c>
      <c r="BG9" s="20">
        <f t="shared" si="7"/>
        <v>16.802574783745406</v>
      </c>
      <c r="BH9" s="59">
        <f t="shared" si="8"/>
        <v>221.38115629305187</v>
      </c>
      <c r="BI9" s="59">
        <f ca="1">AVERAGE(OFFSET($BH$3,0,0,'Données projet'!$E$11+1,1))-AVERAGE(OFFSET($H$3,0,0,'Données projet'!$E$11+1,1))</f>
        <v>155.76430449447392</v>
      </c>
      <c r="BJ9" s="59">
        <f t="shared" si="38"/>
        <v>363.39275685992129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53.794158593447222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3.887142857142857</v>
      </c>
      <c r="BY9" s="12">
        <f>IF('Données projet'!$A$114&gt;35,BY8+BX9-CG8,IF(A9&lt;'Données projet'!$A$114,$BV$205^A9,IF(A9='Données projet'!$A$114,'Données projet'!$B$114,BY8+BX9-CG8)))</f>
        <v>23.322857142857139</v>
      </c>
      <c r="BZ9" s="13">
        <f>BY9*VLOOKUP('Données projet'!$B$12,Paramètres!$A$1:$I$89,3,0)*VLOOKUP('Données projet'!$B$12,Paramètres!$A$1:$I$89,5,0)</f>
        <v>23.649377142857141</v>
      </c>
      <c r="CA9" s="13">
        <f t="shared" si="39"/>
        <v>7.5415247055086745</v>
      </c>
      <c r="CB9" s="20">
        <f t="shared" si="10"/>
        <v>54.324154052570456</v>
      </c>
      <c r="CC9" s="59">
        <f t="shared" si="11"/>
        <v>258.90273556187691</v>
      </c>
      <c r="CD9" s="59">
        <f ca="1">AVERAGE(OFFSET($CC$3,0,0,'Données projet'!$E$12+1,1))-AVERAGE(OFFSET($H$3,0,0,'Données projet'!$E$12+1,1))</f>
        <v>679.4570479719705</v>
      </c>
      <c r="CE9" s="59">
        <f t="shared" si="40"/>
        <v>310.8252119379963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53.794158593447222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8.0128205128205128</v>
      </c>
      <c r="CT9" s="12">
        <f>IF('Données projet'!$A$140&gt;35,CT8+CS9-DB8,IF(A9&lt;'Données projet'!$A$140,$CQ$205^A9,IF(A9='Données projet'!$A$140,'Données projet'!$B$140,CT8+CS9-DB8)))</f>
        <v>13.876222302474734</v>
      </c>
      <c r="CU9" s="17">
        <f>CT9*VLOOKUP('Données projet'!$B$13,Paramètres!$A$1:$I$89,3,0)*VLOOKUP('Données projet'!$B$13,Paramètres!$A$1:$I$89,5,0)</f>
        <v>6.6023065715174782</v>
      </c>
      <c r="CV9" s="13">
        <f t="shared" si="41"/>
        <v>2.4425033804265546</v>
      </c>
      <c r="CW9" s="20">
        <f t="shared" si="13"/>
        <v>15.753043999635855</v>
      </c>
      <c r="CX9" s="59">
        <f t="shared" si="14"/>
        <v>220.33162550894232</v>
      </c>
      <c r="CY9" s="59">
        <f ca="1">AVERAGE(OFFSET($CX$3,0,0,'Données projet'!$E$13+1,1))-AVERAGE(OFFSET($H$3,0,0,'Données projet'!$E$13+1,1))</f>
        <v>146.95547268081216</v>
      </c>
      <c r="CZ9" s="59">
        <f t="shared" si="42"/>
        <v>343.21355872318065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53.794158593447222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53.794158593447222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53.794158593447222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53.794158593447222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53.794158593447222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3.5999999999999996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13.199999999999998</v>
      </c>
      <c r="H10" s="67">
        <f t="shared" si="1"/>
        <v>203.86666666666667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54.075293711017295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5.8668181818181813</v>
      </c>
      <c r="N10" s="13">
        <f>IF('Données projet'!$A$36&gt;35,N9+M10-V9,IF(A10&lt;'Données projet'!$A$36,$K$205^A10,IF(A10='Données projet'!$A$36,'Données projet'!$B$36,N9+M10-V9)))</f>
        <v>4.6948987963973625</v>
      </c>
      <c r="O10" s="13">
        <f>N10*VLOOKUP('Données projet'!$B$9,Paramètres!$A$1:$I$89,3,0)*VLOOKUP('Données projet'!$B$9,Paramètres!$A$1:$I$89,5,0)</f>
        <v>2.8075494802456231</v>
      </c>
      <c r="P10" s="13">
        <f t="shared" si="33"/>
        <v>1.1473453828778812</v>
      </c>
      <c r="Q10" s="20">
        <f t="shared" si="2"/>
        <v>6.8881085532734367</v>
      </c>
      <c r="R10" s="59">
        <f t="shared" si="0"/>
        <v>213.71974104922577</v>
      </c>
      <c r="S10" s="59">
        <f ca="1">AVERAGE(OFFSET($R$3,0,0,'Données projet'!$E$9+1,1))-AVERAGE(OFFSET($H$3,0,0,'Données projet'!$E$9+1,1))</f>
        <v>366.78396742205962</v>
      </c>
      <c r="T10" s="59">
        <f t="shared" si="34"/>
        <v>271.89887525994988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54.075293711017295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7.6601960784313725</v>
      </c>
      <c r="AI10" s="13">
        <f>IF('Données projet'!$A$62&gt;35,AI9+AH10-AQ9,IF(A10&lt;'Données projet'!$A$62,$AF$205^A10,IF(A10='Données projet'!$A$62,'Données projet'!$B$62,AI9+AH10-AQ9)))</f>
        <v>53.621372549019597</v>
      </c>
      <c r="AJ10" s="13">
        <f>AI10*VLOOKUP('Données projet'!$B$10,Paramètres!$A$1:$I$89,3,0)*VLOOKUP('Données projet'!$B$10,Paramètres!$A$1:$I$89,5,0)</f>
        <v>25.094802352941173</v>
      </c>
      <c r="AK10" s="13">
        <f t="shared" si="35"/>
        <v>7.9473857344823413</v>
      </c>
      <c r="AL10" s="20">
        <f t="shared" si="4"/>
        <v>57.548477585595947</v>
      </c>
      <c r="AM10" s="59">
        <f t="shared" si="5"/>
        <v>264.38011008154831</v>
      </c>
      <c r="AN10" s="59">
        <f ca="1">AVERAGE(OFFSET($AM$3,0,0,'Données projet'!$E$10+1,1))-AVERAGE(OFFSET($H$3,0,0,'Données projet'!$E$10+1,1))</f>
        <v>360.04137410460385</v>
      </c>
      <c r="AO10" s="59">
        <f t="shared" si="36"/>
        <v>287.81656468701829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54.075293711017295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8.0128205128205128</v>
      </c>
      <c r="BD10" s="12">
        <f>IF('Données projet'!$A$88&gt;35,BD9+BC10-BL9,IF(A10&lt;'Données projet'!$A$88,$BA$205^A10,IF(A10='Données projet'!$A$88,'Données projet'!$B$88,BD9+BC10-BL9)))</f>
        <v>21.510464576899079</v>
      </c>
      <c r="BE10" s="13">
        <f>BD10*VLOOKUP('Données projet'!$B$11,Paramètres!$A$1:$I$89,3,0)*VLOOKUP('Données projet'!$B$11,Paramètres!$A$1:$I$89,5,0)</f>
        <v>10.939361865227795</v>
      </c>
      <c r="BF10" s="13">
        <f t="shared" si="37"/>
        <v>3.8159738161371135</v>
      </c>
      <c r="BG10" s="20">
        <f t="shared" si="7"/>
        <v>25.698876311710549</v>
      </c>
      <c r="BH10" s="59">
        <f t="shared" si="8"/>
        <v>232.5305088076629</v>
      </c>
      <c r="BI10" s="59">
        <f ca="1">AVERAGE(OFFSET($BH$3,0,0,'Données projet'!$E$11+1,1))-AVERAGE(OFFSET($H$3,0,0,'Données projet'!$E$11+1,1))</f>
        <v>155.76430449447392</v>
      </c>
      <c r="BJ10" s="59">
        <f t="shared" si="38"/>
        <v>363.39275685992129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54.075293711017295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3.887142857142857</v>
      </c>
      <c r="BY10" s="12">
        <f>IF('Données projet'!$A$114&gt;35,BY9+BX10-CG9,IF(A10&lt;'Données projet'!$A$114,$BV$205^A10,IF(A10='Données projet'!$A$114,'Données projet'!$B$114,BY9+BX10-CG9)))</f>
        <v>27.209999999999994</v>
      </c>
      <c r="BZ10" s="13">
        <f>BY10*VLOOKUP('Données projet'!$B$12,Paramètres!$A$1:$I$89,3,0)*VLOOKUP('Données projet'!$B$12,Paramètres!$A$1:$I$89,5,0)</f>
        <v>27.590939999999993</v>
      </c>
      <c r="CA10" s="13">
        <f t="shared" si="39"/>
        <v>8.6419816819814557</v>
      </c>
      <c r="CB10" s="20">
        <f t="shared" si="10"/>
        <v>63.105671929451027</v>
      </c>
      <c r="CC10" s="59">
        <f t="shared" si="11"/>
        <v>269.93730442540334</v>
      </c>
      <c r="CD10" s="59">
        <f ca="1">AVERAGE(OFFSET($CC$3,0,0,'Données projet'!$E$12+1,1))-AVERAGE(OFFSET($H$3,0,0,'Données projet'!$E$12+1,1))</f>
        <v>679.4570479719705</v>
      </c>
      <c r="CE10" s="59">
        <f t="shared" si="40"/>
        <v>310.8252119379963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54.075293711017295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8.0128205128205128</v>
      </c>
      <c r="CT10" s="12">
        <f>IF('Données projet'!$A$140&gt;35,CT9+CS10-DB9,IF(A10&lt;'Données projet'!$A$140,$CQ$205^A10,IF(A10='Données projet'!$A$140,'Données projet'!$B$140,CT9+CS10-DB9)))</f>
        <v>21.510464576899079</v>
      </c>
      <c r="CU10" s="17">
        <f>CT10*VLOOKUP('Données projet'!$B$13,Paramètres!$A$1:$I$89,3,0)*VLOOKUP('Données projet'!$B$13,Paramètres!$A$1:$I$89,5,0)</f>
        <v>10.234679045688582</v>
      </c>
      <c r="CV10" s="13">
        <f t="shared" si="41"/>
        <v>3.5979378129556787</v>
      </c>
      <c r="CW10" s="20">
        <f t="shared" si="13"/>
        <v>24.091807695472088</v>
      </c>
      <c r="CX10" s="59">
        <f t="shared" si="14"/>
        <v>230.92344019142442</v>
      </c>
      <c r="CY10" s="59">
        <f ca="1">AVERAGE(OFFSET($CX$3,0,0,'Données projet'!$E$13+1,1))-AVERAGE(OFFSET($H$3,0,0,'Données projet'!$E$13+1,1))</f>
        <v>146.95547268081216</v>
      </c>
      <c r="CZ10" s="59">
        <f t="shared" si="42"/>
        <v>343.21355872318065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54.075293711017295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54.075293711017295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54.075293711017295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54.075293711017295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54.075293711017295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3.5999999999999996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13.199999999999998</v>
      </c>
      <c r="H11" s="67">
        <f t="shared" si="1"/>
        <v>203.86666666666667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54.351551762821494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5.8668181818181813</v>
      </c>
      <c r="N11" s="13">
        <f>IF('Données projet'!$A$36&gt;35,N10+M11-V10,IF(A11&lt;'Données projet'!$A$36,$K$205^A11,IF(A11='Données projet'!$A$36,'Données projet'!$B$36,N10+M11-V10)))</f>
        <v>5.8556193873498845</v>
      </c>
      <c r="O11" s="13">
        <f>N11*VLOOKUP('Données projet'!$B$9,Paramètres!$A$1:$I$89,3,0)*VLOOKUP('Données projet'!$B$9,Paramètres!$A$1:$I$89,5,0)</f>
        <v>3.5016603936352309</v>
      </c>
      <c r="P11" s="13">
        <f t="shared" si="33"/>
        <v>1.3946736396044743</v>
      </c>
      <c r="Q11" s="20">
        <f t="shared" si="2"/>
        <v>8.5277817745591538</v>
      </c>
      <c r="R11" s="59">
        <f t="shared" si="0"/>
        <v>217.59458268268239</v>
      </c>
      <c r="S11" s="59">
        <f ca="1">AVERAGE(OFFSET($R$3,0,0,'Données projet'!$E$9+1,1))-AVERAGE(OFFSET($H$3,0,0,'Données projet'!$E$9+1,1))</f>
        <v>366.78396742205962</v>
      </c>
      <c r="T11" s="59">
        <f t="shared" si="34"/>
        <v>271.89887525994988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54.351551762821494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7.6601960784313725</v>
      </c>
      <c r="AI11" s="13">
        <f>IF('Données projet'!$A$62&gt;35,AI10+AH11-AQ10,IF(A11&lt;'Données projet'!$A$62,$AF$205^A11,IF(A11='Données projet'!$A$62,'Données projet'!$B$62,AI10+AH11-AQ10)))</f>
        <v>61.281568627450966</v>
      </c>
      <c r="AJ11" s="13">
        <f>AI11*VLOOKUP('Données projet'!$B$10,Paramètres!$A$1:$I$89,3,0)*VLOOKUP('Données projet'!$B$10,Paramètres!$A$1:$I$89,5,0)</f>
        <v>28.679774117647053</v>
      </c>
      <c r="AK11" s="13">
        <f t="shared" si="35"/>
        <v>8.942644713437625</v>
      </c>
      <c r="AL11" s="20">
        <f t="shared" si="4"/>
        <v>65.52571279747248</v>
      </c>
      <c r="AM11" s="59">
        <f t="shared" si="5"/>
        <v>274.59251370559571</v>
      </c>
      <c r="AN11" s="59">
        <f ca="1">AVERAGE(OFFSET($AM$3,0,0,'Données projet'!$E$10+1,1))-AVERAGE(OFFSET($H$3,0,0,'Données projet'!$E$10+1,1))</f>
        <v>360.04137410460385</v>
      </c>
      <c r="AO11" s="59">
        <f t="shared" si="36"/>
        <v>287.81656468701829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54.351551762821494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8.0128205128205128</v>
      </c>
      <c r="BD11" s="12">
        <f>IF('Données projet'!$A$88&gt;35,BD10+BC11-BL10,IF(A11&lt;'Données projet'!$A$88,$BA$205^A11,IF(A11='Données projet'!$A$88,'Données projet'!$B$88,BD10+BC11-BL10)))</f>
        <v>33.344816494580854</v>
      </c>
      <c r="BE11" s="13">
        <f>BD11*VLOOKUP('Données projet'!$B$11,Paramètres!$A$1:$I$89,3,0)*VLOOKUP('Données projet'!$B$11,Paramètres!$A$1:$I$89,5,0)</f>
        <v>16.957839876484041</v>
      </c>
      <c r="BF11" s="13">
        <f t="shared" si="37"/>
        <v>5.6211330540434252</v>
      </c>
      <c r="BG11" s="20">
        <f t="shared" si="7"/>
        <v>39.325044520668669</v>
      </c>
      <c r="BH11" s="59">
        <f t="shared" si="8"/>
        <v>248.3918454287919</v>
      </c>
      <c r="BI11" s="59">
        <f ca="1">AVERAGE(OFFSET($BH$3,0,0,'Données projet'!$E$11+1,1))-AVERAGE(OFFSET($H$3,0,0,'Données projet'!$E$11+1,1))</f>
        <v>155.76430449447392</v>
      </c>
      <c r="BJ11" s="59">
        <f t="shared" si="38"/>
        <v>363.39275685992129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54.351551762821494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3.887142857142857</v>
      </c>
      <c r="BY11" s="12">
        <f>IF('Données projet'!$A$114&gt;35,BY10+BX11-CG10,IF(A11&lt;'Données projet'!$A$114,$BV$205^A11,IF(A11='Données projet'!$A$114,'Données projet'!$B$114,BY10+BX11-CG10)))</f>
        <v>31.097142857142849</v>
      </c>
      <c r="BZ11" s="13">
        <f>BY11*VLOOKUP('Données projet'!$B$12,Paramètres!$A$1:$I$89,3,0)*VLOOKUP('Données projet'!$B$12,Paramètres!$A$1:$I$89,5,0)</f>
        <v>31.532502857142852</v>
      </c>
      <c r="CA11" s="13">
        <f t="shared" si="39"/>
        <v>9.7242255986999844</v>
      </c>
      <c r="CB11" s="20">
        <f t="shared" si="10"/>
        <v>71.855468727259591</v>
      </c>
      <c r="CC11" s="59">
        <f t="shared" si="11"/>
        <v>280.9222696353828</v>
      </c>
      <c r="CD11" s="59">
        <f ca="1">AVERAGE(OFFSET($CC$3,0,0,'Données projet'!$E$12+1,1))-AVERAGE(OFFSET($H$3,0,0,'Données projet'!$E$12+1,1))</f>
        <v>679.4570479719705</v>
      </c>
      <c r="CE11" s="59">
        <f t="shared" si="40"/>
        <v>310.8252119379963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54.351551762821494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8.0128205128205128</v>
      </c>
      <c r="CT11" s="12">
        <f>IF('Données projet'!$A$140&gt;35,CT10+CS11-DB10,IF(A11&lt;'Données projet'!$A$140,$CQ$205^A11,IF(A11='Données projet'!$A$140,'Données projet'!$B$140,CT10+CS11-DB10)))</f>
        <v>33.344816494580854</v>
      </c>
      <c r="CU11" s="17">
        <f>CT11*VLOOKUP('Données projet'!$B$13,Paramètres!$A$1:$I$89,3,0)*VLOOKUP('Données projet'!$B$13,Paramètres!$A$1:$I$89,5,0)</f>
        <v>15.865463688121572</v>
      </c>
      <c r="CV11" s="13">
        <f t="shared" si="41"/>
        <v>5.2999543868125905</v>
      </c>
      <c r="CW11" s="20">
        <f t="shared" si="13"/>
        <v>36.863103147176993</v>
      </c>
      <c r="CX11" s="59">
        <f t="shared" si="14"/>
        <v>245.92990405530023</v>
      </c>
      <c r="CY11" s="59">
        <f ca="1">AVERAGE(OFFSET($CX$3,0,0,'Données projet'!$E$13+1,1))-AVERAGE(OFFSET($H$3,0,0,'Données projet'!$E$13+1,1))</f>
        <v>146.95547268081216</v>
      </c>
      <c r="CZ11" s="59">
        <f t="shared" si="42"/>
        <v>343.21355872318065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54.351551762821494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54.351551762821494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54.351551762821494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54.351551762821494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54.351551762821494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3.5999999999999996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13.199999999999998</v>
      </c>
      <c r="H12" s="67">
        <f t="shared" si="1"/>
        <v>203.86666666666667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54.623017355047374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5.8668181818181813</v>
      </c>
      <c r="N12" s="13">
        <f>IF('Données projet'!$A$36&gt;35,N11+M12-V11,IF(A12&lt;'Données projet'!$A$36,$K$205^A12,IF(A12='Données projet'!$A$36,'Données projet'!$B$36,N11+M12-V11)))</f>
        <v>7.3033051182741131</v>
      </c>
      <c r="O12" s="13">
        <f>N12*VLOOKUP('Données projet'!$B$9,Paramètres!$A$1:$I$89,3,0)*VLOOKUP('Données projet'!$B$9,Paramètres!$A$1:$I$89,5,0)</f>
        <v>4.36737646072792</v>
      </c>
      <c r="P12" s="13">
        <f t="shared" si="33"/>
        <v>1.6953173735084623</v>
      </c>
      <c r="Q12" s="20">
        <f t="shared" si="2"/>
        <v>10.559191761295033</v>
      </c>
      <c r="R12" s="59">
        <f t="shared" si="0"/>
        <v>221.84358872980209</v>
      </c>
      <c r="S12" s="59">
        <f ca="1">AVERAGE(OFFSET($R$3,0,0,'Données projet'!$E$9+1,1))-AVERAGE(OFFSET($H$3,0,0,'Données projet'!$E$9+1,1))</f>
        <v>366.78396742205962</v>
      </c>
      <c r="T12" s="59">
        <f t="shared" si="34"/>
        <v>271.89887525994988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54.623017355047374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7.6601960784313725</v>
      </c>
      <c r="AI12" s="13">
        <f>IF('Données projet'!$A$62&gt;35,AI11+AH12-AQ11,IF(A12&lt;'Données projet'!$A$62,$AF$205^A12,IF(A12='Données projet'!$A$62,'Données projet'!$B$62,AI11+AH12-AQ11)))</f>
        <v>68.941764705882335</v>
      </c>
      <c r="AJ12" s="13">
        <f>AI12*VLOOKUP('Données projet'!$B$10,Paramètres!$A$1:$I$89,3,0)*VLOOKUP('Données projet'!$B$10,Paramètres!$A$1:$I$89,5,0)</f>
        <v>32.264745882352933</v>
      </c>
      <c r="AK12" s="13">
        <f t="shared" si="35"/>
        <v>9.9234879264418083</v>
      </c>
      <c r="AL12" s="20">
        <f t="shared" si="4"/>
        <v>73.477840550317495</v>
      </c>
      <c r="AM12" s="59">
        <f t="shared" si="5"/>
        <v>284.76223751882458</v>
      </c>
      <c r="AN12" s="59">
        <f ca="1">AVERAGE(OFFSET($AM$3,0,0,'Données projet'!$E$10+1,1))-AVERAGE(OFFSET($H$3,0,0,'Données projet'!$E$10+1,1))</f>
        <v>360.04137410460385</v>
      </c>
      <c r="AO12" s="59">
        <f t="shared" si="36"/>
        <v>287.81656468701829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54.623017355047374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8.0128205128205128</v>
      </c>
      <c r="BD12" s="12">
        <f>IF('Données projet'!$A$88&gt;35,BD11+BC12-BL11,IF(A12&lt;'Données projet'!$A$88,$BA$205^A12,IF(A12='Données projet'!$A$88,'Données projet'!$B$88,BD11+BC12-BL11)))</f>
        <v>51.690040588493787</v>
      </c>
      <c r="BE12" s="13">
        <f>BD12*VLOOKUP('Données projet'!$B$11,Paramètres!$A$1:$I$89,3,0)*VLOOKUP('Données projet'!$B$11,Paramètres!$A$1:$I$89,5,0)</f>
        <v>26.287487041684404</v>
      </c>
      <c r="BF12" s="13">
        <f t="shared" si="37"/>
        <v>8.2802289359640167</v>
      </c>
      <c r="BG12" s="20">
        <f t="shared" si="7"/>
        <v>60.205438661070993</v>
      </c>
      <c r="BH12" s="59">
        <f t="shared" si="8"/>
        <v>271.48983562957807</v>
      </c>
      <c r="BI12" s="59">
        <f ca="1">AVERAGE(OFFSET($BH$3,0,0,'Données projet'!$E$11+1,1))-AVERAGE(OFFSET($H$3,0,0,'Données projet'!$E$11+1,1))</f>
        <v>155.76430449447392</v>
      </c>
      <c r="BJ12" s="59">
        <f t="shared" si="38"/>
        <v>363.39275685992129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54.623017355047374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3.887142857142857</v>
      </c>
      <c r="BY12" s="12">
        <f>IF('Données projet'!$A$114&gt;35,BY11+BX12-CG11,IF(A12&lt;'Données projet'!$A$114,$BV$205^A12,IF(A12='Données projet'!$A$114,'Données projet'!$B$114,BY11+BX12-CG11)))</f>
        <v>34.984285714285704</v>
      </c>
      <c r="BZ12" s="13">
        <f>BY12*VLOOKUP('Données projet'!$B$12,Paramètres!$A$1:$I$89,3,0)*VLOOKUP('Données projet'!$B$12,Paramètres!$A$1:$I$89,5,0)</f>
        <v>35.474065714285707</v>
      </c>
      <c r="CA12" s="13">
        <f t="shared" si="39"/>
        <v>10.790793821618898</v>
      </c>
      <c r="CB12" s="20">
        <f t="shared" si="10"/>
        <v>80.577963691700518</v>
      </c>
      <c r="CC12" s="59">
        <f t="shared" si="11"/>
        <v>291.86236066020757</v>
      </c>
      <c r="CD12" s="59">
        <f ca="1">AVERAGE(OFFSET($CC$3,0,0,'Données projet'!$E$12+1,1))-AVERAGE(OFFSET($H$3,0,0,'Données projet'!$E$12+1,1))</f>
        <v>679.4570479719705</v>
      </c>
      <c r="CE12" s="59">
        <f t="shared" si="40"/>
        <v>310.8252119379963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54.623017355047374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8.0128205128205128</v>
      </c>
      <c r="CT12" s="12">
        <f>IF('Données projet'!$A$140&gt;35,CT11+CS12-DB11,IF(A12&lt;'Données projet'!$A$140,$CQ$205^A12,IF(A12='Données projet'!$A$140,'Données projet'!$B$140,CT11+CS12-DB11)))</f>
        <v>51.690040588493787</v>
      </c>
      <c r="CU12" s="17">
        <f>CT12*VLOOKUP('Données projet'!$B$13,Paramètres!$A$1:$I$89,3,0)*VLOOKUP('Données projet'!$B$13,Paramètres!$A$1:$I$89,5,0)</f>
        <v>24.594121312005345</v>
      </c>
      <c r="CV12" s="13">
        <f t="shared" si="41"/>
        <v>7.807115620828001</v>
      </c>
      <c r="CW12" s="20">
        <f t="shared" si="13"/>
        <v>56.432154324684745</v>
      </c>
      <c r="CX12" s="59">
        <f t="shared" si="14"/>
        <v>267.7165512931918</v>
      </c>
      <c r="CY12" s="59">
        <f ca="1">AVERAGE(OFFSET($CX$3,0,0,'Données projet'!$E$13+1,1))-AVERAGE(OFFSET($H$3,0,0,'Données projet'!$E$13+1,1))</f>
        <v>146.95547268081216</v>
      </c>
      <c r="CZ12" s="59">
        <f t="shared" si="42"/>
        <v>343.21355872318065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54.623017355047374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54.623017355047374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54.623017355047374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54.623017355047374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54.623017355047374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3.5999999999999996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13.199999999999998</v>
      </c>
      <c r="H13" s="67">
        <f t="shared" si="1"/>
        <v>203.86666666666667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54.889773626154266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5.8668181818181813</v>
      </c>
      <c r="N13" s="13">
        <f>IF('Données projet'!$A$36&gt;35,N12+M13-V12,IF(A13&lt;'Données projet'!$A$36,$K$205^A13,IF(A13='Données projet'!$A$36,'Données projet'!$B$36,N12+M13-V12)))</f>
        <v>9.1089024272714045</v>
      </c>
      <c r="O13" s="13">
        <f>N13*VLOOKUP('Données projet'!$B$9,Paramètres!$A$1:$I$89,3,0)*VLOOKUP('Données projet'!$B$9,Paramètres!$A$1:$I$89,5,0)</f>
        <v>5.4471236515083001</v>
      </c>
      <c r="P13" s="13">
        <f t="shared" si="33"/>
        <v>2.0607695702449207</v>
      </c>
      <c r="Q13" s="20">
        <f t="shared" si="2"/>
        <v>13.076247361220192</v>
      </c>
      <c r="R13" s="59">
        <f t="shared" si="0"/>
        <v>226.56097287934139</v>
      </c>
      <c r="S13" s="59">
        <f ca="1">AVERAGE(OFFSET($R$3,0,0,'Données projet'!$E$9+1,1))-AVERAGE(OFFSET($H$3,0,0,'Données projet'!$E$9+1,1))</f>
        <v>366.78396742205962</v>
      </c>
      <c r="T13" s="59">
        <f t="shared" si="34"/>
        <v>271.89887525994988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54.889773626154266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7.6601960784313725</v>
      </c>
      <c r="AI13" s="13">
        <f>IF('Données projet'!$A$62&gt;35,AI12+AH13-AQ12,IF(A13&lt;'Données projet'!$A$62,$AF$205^A13,IF(A13='Données projet'!$A$62,'Données projet'!$B$62,AI12+AH13-AQ12)))</f>
        <v>76.601960784313704</v>
      </c>
      <c r="AJ13" s="13">
        <f>AI13*VLOOKUP('Données projet'!$B$10,Paramètres!$A$1:$I$89,3,0)*VLOOKUP('Données projet'!$B$10,Paramètres!$A$1:$I$89,5,0)</f>
        <v>35.84971764705881</v>
      </c>
      <c r="AK13" s="13">
        <f t="shared" si="35"/>
        <v>10.891699840329213</v>
      </c>
      <c r="AL13" s="20">
        <f t="shared" si="4"/>
        <v>81.407968790534127</v>
      </c>
      <c r="AM13" s="59">
        <f t="shared" si="5"/>
        <v>294.89269430865534</v>
      </c>
      <c r="AN13" s="59">
        <f ca="1">AVERAGE(OFFSET($AM$3,0,0,'Données projet'!$E$10+1,1))-AVERAGE(OFFSET($H$3,0,0,'Données projet'!$E$10+1,1))</f>
        <v>360.04137410460385</v>
      </c>
      <c r="AO13" s="59">
        <f t="shared" si="36"/>
        <v>287.81656468701829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54.889773626154266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80.128205128205124</v>
      </c>
      <c r="BB13" s="12">
        <f>VLOOKUP(A13,'Données projet'!$A$87:$I$107,9,0)</f>
        <v>8.0128205128205128</v>
      </c>
      <c r="BC13" s="12">
        <f t="array" ref="BC13">INDEX(BB:BB,MIN(IF(ISNUMBER(BB13:BB209),ROW(BB13:BB209),"")))</f>
        <v>8.0128205128205128</v>
      </c>
      <c r="BD13" s="12">
        <f>IF('Données projet'!$A$88&gt;35,BD12+BC13-BL12,IF(A13&lt;'Données projet'!$A$88,$BA$205^A13,IF(A13='Données projet'!$A$88,'Données projet'!$B$88,BD12+BC13-BL12)))</f>
        <v>80.128205128205124</v>
      </c>
      <c r="BE13" s="13">
        <f>BD13*VLOOKUP('Données projet'!$B$11,Paramètres!$A$1:$I$89,3,0)*VLOOKUP('Données projet'!$B$11,Paramètres!$A$1:$I$89,5,0)</f>
        <v>40.75</v>
      </c>
      <c r="BF13" s="13">
        <f t="shared" si="37"/>
        <v>12.19721906113878</v>
      </c>
      <c r="BG13" s="20">
        <f t="shared" si="7"/>
        <v>92.216406531483372</v>
      </c>
      <c r="BH13" s="59">
        <f t="shared" si="8"/>
        <v>305.70113204960455</v>
      </c>
      <c r="BI13" s="59">
        <f ca="1">AVERAGE(OFFSET($BH$3,0,0,'Données projet'!$E$11+1,1))-AVERAGE(OFFSET($H$3,0,0,'Données projet'!$E$11+1,1))</f>
        <v>155.76430449447392</v>
      </c>
      <c r="BJ13" s="59">
        <f t="shared" si="38"/>
        <v>363.39275685992129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0.44999999999999996</v>
      </c>
      <c r="BN13" s="16">
        <f>IF(ISNA(VLOOKUP(A13,'Données projet'!$A$87:$I$107,6,0)),0%,VLOOKUP(A13,'Données projet'!$A$87:$I$107,6,0)*VLOOKUP('Données projet'!$B$11,Paramètres!$A$1:$I$89,7,0))</f>
        <v>0.12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54.889773626154266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3.887142857142857</v>
      </c>
      <c r="BY13" s="12">
        <f>IF('Données projet'!$A$114&gt;35,BY12+BX13-CG12,IF(A13&lt;'Données projet'!$A$114,$BV$205^A13,IF(A13='Données projet'!$A$114,'Données projet'!$B$114,BY12+BX13-CG12)))</f>
        <v>38.871428571428559</v>
      </c>
      <c r="BZ13" s="13">
        <f>BY13*VLOOKUP('Données projet'!$B$12,Paramètres!$A$1:$I$89,3,0)*VLOOKUP('Données projet'!$B$12,Paramètres!$A$1:$I$89,5,0)</f>
        <v>39.415628571428563</v>
      </c>
      <c r="CA13" s="13">
        <f t="shared" si="39"/>
        <v>11.843626778724154</v>
      </c>
      <c r="CB13" s="20">
        <f t="shared" si="10"/>
        <v>89.276536401515969</v>
      </c>
      <c r="CC13" s="59">
        <f t="shared" si="11"/>
        <v>302.76126191963715</v>
      </c>
      <c r="CD13" s="59">
        <f ca="1">AVERAGE(OFFSET($CC$3,0,0,'Données projet'!$E$12+1,1))-AVERAGE(OFFSET($H$3,0,0,'Données projet'!$E$12+1,1))</f>
        <v>679.4570479719705</v>
      </c>
      <c r="CE13" s="59">
        <f t="shared" si="40"/>
        <v>310.8252119379963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54.889773626154266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80.128205128205124</v>
      </c>
      <c r="CR13" s="12">
        <f>VLOOKUP(A13,'Données projet'!$A$139:$I$159,9,0)</f>
        <v>8.0128205128205128</v>
      </c>
      <c r="CS13" s="12">
        <f t="array" ref="CS13">INDEX(CR:CR,MIN(IF(ISNUMBER(CR13:CR209),ROW(CR13:CR209),"")))</f>
        <v>8.0128205128205128</v>
      </c>
      <c r="CT13" s="12">
        <f>IF('Données projet'!$A$140&gt;35,CT12+CS13-DB12,IF(A13&lt;'Données projet'!$A$140,$CQ$205^A13,IF(A13='Données projet'!$A$140,'Données projet'!$B$140,CT12+CS13-DB12)))</f>
        <v>80.128205128205124</v>
      </c>
      <c r="CU13" s="17">
        <f>CT13*VLOOKUP('Données projet'!$B$13,Paramètres!$A$1:$I$89,3,0)*VLOOKUP('Données projet'!$B$13,Paramètres!$A$1:$I$89,5,0)</f>
        <v>38.125</v>
      </c>
      <c r="CV13" s="13">
        <f t="shared" si="41"/>
        <v>11.500297902305661</v>
      </c>
      <c r="CW13" s="20">
        <f t="shared" si="13"/>
        <v>86.430727179849029</v>
      </c>
      <c r="CX13" s="59">
        <f t="shared" si="14"/>
        <v>299.91545269797024</v>
      </c>
      <c r="CY13" s="59">
        <f ca="1">AVERAGE(OFFSET($CX$3,0,0,'Données projet'!$E$13+1,1))-AVERAGE(OFFSET($H$3,0,0,'Données projet'!$E$13+1,1))</f>
        <v>146.95547268081216</v>
      </c>
      <c r="CZ13" s="59">
        <f t="shared" si="42"/>
        <v>343.21355872318065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0.44999999999999996</v>
      </c>
      <c r="DD13" s="16">
        <f>IF(ISNA(VLOOKUP(A13,'Données projet'!$A$139:$I$159,6,0)),0%,VLOOKUP(A13,'Données projet'!$A$139:$I$159,6,0)*VLOOKUP('Données projet'!$B$13,Paramètres!$A$1:$I$89,7,0))</f>
        <v>0.12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54.889773626154266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54.889773626154266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54.889773626154266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54.889773626154266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54.889773626154266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3.5999999999999996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13.199999999999998</v>
      </c>
      <c r="H14" s="67">
        <f t="shared" si="1"/>
        <v>203.86666666666667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55.151902272335143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5.8668181818181813</v>
      </c>
      <c r="N14" s="13">
        <f>IF('Données projet'!$A$36&gt;35,N13+M14-V13,IF(A14&lt;'Données projet'!$A$36,$K$205^A14,IF(A14='Données projet'!$A$36,'Données projet'!$B$36,N13+M14-V13)))</f>
        <v>11.360897851842525</v>
      </c>
      <c r="O14" s="13">
        <f>N14*VLOOKUP('Données projet'!$B$9,Paramètres!$A$1:$I$89,3,0)*VLOOKUP('Données projet'!$B$9,Paramètres!$A$1:$I$89,5,0)</f>
        <v>6.7938169154018313</v>
      </c>
      <c r="P14" s="13">
        <f t="shared" si="33"/>
        <v>2.50500070842708</v>
      </c>
      <c r="Q14" s="20">
        <f t="shared" si="2"/>
        <v>16.195440694835355</v>
      </c>
      <c r="R14" s="59">
        <f t="shared" si="0"/>
        <v>231.86352680450864</v>
      </c>
      <c r="S14" s="59">
        <f ca="1">AVERAGE(OFFSET($R$3,0,0,'Données projet'!$E$9+1,1))-AVERAGE(OFFSET($H$3,0,0,'Données projet'!$E$9+1,1))</f>
        <v>366.78396742205962</v>
      </c>
      <c r="T14" s="59">
        <f t="shared" si="34"/>
        <v>271.89887525994988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55.151902272335143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7.6601960784313725</v>
      </c>
      <c r="AI14" s="13">
        <f>IF('Données projet'!$A$62&gt;35,AI13+AH14-AQ13,IF(A14&lt;'Données projet'!$A$62,$AF$205^A14,IF(A14='Données projet'!$A$62,'Données projet'!$B$62,AI13+AH14-AQ13)))</f>
        <v>84.262156862745073</v>
      </c>
      <c r="AJ14" s="13">
        <f>AI14*VLOOKUP('Données projet'!$B$10,Paramètres!$A$1:$I$89,3,0)*VLOOKUP('Données projet'!$B$10,Paramètres!$A$1:$I$89,5,0)</f>
        <v>39.434689411764694</v>
      </c>
      <c r="AK14" s="13">
        <f t="shared" si="35"/>
        <v>11.848687376102017</v>
      </c>
      <c r="AL14" s="20">
        <f t="shared" si="4"/>
        <v>89.318547905534516</v>
      </c>
      <c r="AM14" s="59">
        <f t="shared" si="5"/>
        <v>304.98663401520781</v>
      </c>
      <c r="AN14" s="59">
        <f ca="1">AVERAGE(OFFSET($AM$3,0,0,'Données projet'!$E$10+1,1))-AVERAGE(OFFSET($H$3,0,0,'Données projet'!$E$10+1,1))</f>
        <v>360.04137410460385</v>
      </c>
      <c r="AO14" s="59">
        <f t="shared" si="36"/>
        <v>287.81656468701829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55.151902272335143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13.717948717948715</v>
      </c>
      <c r="BD14" s="12">
        <f>IF('Données projet'!$A$88&gt;35,BD13+BC14-BL13,IF(A14&lt;'Données projet'!$A$88,$BA$205^A14,IF(A14='Données projet'!$A$88,'Données projet'!$B$88,BD13+BC14-BL13)))</f>
        <v>93.84615384615384</v>
      </c>
      <c r="BE14" s="13">
        <f>BD14*VLOOKUP('Données projet'!$B$11,Paramètres!$A$1:$I$89,3,0)*VLOOKUP('Données projet'!$B$11,Paramètres!$A$1:$I$89,5,0)</f>
        <v>47.726400000000005</v>
      </c>
      <c r="BF14" s="13">
        <f t="shared" si="37"/>
        <v>14.025011682376725</v>
      </c>
      <c r="BG14" s="20">
        <f t="shared" si="7"/>
        <v>107.55037534680612</v>
      </c>
      <c r="BH14" s="59">
        <f t="shared" si="8"/>
        <v>323.21846145647942</v>
      </c>
      <c r="BI14" s="59">
        <f ca="1">AVERAGE(OFFSET($BH$3,0,0,'Données projet'!$E$11+1,1))-AVERAGE(OFFSET($H$3,0,0,'Données projet'!$E$11+1,1))</f>
        <v>155.76430449447392</v>
      </c>
      <c r="BJ14" s="59">
        <f t="shared" si="38"/>
        <v>363.39275685992129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55.151902272335143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3.887142857142857</v>
      </c>
      <c r="BY14" s="12">
        <f>IF('Données projet'!$A$114&gt;35,BY13+BX14-CG13,IF(A14&lt;'Données projet'!$A$114,$BV$205^A14,IF(A14='Données projet'!$A$114,'Données projet'!$B$114,BY13+BX14-CG13)))</f>
        <v>42.758571428571415</v>
      </c>
      <c r="BZ14" s="13">
        <f>BY14*VLOOKUP('Données projet'!$B$12,Paramètres!$A$1:$I$89,3,0)*VLOOKUP('Données projet'!$B$12,Paramètres!$A$1:$I$89,5,0)</f>
        <v>43.357191428571419</v>
      </c>
      <c r="CA14" s="13">
        <f t="shared" si="39"/>
        <v>12.884254354928219</v>
      </c>
      <c r="CB14" s="20">
        <f t="shared" si="10"/>
        <v>97.953851406261848</v>
      </c>
      <c r="CC14" s="59">
        <f t="shared" si="11"/>
        <v>313.62193751593514</v>
      </c>
      <c r="CD14" s="59">
        <f ca="1">AVERAGE(OFFSET($CC$3,0,0,'Données projet'!$E$12+1,1))-AVERAGE(OFFSET($H$3,0,0,'Données projet'!$E$12+1,1))</f>
        <v>679.4570479719705</v>
      </c>
      <c r="CE14" s="59">
        <f t="shared" si="40"/>
        <v>310.8252119379963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55.151902272335143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13.717948717948715</v>
      </c>
      <c r="CT14" s="12">
        <f>IF('Données projet'!$A$140&gt;35,CT13+CS14-DB13,IF(A14&lt;'Données projet'!$A$140,$CQ$205^A14,IF(A14='Données projet'!$A$140,'Données projet'!$B$140,CT13+CS14-DB13)))</f>
        <v>93.84615384615384</v>
      </c>
      <c r="CU14" s="17">
        <f>CT14*VLOOKUP('Données projet'!$B$13,Paramètres!$A$1:$I$89,3,0)*VLOOKUP('Données projet'!$B$13,Paramètres!$A$1:$I$89,5,0)</f>
        <v>44.651999999999994</v>
      </c>
      <c r="CV14" s="13">
        <f t="shared" si="41"/>
        <v>13.223654639813496</v>
      </c>
      <c r="CW14" s="20">
        <f t="shared" si="13"/>
        <v>100.80009849767515</v>
      </c>
      <c r="CX14" s="59">
        <f t="shared" si="14"/>
        <v>316.46818460734846</v>
      </c>
      <c r="CY14" s="59">
        <f ca="1">AVERAGE(OFFSET($CX$3,0,0,'Données projet'!$E$13+1,1))-AVERAGE(OFFSET($H$3,0,0,'Données projet'!$E$13+1,1))</f>
        <v>146.95547268081216</v>
      </c>
      <c r="CZ14" s="59">
        <f t="shared" si="42"/>
        <v>343.21355872318065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55.151902272335143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55.151902272335143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55.151902272335143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55.151902272335143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55.151902272335143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3.5999999999999996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13.199999999999998</v>
      </c>
      <c r="H15" s="67">
        <f t="shared" si="1"/>
        <v>203.86666666666667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55.409483572536637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5.8668181818181813</v>
      </c>
      <c r="N15" s="13">
        <f>IF('Données projet'!$A$36&gt;35,N14+M15-V14,IF(A15&lt;'Données projet'!$A$36,$K$205^A15,IF(A15='Données projet'!$A$36,'Données projet'!$B$36,N14+M15-V14)))</f>
        <v>14.169654470507195</v>
      </c>
      <c r="O15" s="13">
        <f>N15*VLOOKUP('Données projet'!$B$9,Paramètres!$A$1:$I$89,3,0)*VLOOKUP('Données projet'!$B$9,Paramètres!$A$1:$I$89,5,0)</f>
        <v>8.4734533733633022</v>
      </c>
      <c r="P15" s="13">
        <f t="shared" si="33"/>
        <v>3.044992822013763</v>
      </c>
      <c r="Q15" s="20">
        <f t="shared" si="2"/>
        <v>20.06129379028172</v>
      </c>
      <c r="R15" s="59">
        <f t="shared" si="0"/>
        <v>237.8960668895827</v>
      </c>
      <c r="S15" s="59">
        <f ca="1">AVERAGE(OFFSET($R$3,0,0,'Données projet'!$E$9+1,1))-AVERAGE(OFFSET($H$3,0,0,'Données projet'!$E$9+1,1))</f>
        <v>366.78396742205962</v>
      </c>
      <c r="T15" s="59">
        <f t="shared" si="34"/>
        <v>271.89887525994988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55.409483572536637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7.6601960784313725</v>
      </c>
      <c r="AI15" s="13">
        <f>IF('Données projet'!$A$62&gt;35,AI14+AH15-AQ14,IF(A15&lt;'Données projet'!$A$62,$AF$205^A15,IF(A15='Données projet'!$A$62,'Données projet'!$B$62,AI14+AH15-AQ14)))</f>
        <v>91.922352941176442</v>
      </c>
      <c r="AJ15" s="13">
        <f>AI15*VLOOKUP('Données projet'!$B$10,Paramètres!$A$1:$I$89,3,0)*VLOOKUP('Données projet'!$B$10,Paramètres!$A$1:$I$89,5,0)</f>
        <v>43.019661176470578</v>
      </c>
      <c r="AK15" s="13">
        <f t="shared" si="35"/>
        <v>12.795586978878276</v>
      </c>
      <c r="AL15" s="20">
        <f t="shared" si="4"/>
        <v>97.211557203899247</v>
      </c>
      <c r="AM15" s="59">
        <f t="shared" si="5"/>
        <v>315.04633030320019</v>
      </c>
      <c r="AN15" s="59">
        <f ca="1">AVERAGE(OFFSET($AM$3,0,0,'Données projet'!$E$10+1,1))-AVERAGE(OFFSET($H$3,0,0,'Données projet'!$E$10+1,1))</f>
        <v>360.04137410460385</v>
      </c>
      <c r="AO15" s="59">
        <f t="shared" si="36"/>
        <v>287.81656468701829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55.409483572536637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13.717948717948715</v>
      </c>
      <c r="BD15" s="12">
        <f>IF('Données projet'!$A$88&gt;35,BD14+BC15-BL14,IF(A15&lt;'Données projet'!$A$88,$BA$205^A15,IF(A15='Données projet'!$A$88,'Données projet'!$B$88,BD14+BC15-BL14)))</f>
        <v>107.56410256410255</v>
      </c>
      <c r="BE15" s="13">
        <f>BD15*VLOOKUP('Données projet'!$B$11,Paramètres!$A$1:$I$89,3,0)*VLOOKUP('Données projet'!$B$11,Paramètres!$A$1:$I$89,5,0)</f>
        <v>54.702799999999996</v>
      </c>
      <c r="BF15" s="13">
        <f t="shared" si="37"/>
        <v>15.821851683296609</v>
      </c>
      <c r="BG15" s="20">
        <f t="shared" si="7"/>
        <v>122.83043501507494</v>
      </c>
      <c r="BH15" s="59">
        <f t="shared" si="8"/>
        <v>340.6652081143759</v>
      </c>
      <c r="BI15" s="59">
        <f ca="1">AVERAGE(OFFSET($BH$3,0,0,'Données projet'!$E$11+1,1))-AVERAGE(OFFSET($H$3,0,0,'Données projet'!$E$11+1,1))</f>
        <v>155.76430449447392</v>
      </c>
      <c r="BJ15" s="59">
        <f t="shared" si="38"/>
        <v>363.39275685992129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55.409483572536637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3.887142857142857</v>
      </c>
      <c r="BY15" s="12">
        <f>IF('Données projet'!$A$114&gt;35,BY14+BX15-CG14,IF(A15&lt;'Données projet'!$A$114,$BV$205^A15,IF(A15='Données projet'!$A$114,'Données projet'!$B$114,BY14+BX15-CG14)))</f>
        <v>46.64571428571427</v>
      </c>
      <c r="BZ15" s="13">
        <f>BY15*VLOOKUP('Données projet'!$B$12,Paramètres!$A$1:$I$89,3,0)*VLOOKUP('Données projet'!$B$12,Paramètres!$A$1:$I$89,5,0)</f>
        <v>47.298754285714274</v>
      </c>
      <c r="CA15" s="13">
        <f t="shared" si="39"/>
        <v>13.913912319856609</v>
      </c>
      <c r="CB15" s="20">
        <f t="shared" si="10"/>
        <v>106.6120610047026</v>
      </c>
      <c r="CC15" s="59">
        <f t="shared" si="11"/>
        <v>324.44683410400359</v>
      </c>
      <c r="CD15" s="59">
        <f ca="1">AVERAGE(OFFSET($CC$3,0,0,'Données projet'!$E$12+1,1))-AVERAGE(OFFSET($H$3,0,0,'Données projet'!$E$12+1,1))</f>
        <v>679.4570479719705</v>
      </c>
      <c r="CE15" s="59">
        <f t="shared" si="40"/>
        <v>310.8252119379963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55.409483572536637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13.717948717948715</v>
      </c>
      <c r="CT15" s="12">
        <f>IF('Données projet'!$A$140&gt;35,CT14+CS15-DB14,IF(A15&lt;'Données projet'!$A$140,$CQ$205^A15,IF(A15='Données projet'!$A$140,'Données projet'!$B$140,CT14+CS15-DB14)))</f>
        <v>107.56410256410255</v>
      </c>
      <c r="CU15" s="17">
        <f>CT15*VLOOKUP('Données projet'!$B$13,Paramètres!$A$1:$I$89,3,0)*VLOOKUP('Données projet'!$B$13,Paramètres!$A$1:$I$89,5,0)</f>
        <v>51.178999999999995</v>
      </c>
      <c r="CV15" s="13">
        <f t="shared" si="41"/>
        <v>14.917827318829771</v>
      </c>
      <c r="CW15" s="20">
        <f t="shared" si="13"/>
        <v>115.1186409136285</v>
      </c>
      <c r="CX15" s="59">
        <f t="shared" si="14"/>
        <v>332.95341401292944</v>
      </c>
      <c r="CY15" s="59">
        <f ca="1">AVERAGE(OFFSET($CX$3,0,0,'Données projet'!$E$13+1,1))-AVERAGE(OFFSET($H$3,0,0,'Données projet'!$E$13+1,1))</f>
        <v>146.95547268081216</v>
      </c>
      <c r="CZ15" s="59">
        <f t="shared" si="42"/>
        <v>343.21355872318065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55.409483572536637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55.409483572536637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55.409483572536637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55.409483572536637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55.409483572536637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3.5999999999999996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13.199999999999998</v>
      </c>
      <c r="H16" s="67">
        <f t="shared" si="1"/>
        <v>203.86666666666667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55.662596413045144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5.8668181818181813</v>
      </c>
      <c r="N16" s="13">
        <f>IF('Données projet'!$A$36&gt;35,N15+M16-V15,IF(A16&lt;'Données projet'!$A$36,$K$205^A16,IF(A16='Données projet'!$A$36,'Données projet'!$B$36,N15+M16-V15)))</f>
        <v>17.672820443588613</v>
      </c>
      <c r="O16" s="13">
        <f>N16*VLOOKUP('Données projet'!$B$9,Paramètres!$A$1:$I$89,3,0)*VLOOKUP('Données projet'!$B$9,Paramètres!$A$1:$I$89,5,0)</f>
        <v>10.56834662526599</v>
      </c>
      <c r="P16" s="13">
        <f t="shared" si="33"/>
        <v>3.7013886882041378</v>
      </c>
      <c r="Q16" s="20">
        <f t="shared" si="2"/>
        <v>24.853122337627141</v>
      </c>
      <c r="R16" s="59">
        <f t="shared" si="0"/>
        <v>244.83819807434821</v>
      </c>
      <c r="S16" s="59">
        <f ca="1">AVERAGE(OFFSET($R$3,0,0,'Données projet'!$E$9+1,1))-AVERAGE(OFFSET($H$3,0,0,'Données projet'!$E$9+1,1))</f>
        <v>366.78396742205962</v>
      </c>
      <c r="T16" s="59">
        <f t="shared" si="34"/>
        <v>271.89887525994988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55.662596413045144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7.6601960784313725</v>
      </c>
      <c r="AI16" s="13">
        <f>IF('Données projet'!$A$62&gt;35,AI15+AH16-AQ15,IF(A16&lt;'Données projet'!$A$62,$AF$205^A16,IF(A16='Données projet'!$A$62,'Données projet'!$B$62,AI15+AH16-AQ15)))</f>
        <v>99.582549019607811</v>
      </c>
      <c r="AJ16" s="13">
        <f>AI16*VLOOKUP('Données projet'!$B$10,Paramètres!$A$1:$I$89,3,0)*VLOOKUP('Données projet'!$B$10,Paramètres!$A$1:$I$89,5,0)</f>
        <v>46.604632941176455</v>
      </c>
      <c r="AK16" s="13">
        <f t="shared" si="35"/>
        <v>13.733334885440446</v>
      </c>
      <c r="AL16" s="20">
        <f t="shared" si="4"/>
        <v>105.08862729802443</v>
      </c>
      <c r="AM16" s="59">
        <f t="shared" si="5"/>
        <v>325.07370303474551</v>
      </c>
      <c r="AN16" s="59">
        <f ca="1">AVERAGE(OFFSET($AM$3,0,0,'Données projet'!$E$10+1,1))-AVERAGE(OFFSET($H$3,0,0,'Données projet'!$E$10+1,1))</f>
        <v>360.04137410460385</v>
      </c>
      <c r="AO16" s="59">
        <f t="shared" si="36"/>
        <v>287.81656468701829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55.662596413045144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13.717948717948715</v>
      </c>
      <c r="BD16" s="12">
        <f>IF('Données projet'!$A$88&gt;35,BD15+BC16-BL15,IF(A16&lt;'Données projet'!$A$88,$BA$205^A16,IF(A16='Données projet'!$A$88,'Données projet'!$B$88,BD15+BC16-BL15)))</f>
        <v>121.28205128205127</v>
      </c>
      <c r="BE16" s="13">
        <f>BD16*VLOOKUP('Données projet'!$B$11,Paramètres!$A$1:$I$89,3,0)*VLOOKUP('Données projet'!$B$11,Paramètres!$A$1:$I$89,5,0)</f>
        <v>61.679200000000002</v>
      </c>
      <c r="BF16" s="13">
        <f t="shared" si="37"/>
        <v>17.59213903016083</v>
      </c>
      <c r="BG16" s="20">
        <f t="shared" si="7"/>
        <v>138.06424881086346</v>
      </c>
      <c r="BH16" s="59">
        <f t="shared" si="8"/>
        <v>358.04932454758455</v>
      </c>
      <c r="BI16" s="59">
        <f ca="1">AVERAGE(OFFSET($BH$3,0,0,'Données projet'!$E$11+1,1))-AVERAGE(OFFSET($H$3,0,0,'Données projet'!$E$11+1,1))</f>
        <v>155.76430449447392</v>
      </c>
      <c r="BJ16" s="59">
        <f t="shared" si="38"/>
        <v>363.39275685992129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55.662596413045144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3.887142857142857</v>
      </c>
      <c r="BY16" s="12">
        <f>IF('Données projet'!$A$114&gt;35,BY15+BX16-CG15,IF(A16&lt;'Données projet'!$A$114,$BV$205^A16,IF(A16='Données projet'!$A$114,'Données projet'!$B$114,BY15+BX16-CG15)))</f>
        <v>50.532857142857125</v>
      </c>
      <c r="BZ16" s="13">
        <f>BY16*VLOOKUP('Données projet'!$B$12,Paramètres!$A$1:$I$89,3,0)*VLOOKUP('Données projet'!$B$12,Paramètres!$A$1:$I$89,5,0)</f>
        <v>51.240317142857123</v>
      </c>
      <c r="CA16" s="13">
        <f t="shared" si="39"/>
        <v>14.933618736730883</v>
      </c>
      <c r="CB16" s="20">
        <f t="shared" si="10"/>
        <v>115.25293832361577</v>
      </c>
      <c r="CC16" s="59">
        <f t="shared" si="11"/>
        <v>335.23801406033687</v>
      </c>
      <c r="CD16" s="59">
        <f ca="1">AVERAGE(OFFSET($CC$3,0,0,'Données projet'!$E$12+1,1))-AVERAGE(OFFSET($H$3,0,0,'Données projet'!$E$12+1,1))</f>
        <v>679.4570479719705</v>
      </c>
      <c r="CE16" s="59">
        <f t="shared" si="40"/>
        <v>310.8252119379963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55.662596413045144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13.717948717948715</v>
      </c>
      <c r="CT16" s="12">
        <f>IF('Données projet'!$A$140&gt;35,CT15+CS16-DB15,IF(A16&lt;'Données projet'!$A$140,$CQ$205^A16,IF(A16='Données projet'!$A$140,'Données projet'!$B$140,CT15+CS16-DB15)))</f>
        <v>121.28205128205127</v>
      </c>
      <c r="CU16" s="17">
        <f>CT16*VLOOKUP('Données projet'!$B$13,Paramètres!$A$1:$I$89,3,0)*VLOOKUP('Données projet'!$B$13,Paramètres!$A$1:$I$89,5,0)</f>
        <v>57.705999999999996</v>
      </c>
      <c r="CV16" s="13">
        <f t="shared" si="41"/>
        <v>16.586964501622983</v>
      </c>
      <c r="CW16" s="20">
        <f t="shared" si="13"/>
        <v>129.39357984032668</v>
      </c>
      <c r="CX16" s="59">
        <f t="shared" si="14"/>
        <v>349.37865557704777</v>
      </c>
      <c r="CY16" s="59">
        <f ca="1">AVERAGE(OFFSET($CX$3,0,0,'Données projet'!$E$13+1,1))-AVERAGE(OFFSET($H$3,0,0,'Données projet'!$E$13+1,1))</f>
        <v>146.95547268081216</v>
      </c>
      <c r="CZ16" s="59">
        <f t="shared" si="42"/>
        <v>343.21355872318065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55.662596413045144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55.662596413045144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55.662596413045144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55.662596413045144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55.662596413045144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3.5999999999999996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13.199999999999998</v>
      </c>
      <c r="H17" s="67">
        <f t="shared" si="1"/>
        <v>203.86666666666667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55.911318311646376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5.8668181818181813</v>
      </c>
      <c r="N17" s="13">
        <f>IF('Données projet'!$A$36&gt;35,N16+M17-V16,IF(A17&lt;'Données projet'!$A$36,$K$205^A17,IF(A17='Données projet'!$A$36,'Données projet'!$B$36,N16+M17-V16)))</f>
        <v>22.042074708413409</v>
      </c>
      <c r="O17" s="13">
        <f>N17*VLOOKUP('Données projet'!$B$9,Paramètres!$A$1:$I$89,3,0)*VLOOKUP('Données projet'!$B$9,Paramètres!$A$1:$I$89,5,0)</f>
        <v>13.181160675631221</v>
      </c>
      <c r="P17" s="13">
        <f t="shared" si="33"/>
        <v>4.4992809579449391</v>
      </c>
      <c r="Q17" s="20">
        <f t="shared" si="2"/>
        <v>30.793435845145144</v>
      </c>
      <c r="R17" s="59">
        <f t="shared" si="0"/>
        <v>252.91271409895964</v>
      </c>
      <c r="S17" s="59">
        <f ca="1">AVERAGE(OFFSET($R$3,0,0,'Données projet'!$E$9+1,1))-AVERAGE(OFFSET($H$3,0,0,'Données projet'!$E$9+1,1))</f>
        <v>366.78396742205962</v>
      </c>
      <c r="T17" s="59">
        <f t="shared" si="34"/>
        <v>271.89887525994988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55.911318311646376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7.6601960784313725</v>
      </c>
      <c r="AI17" s="13">
        <f>IF('Données projet'!$A$62&gt;35,AI16+AH17-AQ16,IF(A17&lt;'Données projet'!$A$62,$AF$205^A17,IF(A17='Données projet'!$A$62,'Données projet'!$B$62,AI16+AH17-AQ16)))</f>
        <v>107.24274509803918</v>
      </c>
      <c r="AJ17" s="13">
        <f>AI17*VLOOKUP('Données projet'!$B$10,Paramètres!$A$1:$I$89,3,0)*VLOOKUP('Données projet'!$B$10,Paramètres!$A$1:$I$89,5,0)</f>
        <v>50.189604705882338</v>
      </c>
      <c r="AK17" s="13">
        <f t="shared" si="35"/>
        <v>14.66271511394697</v>
      </c>
      <c r="AL17" s="20">
        <f t="shared" si="4"/>
        <v>112.95112368620271</v>
      </c>
      <c r="AM17" s="59">
        <f t="shared" si="5"/>
        <v>335.07040194001718</v>
      </c>
      <c r="AN17" s="59">
        <f ca="1">AVERAGE(OFFSET($AM$3,0,0,'Données projet'!$E$10+1,1))-AVERAGE(OFFSET($H$3,0,0,'Données projet'!$E$10+1,1))</f>
        <v>360.04137410460385</v>
      </c>
      <c r="AO17" s="59">
        <f t="shared" si="36"/>
        <v>287.81656468701829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55.911318311646376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13.717948717948715</v>
      </c>
      <c r="BD17" s="12">
        <f>IF('Données projet'!$A$88&gt;35,BD16+BC17-BL16,IF(A17&lt;'Données projet'!$A$88,$BA$205^A17,IF(A17='Données projet'!$A$88,'Données projet'!$B$88,BD16+BC17-BL16)))</f>
        <v>135</v>
      </c>
      <c r="BE17" s="13">
        <f>BD17*VLOOKUP('Données projet'!$B$11,Paramètres!$A$1:$I$89,3,0)*VLOOKUP('Données projet'!$B$11,Paramètres!$A$1:$I$89,5,0)</f>
        <v>68.655600000000007</v>
      </c>
      <c r="BF17" s="13">
        <f t="shared" si="37"/>
        <v>19.339219792497016</v>
      </c>
      <c r="BG17" s="20">
        <f t="shared" si="7"/>
        <v>153.25764447193231</v>
      </c>
      <c r="BH17" s="59">
        <f t="shared" si="8"/>
        <v>375.37692272574679</v>
      </c>
      <c r="BI17" s="59">
        <f ca="1">AVERAGE(OFFSET($BH$3,0,0,'Données projet'!$E$11+1,1))-AVERAGE(OFFSET($H$3,0,0,'Données projet'!$E$11+1,1))</f>
        <v>155.76430449447392</v>
      </c>
      <c r="BJ17" s="59">
        <f t="shared" si="38"/>
        <v>363.39275685992129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55.911318311646376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3.887142857142857</v>
      </c>
      <c r="BY17" s="12">
        <f>IF('Données projet'!$A$114&gt;35,BY16+BX17-CG16,IF(A17&lt;'Données projet'!$A$114,$BV$205^A17,IF(A17='Données projet'!$A$114,'Données projet'!$B$114,BY16+BX17-CG16)))</f>
        <v>54.41999999999998</v>
      </c>
      <c r="BZ17" s="13">
        <f>BY17*VLOOKUP('Données projet'!$B$12,Paramètres!$A$1:$I$89,3,0)*VLOOKUP('Données projet'!$B$12,Paramètres!$A$1:$I$89,5,0)</f>
        <v>55.181879999999985</v>
      </c>
      <c r="CA17" s="13">
        <f t="shared" si="39"/>
        <v>15.944226146347479</v>
      </c>
      <c r="CB17" s="20">
        <f t="shared" si="10"/>
        <v>123.87796820488852</v>
      </c>
      <c r="CC17" s="59">
        <f t="shared" si="11"/>
        <v>345.99724645870299</v>
      </c>
      <c r="CD17" s="59">
        <f ca="1">AVERAGE(OFFSET($CC$3,0,0,'Données projet'!$E$12+1,1))-AVERAGE(OFFSET($H$3,0,0,'Données projet'!$E$12+1,1))</f>
        <v>679.4570479719705</v>
      </c>
      <c r="CE17" s="59">
        <f t="shared" si="40"/>
        <v>310.8252119379963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55.911318311646376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13.717948717948715</v>
      </c>
      <c r="CT17" s="12">
        <f>IF('Données projet'!$A$140&gt;35,CT16+CS17-DB16,IF(A17&lt;'Données projet'!$A$140,$CQ$205^A17,IF(A17='Données projet'!$A$140,'Données projet'!$B$140,CT16+CS17-DB16)))</f>
        <v>135</v>
      </c>
      <c r="CU17" s="17">
        <f>CT17*VLOOKUP('Données projet'!$B$13,Paramètres!$A$1:$I$89,3,0)*VLOOKUP('Données projet'!$B$13,Paramètres!$A$1:$I$89,5,0)</f>
        <v>64.233000000000004</v>
      </c>
      <c r="CV17" s="13">
        <f t="shared" si="41"/>
        <v>18.234221070972289</v>
      </c>
      <c r="CW17" s="20">
        <f t="shared" si="13"/>
        <v>143.6304100319434</v>
      </c>
      <c r="CX17" s="59">
        <f t="shared" si="14"/>
        <v>365.74968828575788</v>
      </c>
      <c r="CY17" s="59">
        <f ca="1">AVERAGE(OFFSET($CX$3,0,0,'Données projet'!$E$13+1,1))-AVERAGE(OFFSET($H$3,0,0,'Données projet'!$E$13+1,1))</f>
        <v>146.95547268081216</v>
      </c>
      <c r="CZ17" s="59">
        <f t="shared" si="42"/>
        <v>343.21355872318065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55.911318311646376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55.911318311646376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55.911318311646376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55.911318311646376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55.911318311646376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3.5999999999999996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13.199999999999998</v>
      </c>
      <c r="H18" s="67">
        <f t="shared" si="1"/>
        <v>203.86666666666667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56.155725441365732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5.8668181818181813</v>
      </c>
      <c r="N18" s="13">
        <f>IF('Données projet'!$A$36&gt;35,N17+M18-V17,IF(A18&lt;'Données projet'!$A$36,$K$205^A18,IF(A18='Données projet'!$A$36,'Données projet'!$B$36,N17+M18-V17)))</f>
        <v>27.491540413830034</v>
      </c>
      <c r="O18" s="13">
        <f>N18*VLOOKUP('Données projet'!$B$9,Paramètres!$A$1:$I$89,3,0)*VLOOKUP('Données projet'!$B$9,Paramètres!$A$1:$I$89,5,0)</f>
        <v>16.439941167470362</v>
      </c>
      <c r="P18" s="13">
        <f t="shared" si="33"/>
        <v>5.4691713958708279</v>
      </c>
      <c r="Q18" s="20">
        <f t="shared" si="2"/>
        <v>38.158371047819237</v>
      </c>
      <c r="R18" s="59">
        <f t="shared" si="0"/>
        <v>262.39603099949358</v>
      </c>
      <c r="S18" s="59">
        <f ca="1">AVERAGE(OFFSET($R$3,0,0,'Données projet'!$E$9+1,1))-AVERAGE(OFFSET($H$3,0,0,'Données projet'!$E$9+1,1))</f>
        <v>366.78396742205962</v>
      </c>
      <c r="T18" s="59">
        <f t="shared" si="34"/>
        <v>271.89887525994988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56.155725441365732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7.6601960784313725</v>
      </c>
      <c r="AI18" s="13">
        <f>IF('Données projet'!$A$62&gt;35,AI17+AH18-AQ17,IF(A18&lt;'Données projet'!$A$62,$AF$205^A18,IF(A18='Données projet'!$A$62,'Données projet'!$B$62,AI17+AH18-AQ17)))</f>
        <v>114.90294117647055</v>
      </c>
      <c r="AJ18" s="13">
        <f>AI18*VLOOKUP('Données projet'!$B$10,Paramètres!$A$1:$I$89,3,0)*VLOOKUP('Données projet'!$B$10,Paramètres!$A$1:$I$89,5,0)</f>
        <v>53.774576470588215</v>
      </c>
      <c r="AK18" s="13">
        <f t="shared" si="35"/>
        <v>15.584393333367014</v>
      </c>
      <c r="AL18" s="20">
        <f t="shared" si="4"/>
        <v>120.80020574188869</v>
      </c>
      <c r="AM18" s="59">
        <f t="shared" si="5"/>
        <v>345.03786569356305</v>
      </c>
      <c r="AN18" s="59">
        <f ca="1">AVERAGE(OFFSET($AM$3,0,0,'Données projet'!$E$10+1,1))-AVERAGE(OFFSET($H$3,0,0,'Données projet'!$E$10+1,1))</f>
        <v>360.04137410460385</v>
      </c>
      <c r="AO18" s="59">
        <f t="shared" si="36"/>
        <v>287.81656468701829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56.155725441365732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148.7179487179487</v>
      </c>
      <c r="BB18" s="12">
        <f>VLOOKUP(A18,'Données projet'!$A$87:$I$107,9,0)</f>
        <v>13.717948717948715</v>
      </c>
      <c r="BC18" s="12">
        <f t="array" ref="BC18">INDEX(BB:BB,MIN(IF(ISNUMBER(BB18:BB214),ROW(BB18:BB214),"")))</f>
        <v>13.717948717948715</v>
      </c>
      <c r="BD18" s="12">
        <f>IF('Données projet'!$A$88&gt;35,BD17+BC18-BL17,IF(A18&lt;'Données projet'!$A$88,$BA$205^A18,IF(A18='Données projet'!$A$88,'Données projet'!$B$88,BD17+BC18-BL17)))</f>
        <v>148.71794871794873</v>
      </c>
      <c r="BE18" s="13">
        <f>BD18*VLOOKUP('Données projet'!$B$11,Paramètres!$A$1:$I$89,3,0)*VLOOKUP('Données projet'!$B$11,Paramètres!$A$1:$I$89,5,0)</f>
        <v>75.632000000000005</v>
      </c>
      <c r="BF18" s="13">
        <f t="shared" si="37"/>
        <v>21.065720600482592</v>
      </c>
      <c r="BG18" s="20">
        <f t="shared" si="7"/>
        <v>168.41519671250717</v>
      </c>
      <c r="BH18" s="59">
        <f t="shared" si="8"/>
        <v>392.65285666418151</v>
      </c>
      <c r="BI18" s="59">
        <f ca="1">AVERAGE(OFFSET($BH$3,0,0,'Données projet'!$E$11+1,1))-AVERAGE(OFFSET($H$3,0,0,'Données projet'!$E$11+1,1))</f>
        <v>155.76430449447392</v>
      </c>
      <c r="BJ18" s="59">
        <f t="shared" si="38"/>
        <v>363.39275685992129</v>
      </c>
      <c r="BK18" s="15">
        <f>IF(ISNA(VLOOKUP(A18,'Données projet'!$A$87:$I$107,3,0)),0,VLOOKUP(A18,'Données projet'!$A$87:$I$107,3,0))</f>
        <v>2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0.44999999999999996</v>
      </c>
      <c r="BN18" s="16">
        <f>IF(ISNA(VLOOKUP(A18,'Données projet'!$A$87:$I$107,6,0)),0%,VLOOKUP(A18,'Données projet'!$A$87:$I$107,6,0)*VLOOKUP('Données projet'!$B$11,Paramètres!$A$1:$I$89,7,0))</f>
        <v>0.12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56.155725441365732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3.887142857142857</v>
      </c>
      <c r="BY18" s="12">
        <f>IF('Données projet'!$A$114&gt;35,BY17+BX18-CG17,IF(A18&lt;'Données projet'!$A$114,$BV$205^A18,IF(A18='Données projet'!$A$114,'Données projet'!$B$114,BY17+BX18-CG17)))</f>
        <v>58.307142857142836</v>
      </c>
      <c r="BZ18" s="13">
        <f>BY18*VLOOKUP('Données projet'!$B$12,Paramètres!$A$1:$I$89,3,0)*VLOOKUP('Données projet'!$B$12,Paramètres!$A$1:$I$89,5,0)</f>
        <v>59.123442857142841</v>
      </c>
      <c r="CA18" s="13">
        <f t="shared" si="39"/>
        <v>16.946458396677293</v>
      </c>
      <c r="CB18" s="20">
        <f t="shared" si="10"/>
        <v>132.4884113504034</v>
      </c>
      <c r="CC18" s="59">
        <f t="shared" si="11"/>
        <v>356.72607130207774</v>
      </c>
      <c r="CD18" s="59">
        <f ca="1">AVERAGE(OFFSET($CC$3,0,0,'Données projet'!$E$12+1,1))-AVERAGE(OFFSET($H$3,0,0,'Données projet'!$E$12+1,1))</f>
        <v>679.4570479719705</v>
      </c>
      <c r="CE18" s="59">
        <f t="shared" si="40"/>
        <v>310.8252119379963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56.155725441365732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148.7179487179487</v>
      </c>
      <c r="CR18" s="12">
        <f>VLOOKUP(A18,'Données projet'!$A$139:$I$159,9,0)</f>
        <v>13.717948717948715</v>
      </c>
      <c r="CS18" s="12">
        <f t="array" ref="CS18">INDEX(CR:CR,MIN(IF(ISNUMBER(CR18:CR214),ROW(CR18:CR214),"")))</f>
        <v>13.717948717948715</v>
      </c>
      <c r="CT18" s="12">
        <f>IF('Données projet'!$A$140&gt;35,CT17+CS18-DB17,IF(A18&lt;'Données projet'!$A$140,$CQ$205^A18,IF(A18='Données projet'!$A$140,'Données projet'!$B$140,CT17+CS18-DB17)))</f>
        <v>148.71794871794873</v>
      </c>
      <c r="CU18" s="17">
        <f>CT18*VLOOKUP('Données projet'!$B$13,Paramètres!$A$1:$I$89,3,0)*VLOOKUP('Données projet'!$B$13,Paramètres!$A$1:$I$89,5,0)</f>
        <v>70.760000000000005</v>
      </c>
      <c r="CV18" s="13">
        <f t="shared" si="41"/>
        <v>19.862073577423203</v>
      </c>
      <c r="CW18" s="20">
        <f t="shared" si="13"/>
        <v>157.8334448140121</v>
      </c>
      <c r="CX18" s="59">
        <f t="shared" si="14"/>
        <v>382.07110476568641</v>
      </c>
      <c r="CY18" s="59">
        <f ca="1">AVERAGE(OFFSET($CX$3,0,0,'Données projet'!$E$13+1,1))-AVERAGE(OFFSET($H$3,0,0,'Données projet'!$E$13+1,1))</f>
        <v>146.95547268081216</v>
      </c>
      <c r="CZ18" s="59">
        <f t="shared" si="42"/>
        <v>343.21355872318065</v>
      </c>
      <c r="DA18" s="15">
        <f>IF(ISNA(VLOOKUP(A18,'Données projet'!$A$139:$I$159,3,0)),0,VLOOKUP(A18,'Données projet'!$A$139:$I$159,3,0))</f>
        <v>2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0.44999999999999996</v>
      </c>
      <c r="DD18" s="16">
        <f>IF(ISNA(VLOOKUP(A18,'Données projet'!$A$139:$I$159,6,0)),0%,VLOOKUP(A18,'Données projet'!$A$139:$I$159,6,0)*VLOOKUP('Données projet'!$B$13,Paramètres!$A$1:$I$89,7,0))</f>
        <v>0.12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56.155725441365732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56.155725441365732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56.155725441365732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56.155725441365732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56.155725441365732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3.5999999999999996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13.199999999999998</v>
      </c>
      <c r="H19" s="67">
        <f t="shared" si="1"/>
        <v>203.86666666666667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56.395892653796942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5.8668181818181813</v>
      </c>
      <c r="N19" s="13">
        <f>IF('Données projet'!$A$36&gt;35,N18+M19-V18,IF(A19&lt;'Données projet'!$A$36,$K$205^A19,IF(A19='Données projet'!$A$36,'Données projet'!$B$36,N18+M19-V18)))</f>
        <v>34.288278409507839</v>
      </c>
      <c r="O19" s="13">
        <f>N19*VLOOKUP('Données projet'!$B$9,Paramètres!$A$1:$I$89,3,0)*VLOOKUP('Données projet'!$B$9,Paramètres!$A$1:$I$89,5,0)</f>
        <v>20.50439048888569</v>
      </c>
      <c r="P19" s="13">
        <f t="shared" si="33"/>
        <v>6.6481368994289252</v>
      </c>
      <c r="Q19" s="20">
        <f t="shared" si="2"/>
        <v>47.290651867981289</v>
      </c>
      <c r="R19" s="59">
        <f t="shared" si="0"/>
        <v>273.63114715412564</v>
      </c>
      <c r="S19" s="59">
        <f ca="1">AVERAGE(OFFSET($R$3,0,0,'Données projet'!$E$9+1,1))-AVERAGE(OFFSET($H$3,0,0,'Données projet'!$E$9+1,1))</f>
        <v>366.78396742205962</v>
      </c>
      <c r="T19" s="59">
        <f t="shared" si="34"/>
        <v>271.89887525994988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56.395892653796942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7.6601960784313725</v>
      </c>
      <c r="AI19" s="13">
        <f>IF('Données projet'!$A$62&gt;35,AI18+AH19-AQ18,IF(A19&lt;'Données projet'!$A$62,$AF$205^A19,IF(A19='Données projet'!$A$62,'Données projet'!$B$62,AI18+AH19-AQ18)))</f>
        <v>122.56313725490192</v>
      </c>
      <c r="AJ19" s="13">
        <f>AI19*VLOOKUP('Données projet'!$B$10,Paramètres!$A$1:$I$89,3,0)*VLOOKUP('Données projet'!$B$10,Paramètres!$A$1:$I$89,5,0)</f>
        <v>57.359548235294099</v>
      </c>
      <c r="AK19" s="13">
        <f t="shared" si="35"/>
        <v>16.49894143547829</v>
      </c>
      <c r="AL19" s="20">
        <f t="shared" si="4"/>
        <v>128.63686950992857</v>
      </c>
      <c r="AM19" s="59">
        <f t="shared" si="5"/>
        <v>354.97736479607295</v>
      </c>
      <c r="AN19" s="59">
        <f ca="1">AVERAGE(OFFSET($AM$3,0,0,'Données projet'!$E$10+1,1))-AVERAGE(OFFSET($H$3,0,0,'Données projet'!$E$10+1,1))</f>
        <v>360.04137410460385</v>
      </c>
      <c r="AO19" s="59">
        <f t="shared" si="36"/>
        <v>287.81656468701829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56.395892653796942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14.230769230769232</v>
      </c>
      <c r="BD19" s="12">
        <f>IF('Données projet'!$A$88&gt;35,BD18+BC19-BL18,IF(A19&lt;'Données projet'!$A$88,$BA$205^A19,IF(A19='Données projet'!$A$88,'Données projet'!$B$88,BD18+BC19-BL18)))</f>
        <v>162.94871794871796</v>
      </c>
      <c r="BE19" s="13">
        <f>BD19*VLOOKUP('Données projet'!$B$11,Paramètres!$A$1:$I$89,3,0)*VLOOKUP('Données projet'!$B$11,Paramètres!$A$1:$I$89,5,0)</f>
        <v>82.869200000000021</v>
      </c>
      <c r="BF19" s="13">
        <f t="shared" si="37"/>
        <v>22.83727328319409</v>
      </c>
      <c r="BG19" s="20">
        <f t="shared" si="7"/>
        <v>184.10544096822977</v>
      </c>
      <c r="BH19" s="59">
        <f t="shared" si="8"/>
        <v>410.44593625437415</v>
      </c>
      <c r="BI19" s="59">
        <f ca="1">AVERAGE(OFFSET($BH$3,0,0,'Données projet'!$E$11+1,1))-AVERAGE(OFFSET($H$3,0,0,'Données projet'!$E$11+1,1))</f>
        <v>155.76430449447392</v>
      </c>
      <c r="BJ19" s="59">
        <f t="shared" si="38"/>
        <v>363.39275685992129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56.395892653796942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3.887142857142857</v>
      </c>
      <c r="BY19" s="12">
        <f>IF('Données projet'!$A$114&gt;35,BY18+BX19-CG18,IF(A19&lt;'Données projet'!$A$114,$BV$205^A19,IF(A19='Données projet'!$A$114,'Données projet'!$B$114,BY18+BX19-CG18)))</f>
        <v>62.194285714285691</v>
      </c>
      <c r="BZ19" s="13">
        <f>BY19*VLOOKUP('Données projet'!$B$12,Paramètres!$A$1:$I$89,3,0)*VLOOKUP('Données projet'!$B$12,Paramètres!$A$1:$I$89,5,0)</f>
        <v>63.065005714285689</v>
      </c>
      <c r="CA19" s="13">
        <f t="shared" si="39"/>
        <v>17.940937362438909</v>
      </c>
      <c r="CB19" s="20">
        <f t="shared" si="10"/>
        <v>141.08535085862869</v>
      </c>
      <c r="CC19" s="59">
        <f t="shared" si="11"/>
        <v>367.425846144773</v>
      </c>
      <c r="CD19" s="59">
        <f ca="1">AVERAGE(OFFSET($CC$3,0,0,'Données projet'!$E$12+1,1))-AVERAGE(OFFSET($H$3,0,0,'Données projet'!$E$12+1,1))</f>
        <v>679.4570479719705</v>
      </c>
      <c r="CE19" s="59">
        <f t="shared" si="40"/>
        <v>310.8252119379963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56.395892653796942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14.230769230769232</v>
      </c>
      <c r="CT19" s="12">
        <f>IF('Données projet'!$A$140&gt;35,CT18+CS19-DB18,IF(A19&lt;'Données projet'!$A$140,$CQ$205^A19,IF(A19='Données projet'!$A$140,'Données projet'!$B$140,CT18+CS19-DB18)))</f>
        <v>162.94871794871796</v>
      </c>
      <c r="CU19" s="17">
        <f>CT19*VLOOKUP('Données projet'!$B$13,Paramètres!$A$1:$I$89,3,0)*VLOOKUP('Données projet'!$B$13,Paramètres!$A$1:$I$89,5,0)</f>
        <v>77.531000000000006</v>
      </c>
      <c r="CV19" s="13">
        <f t="shared" si="41"/>
        <v>21.532403797671684</v>
      </c>
      <c r="CW19" s="20">
        <f t="shared" si="13"/>
        <v>172.53542828094487</v>
      </c>
      <c r="CX19" s="59">
        <f t="shared" si="14"/>
        <v>398.87592356708922</v>
      </c>
      <c r="CY19" s="59">
        <f ca="1">AVERAGE(OFFSET($CX$3,0,0,'Données projet'!$E$13+1,1))-AVERAGE(OFFSET($H$3,0,0,'Données projet'!$E$13+1,1))</f>
        <v>146.95547268081216</v>
      </c>
      <c r="CZ19" s="59">
        <f t="shared" si="42"/>
        <v>343.21355872318065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56.395892653796942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56.395892653796942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56.395892653796942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56.395892653796942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56.395892653796942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3.5999999999999996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13.199999999999998</v>
      </c>
      <c r="H20" s="67">
        <f t="shared" si="1"/>
        <v>203.86666666666667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56.631893502025918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5.8668181818181813</v>
      </c>
      <c r="N20" s="13">
        <f>IF('Données projet'!$A$36&gt;35,N19+M20-V19,IF(A20&lt;'Données projet'!$A$36,$K$205^A20,IF(A20='Données projet'!$A$36,'Données projet'!$B$36,N19+M20-V19)))</f>
        <v>42.765375042297542</v>
      </c>
      <c r="O20" s="13">
        <f>N20*VLOOKUP('Données projet'!$B$9,Paramètres!$A$1:$I$89,3,0)*VLOOKUP('Données projet'!$B$9,Paramètres!$A$1:$I$89,5,0)</f>
        <v>25.573694275293931</v>
      </c>
      <c r="P20" s="13">
        <f t="shared" si="33"/>
        <v>8.0812468716773616</v>
      </c>
      <c r="Q20" s="20">
        <f t="shared" si="2"/>
        <v>58.615689164308343</v>
      </c>
      <c r="R20" s="59">
        <f t="shared" si="0"/>
        <v>287.04374311618113</v>
      </c>
      <c r="S20" s="59">
        <f ca="1">AVERAGE(OFFSET($R$3,0,0,'Données projet'!$E$9+1,1))-AVERAGE(OFFSET($H$3,0,0,'Données projet'!$E$9+1,1))</f>
        <v>366.78396742205962</v>
      </c>
      <c r="T20" s="59">
        <f t="shared" si="34"/>
        <v>271.89887525994988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56.631893502025918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7.6601960784313725</v>
      </c>
      <c r="AI20" s="13">
        <f>IF('Données projet'!$A$62&gt;35,AI19+AH20-AQ19,IF(A20&lt;'Données projet'!$A$62,$AF$205^A20,IF(A20='Données projet'!$A$62,'Données projet'!$B$62,AI19+AH20-AQ19)))</f>
        <v>130.2233333333333</v>
      </c>
      <c r="AJ20" s="13">
        <f>AI20*VLOOKUP('Données projet'!$B$10,Paramètres!$A$1:$I$89,3,0)*VLOOKUP('Données projet'!$B$10,Paramètres!$A$1:$I$89,5,0)</f>
        <v>60.944519999999983</v>
      </c>
      <c r="AK20" s="13">
        <f t="shared" si="35"/>
        <v>17.406855785157887</v>
      </c>
      <c r="AL20" s="20">
        <f t="shared" si="4"/>
        <v>136.46197949248327</v>
      </c>
      <c r="AM20" s="59">
        <f t="shared" si="5"/>
        <v>364.89003344435605</v>
      </c>
      <c r="AN20" s="59">
        <f ca="1">AVERAGE(OFFSET($AM$3,0,0,'Données projet'!$E$10+1,1))-AVERAGE(OFFSET($H$3,0,0,'Données projet'!$E$10+1,1))</f>
        <v>360.04137410460385</v>
      </c>
      <c r="AO20" s="59">
        <f t="shared" si="36"/>
        <v>287.81656468701829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56.631893502025918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14.230769230769232</v>
      </c>
      <c r="BD20" s="12">
        <f>IF('Données projet'!$A$88&gt;35,BD19+BC20-BL19,IF(A20&lt;'Données projet'!$A$88,$BA$205^A20,IF(A20='Données projet'!$A$88,'Données projet'!$B$88,BD19+BC20-BL19)))</f>
        <v>177.17948717948718</v>
      </c>
      <c r="BE20" s="13">
        <f>BD20*VLOOKUP('Données projet'!$B$11,Paramètres!$A$1:$I$89,3,0)*VLOOKUP('Données projet'!$B$11,Paramètres!$A$1:$I$89,5,0)</f>
        <v>90.106400000000008</v>
      </c>
      <c r="BF20" s="13">
        <f t="shared" si="37"/>
        <v>24.590884346957413</v>
      </c>
      <c r="BG20" s="20">
        <f t="shared" si="7"/>
        <v>199.76443690428414</v>
      </c>
      <c r="BH20" s="59">
        <f t="shared" si="8"/>
        <v>428.19249085615695</v>
      </c>
      <c r="BI20" s="59">
        <f ca="1">AVERAGE(OFFSET($BH$3,0,0,'Données projet'!$E$11+1,1))-AVERAGE(OFFSET($H$3,0,0,'Données projet'!$E$11+1,1))</f>
        <v>155.76430449447392</v>
      </c>
      <c r="BJ20" s="59">
        <f t="shared" si="38"/>
        <v>363.39275685992129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56.631893502025918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3.887142857142857</v>
      </c>
      <c r="BY20" s="12">
        <f>IF('Données projet'!$A$114&gt;35,BY19+BX20-CG19,IF(A20&lt;'Données projet'!$A$114,$BV$205^A20,IF(A20='Données projet'!$A$114,'Données projet'!$B$114,BY19+BX20-CG19)))</f>
        <v>66.081428571428546</v>
      </c>
      <c r="BZ20" s="13">
        <f>BY20*VLOOKUP('Données projet'!$B$12,Paramètres!$A$1:$I$89,3,0)*VLOOKUP('Données projet'!$B$12,Paramètres!$A$1:$I$89,5,0)</f>
        <v>67.006568571428559</v>
      </c>
      <c r="CA20" s="13">
        <f t="shared" si="39"/>
        <v>18.928202790452044</v>
      </c>
      <c r="CB20" s="20">
        <f t="shared" si="10"/>
        <v>149.66972678860873</v>
      </c>
      <c r="CC20" s="59">
        <f t="shared" si="11"/>
        <v>378.09778074048154</v>
      </c>
      <c r="CD20" s="59">
        <f ca="1">AVERAGE(OFFSET($CC$3,0,0,'Données projet'!$E$12+1,1))-AVERAGE(OFFSET($H$3,0,0,'Données projet'!$E$12+1,1))</f>
        <v>679.4570479719705</v>
      </c>
      <c r="CE20" s="59">
        <f t="shared" si="40"/>
        <v>310.8252119379963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56.631893502025918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14.230769230769232</v>
      </c>
      <c r="CT20" s="12">
        <f>IF('Données projet'!$A$140&gt;35,CT19+CS20-DB19,IF(A20&lt;'Données projet'!$A$140,$CQ$205^A20,IF(A20='Données projet'!$A$140,'Données projet'!$B$140,CT19+CS20-DB19)))</f>
        <v>177.17948717948718</v>
      </c>
      <c r="CU20" s="17">
        <f>CT20*VLOOKUP('Données projet'!$B$13,Paramètres!$A$1:$I$89,3,0)*VLOOKUP('Données projet'!$B$13,Paramètres!$A$1:$I$89,5,0)</f>
        <v>84.301999999999992</v>
      </c>
      <c r="CV20" s="13">
        <f t="shared" si="41"/>
        <v>23.185817541982551</v>
      </c>
      <c r="CW20" s="20">
        <f t="shared" si="13"/>
        <v>187.20794888561957</v>
      </c>
      <c r="CX20" s="59">
        <f t="shared" si="14"/>
        <v>415.63600283749236</v>
      </c>
      <c r="CY20" s="59">
        <f ca="1">AVERAGE(OFFSET($CX$3,0,0,'Données projet'!$E$13+1,1))-AVERAGE(OFFSET($H$3,0,0,'Données projet'!$E$13+1,1))</f>
        <v>146.95547268081216</v>
      </c>
      <c r="CZ20" s="59">
        <f t="shared" si="42"/>
        <v>343.21355872318065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56.631893502025918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56.631893502025918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56.631893502025918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56.631893502025918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56.631893502025918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3.5999999999999996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13.199999999999998</v>
      </c>
      <c r="H21" s="67">
        <f t="shared" si="1"/>
        <v>203.86666666666667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56.863800263156975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5.8668181818181813</v>
      </c>
      <c r="N21" s="13">
        <f>IF('Données projet'!$A$36&gt;35,N20+M21-V20,IF(A21&lt;'Données projet'!$A$36,$K$205^A21,IF(A21='Données projet'!$A$36,'Données projet'!$B$36,N20+M21-V20)))</f>
        <v>53.338265650608868</v>
      </c>
      <c r="O21" s="13">
        <f>N21*VLOOKUP('Données projet'!$B$9,Paramètres!$A$1:$I$89,3,0)*VLOOKUP('Données projet'!$B$9,Paramètres!$A$1:$I$89,5,0)</f>
        <v>31.896282859064108</v>
      </c>
      <c r="P21" s="13">
        <f t="shared" si="33"/>
        <v>9.8232861309767845</v>
      </c>
      <c r="Q21" s="20">
        <f t="shared" si="2"/>
        <v>72.661582657654549</v>
      </c>
      <c r="R21" s="59">
        <f t="shared" si="0"/>
        <v>303.16218362256348</v>
      </c>
      <c r="S21" s="59">
        <f ca="1">AVERAGE(OFFSET($R$3,0,0,'Données projet'!$E$9+1,1))-AVERAGE(OFFSET($H$3,0,0,'Données projet'!$E$9+1,1))</f>
        <v>366.78396742205962</v>
      </c>
      <c r="T21" s="59">
        <f t="shared" si="34"/>
        <v>271.89887525994988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56.863800263156975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7.6601960784313725</v>
      </c>
      <c r="AI21" s="13">
        <f>IF('Données projet'!$A$62&gt;35,AI20+AH21-AQ20,IF(A21&lt;'Données projet'!$A$62,$AF$205^A21,IF(A21='Données projet'!$A$62,'Données projet'!$B$62,AI20+AH21-AQ20)))</f>
        <v>137.88352941176467</v>
      </c>
      <c r="AJ21" s="13">
        <f>AI21*VLOOKUP('Données projet'!$B$10,Paramètres!$A$1:$I$89,3,0)*VLOOKUP('Données projet'!$B$10,Paramètres!$A$1:$I$89,5,0)</f>
        <v>64.529491764705867</v>
      </c>
      <c r="AK21" s="13">
        <f t="shared" si="35"/>
        <v>18.308571052589809</v>
      </c>
      <c r="AL21" s="20">
        <f t="shared" si="4"/>
        <v>144.2762927401233</v>
      </c>
      <c r="AM21" s="59">
        <f t="shared" si="5"/>
        <v>374.77689370503219</v>
      </c>
      <c r="AN21" s="59">
        <f ca="1">AVERAGE(OFFSET($AM$3,0,0,'Données projet'!$E$10+1,1))-AVERAGE(OFFSET($H$3,0,0,'Données projet'!$E$10+1,1))</f>
        <v>360.04137410460385</v>
      </c>
      <c r="AO21" s="59">
        <f t="shared" si="36"/>
        <v>287.81656468701829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56.863800263156975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14.230769230769232</v>
      </c>
      <c r="BD21" s="12">
        <f>IF('Données projet'!$A$88&gt;35,BD20+BC21-BL20,IF(A21&lt;'Données projet'!$A$88,$BA$205^A21,IF(A21='Données projet'!$A$88,'Données projet'!$B$88,BD20+BC21-BL20)))</f>
        <v>191.41025641025641</v>
      </c>
      <c r="BE21" s="13">
        <f>BD21*VLOOKUP('Données projet'!$B$11,Paramètres!$A$1:$I$89,3,0)*VLOOKUP('Données projet'!$B$11,Paramètres!$A$1:$I$89,5,0)</f>
        <v>97.343600000000009</v>
      </c>
      <c r="BF21" s="13">
        <f t="shared" si="37"/>
        <v>26.328158666297146</v>
      </c>
      <c r="BG21" s="20">
        <f t="shared" si="7"/>
        <v>215.39497967713419</v>
      </c>
      <c r="BH21" s="59">
        <f t="shared" si="8"/>
        <v>445.89558064204311</v>
      </c>
      <c r="BI21" s="59">
        <f ca="1">AVERAGE(OFFSET($BH$3,0,0,'Données projet'!$E$11+1,1))-AVERAGE(OFFSET($H$3,0,0,'Données projet'!$E$11+1,1))</f>
        <v>155.76430449447392</v>
      </c>
      <c r="BJ21" s="59">
        <f t="shared" si="38"/>
        <v>363.39275685992129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56.863800263156975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3.887142857142857</v>
      </c>
      <c r="BY21" s="12">
        <f>IF('Données projet'!$A$114&gt;35,BY20+BX21-CG20,IF(A21&lt;'Données projet'!$A$114,$BV$205^A21,IF(A21='Données projet'!$A$114,'Données projet'!$B$114,BY20+BX21-CG20)))</f>
        <v>69.968571428571408</v>
      </c>
      <c r="BZ21" s="13">
        <f>BY21*VLOOKUP('Données projet'!$B$12,Paramètres!$A$1:$I$89,3,0)*VLOOKUP('Données projet'!$B$12,Paramètres!$A$1:$I$89,5,0)</f>
        <v>70.948131428571415</v>
      </c>
      <c r="CA21" s="13">
        <f t="shared" si="39"/>
        <v>19.908727340770373</v>
      </c>
      <c r="CB21" s="20">
        <f t="shared" si="10"/>
        <v>158.24236235660359</v>
      </c>
      <c r="CC21" s="59">
        <f t="shared" si="11"/>
        <v>388.74296332151255</v>
      </c>
      <c r="CD21" s="59">
        <f ca="1">AVERAGE(OFFSET($CC$3,0,0,'Données projet'!$E$12+1,1))-AVERAGE(OFFSET($H$3,0,0,'Données projet'!$E$12+1,1))</f>
        <v>679.4570479719705</v>
      </c>
      <c r="CE21" s="59">
        <f t="shared" si="40"/>
        <v>310.8252119379963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56.863800263156975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14.230769230769232</v>
      </c>
      <c r="CT21" s="12">
        <f>IF('Données projet'!$A$140&gt;35,CT20+CS21-DB20,IF(A21&lt;'Données projet'!$A$140,$CQ$205^A21,IF(A21='Données projet'!$A$140,'Données projet'!$B$140,CT20+CS21-DB20)))</f>
        <v>191.41025641025641</v>
      </c>
      <c r="CU21" s="17">
        <f>CT21*VLOOKUP('Données projet'!$B$13,Paramètres!$A$1:$I$89,3,0)*VLOOKUP('Données projet'!$B$13,Paramètres!$A$1:$I$89,5,0)</f>
        <v>91.072999999999993</v>
      </c>
      <c r="CV21" s="13">
        <f t="shared" si="41"/>
        <v>24.823827986026089</v>
      </c>
      <c r="CW21" s="20">
        <f t="shared" si="13"/>
        <v>201.85364207566207</v>
      </c>
      <c r="CX21" s="59">
        <f t="shared" si="14"/>
        <v>432.35424304057096</v>
      </c>
      <c r="CY21" s="59">
        <f ca="1">AVERAGE(OFFSET($CX$3,0,0,'Données projet'!$E$13+1,1))-AVERAGE(OFFSET($H$3,0,0,'Données projet'!$E$13+1,1))</f>
        <v>146.95547268081216</v>
      </c>
      <c r="CZ21" s="59">
        <f t="shared" si="42"/>
        <v>343.21355872318065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56.863800263156975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56.863800263156975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56.863800263156975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56.863800263156975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56.863800263156975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3.5999999999999996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13.199999999999998</v>
      </c>
      <c r="H22" s="67">
        <f t="shared" si="1"/>
        <v>203.86666666666667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57.091683960448258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5.8668181818181813</v>
      </c>
      <c r="N22" s="13">
        <f>IF('Données projet'!$A$36&gt;35,N21+M22-V21,IF(A22&lt;'Données projet'!$A$36,$K$205^A22,IF(A22='Données projet'!$A$36,'Données projet'!$B$36,N21+M22-V21)))</f>
        <v>66.525093718950743</v>
      </c>
      <c r="O22" s="13">
        <f>N22*VLOOKUP('Données projet'!$B$9,Paramètres!$A$1:$I$89,3,0)*VLOOKUP('Données projet'!$B$9,Paramètres!$A$1:$I$89,5,0)</f>
        <v>39.782006043932547</v>
      </c>
      <c r="P22" s="13">
        <f t="shared" si="33"/>
        <v>11.940849220834615</v>
      </c>
      <c r="Q22" s="20">
        <f t="shared" si="2"/>
        <v>90.083972919469474</v>
      </c>
      <c r="R22" s="59">
        <f t="shared" si="0"/>
        <v>322.64236966333533</v>
      </c>
      <c r="S22" s="59">
        <f ca="1">AVERAGE(OFFSET($R$3,0,0,'Données projet'!$E$9+1,1))-AVERAGE(OFFSET($H$3,0,0,'Données projet'!$E$9+1,1))</f>
        <v>366.78396742205962</v>
      </c>
      <c r="T22" s="59">
        <f t="shared" si="34"/>
        <v>271.89887525994988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57.091683960448258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7.6601960784313725</v>
      </c>
      <c r="AI22" s="13">
        <f>IF('Données projet'!$A$62&gt;35,AI21+AH22-AQ21,IF(A22&lt;'Données projet'!$A$62,$AF$205^A22,IF(A22='Données projet'!$A$62,'Données projet'!$B$62,AI21+AH22-AQ21)))</f>
        <v>145.54372549019604</v>
      </c>
      <c r="AJ22" s="13">
        <f>AI22*VLOOKUP('Données projet'!$B$10,Paramètres!$A$1:$I$89,3,0)*VLOOKUP('Données projet'!$B$10,Paramètres!$A$1:$I$89,5,0)</f>
        <v>68.114463529411751</v>
      </c>
      <c r="AK22" s="13">
        <f t="shared" si="35"/>
        <v>19.204470883524991</v>
      </c>
      <c r="AL22" s="20">
        <f t="shared" si="4"/>
        <v>152.08047743586482</v>
      </c>
      <c r="AM22" s="59">
        <f t="shared" si="5"/>
        <v>384.63887417973069</v>
      </c>
      <c r="AN22" s="59">
        <f ca="1">AVERAGE(OFFSET($AM$3,0,0,'Données projet'!$E$10+1,1))-AVERAGE(OFFSET($H$3,0,0,'Données projet'!$E$10+1,1))</f>
        <v>360.04137410460385</v>
      </c>
      <c r="AO22" s="59">
        <f t="shared" si="36"/>
        <v>287.81656468701829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57.091683960448258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14.230769230769232</v>
      </c>
      <c r="BD22" s="12">
        <f>IF('Données projet'!$A$88&gt;35,BD21+BC22-BL21,IF(A22&lt;'Données projet'!$A$88,$BA$205^A22,IF(A22='Données projet'!$A$88,'Données projet'!$B$88,BD21+BC22-BL21)))</f>
        <v>205.64102564102564</v>
      </c>
      <c r="BE22" s="13">
        <f>BD22*VLOOKUP('Données projet'!$B$11,Paramètres!$A$1:$I$89,3,0)*VLOOKUP('Données projet'!$B$11,Paramètres!$A$1:$I$89,5,0)</f>
        <v>104.5808</v>
      </c>
      <c r="BF22" s="13">
        <f t="shared" si="37"/>
        <v>28.050448941743085</v>
      </c>
      <c r="BG22" s="20">
        <f t="shared" si="7"/>
        <v>230.99942524020253</v>
      </c>
      <c r="BH22" s="59">
        <f t="shared" si="8"/>
        <v>463.55782198406837</v>
      </c>
      <c r="BI22" s="59">
        <f ca="1">AVERAGE(OFFSET($BH$3,0,0,'Données projet'!$E$11+1,1))-AVERAGE(OFFSET($H$3,0,0,'Données projet'!$E$11+1,1))</f>
        <v>155.76430449447392</v>
      </c>
      <c r="BJ22" s="59">
        <f t="shared" si="38"/>
        <v>363.39275685992129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57.091683960448258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3.887142857142857</v>
      </c>
      <c r="BY22" s="12">
        <f>IF('Données projet'!$A$114&gt;35,BY21+BX22-CG21,IF(A22&lt;'Données projet'!$A$114,$BV$205^A22,IF(A22='Données projet'!$A$114,'Données projet'!$B$114,BY21+BX22-CG21)))</f>
        <v>73.855714285714271</v>
      </c>
      <c r="BZ22" s="13">
        <f>BY22*VLOOKUP('Données projet'!$B$12,Paramètres!$A$1:$I$89,3,0)*VLOOKUP('Données projet'!$B$12,Paramètres!$A$1:$I$89,5,0)</f>
        <v>74.889694285714285</v>
      </c>
      <c r="CA22" s="13">
        <f t="shared" si="39"/>
        <v>20.882928189514811</v>
      </c>
      <c r="CB22" s="20">
        <f t="shared" si="10"/>
        <v>166.80398414435732</v>
      </c>
      <c r="CC22" s="59">
        <f t="shared" si="11"/>
        <v>399.36238088822313</v>
      </c>
      <c r="CD22" s="59">
        <f ca="1">AVERAGE(OFFSET($CC$3,0,0,'Données projet'!$E$12+1,1))-AVERAGE(OFFSET($H$3,0,0,'Données projet'!$E$12+1,1))</f>
        <v>679.4570479719705</v>
      </c>
      <c r="CE22" s="59">
        <f t="shared" si="40"/>
        <v>310.8252119379963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57.091683960448258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14.230769230769232</v>
      </c>
      <c r="CT22" s="12">
        <f>IF('Données projet'!$A$140&gt;35,CT21+CS22-DB21,IF(A22&lt;'Données projet'!$A$140,$CQ$205^A22,IF(A22='Données projet'!$A$140,'Données projet'!$B$140,CT21+CS22-DB21)))</f>
        <v>205.64102564102564</v>
      </c>
      <c r="CU22" s="17">
        <f>CT22*VLOOKUP('Données projet'!$B$13,Paramètres!$A$1:$I$89,3,0)*VLOOKUP('Données projet'!$B$13,Paramètres!$A$1:$I$89,5,0)</f>
        <v>97.843999999999994</v>
      </c>
      <c r="CV22" s="13">
        <f t="shared" si="41"/>
        <v>26.447710540122245</v>
      </c>
      <c r="CW22" s="20">
        <f t="shared" si="13"/>
        <v>216.47472919071288</v>
      </c>
      <c r="CX22" s="59">
        <f t="shared" si="14"/>
        <v>449.03312593457872</v>
      </c>
      <c r="CY22" s="59">
        <f ca="1">AVERAGE(OFFSET($CX$3,0,0,'Données projet'!$E$13+1,1))-AVERAGE(OFFSET($H$3,0,0,'Données projet'!$E$13+1,1))</f>
        <v>146.95547268081216</v>
      </c>
      <c r="CZ22" s="59">
        <f t="shared" si="42"/>
        <v>343.21355872318065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57.091683960448258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57.091683960448258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57.091683960448258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57.091683960448258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57.091683960448258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3.5999999999999996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13.199999999999998</v>
      </c>
      <c r="H23" s="67">
        <f t="shared" si="1"/>
        <v>203.86666666666667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57.315614385063157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5.8668181818181813</v>
      </c>
      <c r="N23" s="13">
        <f>IF('Données projet'!$A$36&gt;35,N22+M23-V22,IF(A23&lt;'Données projet'!$A$36,$K$205^A23,IF(A23='Données projet'!$A$36,'Données projet'!$B$36,N22+M23-V22)))</f>
        <v>82.972103429550899</v>
      </c>
      <c r="O23" s="13">
        <f>N23*VLOOKUP('Données projet'!$B$9,Paramètres!$A$1:$I$89,3,0)*VLOOKUP('Données projet'!$B$9,Paramètres!$A$1:$I$89,5,0)</f>
        <v>49.617317850871444</v>
      </c>
      <c r="P23" s="13">
        <f t="shared" si="33"/>
        <v>14.514886181018609</v>
      </c>
      <c r="Q23" s="20">
        <f t="shared" si="2"/>
        <v>111.69692202220851</v>
      </c>
      <c r="R23" s="59">
        <f t="shared" si="0"/>
        <v>346.2986192118845</v>
      </c>
      <c r="S23" s="59">
        <f ca="1">AVERAGE(OFFSET($R$3,0,0,'Données projet'!$E$9+1,1))-AVERAGE(OFFSET($H$3,0,0,'Données projet'!$E$9+1,1))</f>
        <v>366.78396742205962</v>
      </c>
      <c r="T23" s="59">
        <f t="shared" si="34"/>
        <v>271.89887525994988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57.315614385063157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7.6601960784313725</v>
      </c>
      <c r="AI23" s="13">
        <f>IF('Données projet'!$A$62&gt;35,AI22+AH23-AQ22,IF(A23&lt;'Données projet'!$A$62,$AF$205^A23,IF(A23='Données projet'!$A$62,'Données projet'!$B$62,AI22+AH23-AQ22)))</f>
        <v>153.20392156862741</v>
      </c>
      <c r="AJ23" s="13">
        <f>AI23*VLOOKUP('Données projet'!$B$10,Paramètres!$A$1:$I$89,3,0)*VLOOKUP('Données projet'!$B$10,Paramètres!$A$1:$I$89,5,0)</f>
        <v>71.69943529411762</v>
      </c>
      <c r="AK23" s="13">
        <f t="shared" si="35"/>
        <v>20.094896259086788</v>
      </c>
      <c r="AL23" s="20">
        <f t="shared" si="4"/>
        <v>159.87512745516435</v>
      </c>
      <c r="AM23" s="59">
        <f t="shared" si="5"/>
        <v>394.47682464484035</v>
      </c>
      <c r="AN23" s="59">
        <f ca="1">AVERAGE(OFFSET($AM$3,0,0,'Données projet'!$E$10+1,1))-AVERAGE(OFFSET($H$3,0,0,'Données projet'!$E$10+1,1))</f>
        <v>360.04137410460385</v>
      </c>
      <c r="AO23" s="59">
        <f t="shared" si="36"/>
        <v>287.81656468701829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57.315614385063157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219.87179487179486</v>
      </c>
      <c r="BB23" s="12">
        <f>VLOOKUP(A23,'Données projet'!$A$87:$I$107,9,0)</f>
        <v>14.230769230769232</v>
      </c>
      <c r="BC23" s="12">
        <f t="array" ref="BC23">INDEX(BB:BB,MIN(IF(ISNUMBER(BB23:BB219),ROW(BB23:BB219),"")))</f>
        <v>14.230769230769232</v>
      </c>
      <c r="BD23" s="12">
        <f>IF('Données projet'!$A$88&gt;35,BD22+BC23-BL22,IF(A23&lt;'Données projet'!$A$88,$BA$205^A23,IF(A23='Données projet'!$A$88,'Données projet'!$B$88,BD22+BC23-BL22)))</f>
        <v>219.87179487179486</v>
      </c>
      <c r="BE23" s="13">
        <f>BD23*VLOOKUP('Données projet'!$B$11,Paramètres!$A$1:$I$89,3,0)*VLOOKUP('Données projet'!$B$11,Paramètres!$A$1:$I$89,5,0)</f>
        <v>111.818</v>
      </c>
      <c r="BF23" s="13">
        <f t="shared" si="37"/>
        <v>29.758910054541737</v>
      </c>
      <c r="BG23" s="20">
        <f t="shared" si="7"/>
        <v>246.57978501166019</v>
      </c>
      <c r="BH23" s="59">
        <f t="shared" si="8"/>
        <v>481.18148220133617</v>
      </c>
      <c r="BI23" s="59">
        <f ca="1">AVERAGE(OFFSET($BH$3,0,0,'Données projet'!$E$11+1,1))-AVERAGE(OFFSET($H$3,0,0,'Données projet'!$E$11+1,1))</f>
        <v>155.76430449447392</v>
      </c>
      <c r="BJ23" s="59">
        <f t="shared" si="38"/>
        <v>363.39275685992129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0.44999999999999996</v>
      </c>
      <c r="BN23" s="16">
        <f>IF(ISNA(VLOOKUP(A23,'Données projet'!$A$87:$I$107,6,0)),0%,VLOOKUP(A23,'Données projet'!$A$87:$I$107,6,0)*VLOOKUP('Données projet'!$B$11,Paramètres!$A$1:$I$89,7,0))</f>
        <v>0.12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57.315614385063157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3.887142857142857</v>
      </c>
      <c r="BY23" s="12">
        <f>IF('Données projet'!$A$114&gt;35,BY22+BX23-CG22,IF(A23&lt;'Données projet'!$A$114,$BV$205^A23,IF(A23='Données projet'!$A$114,'Données projet'!$B$114,BY22+BX23-CG22)))</f>
        <v>77.742857142857133</v>
      </c>
      <c r="BZ23" s="13">
        <f>BY23*VLOOKUP('Données projet'!$B$12,Paramètres!$A$1:$I$89,3,0)*VLOOKUP('Données projet'!$B$12,Paramètres!$A$1:$I$89,5,0)</f>
        <v>78.83125714285714</v>
      </c>
      <c r="CA23" s="13">
        <f t="shared" si="39"/>
        <v>21.851176119320101</v>
      </c>
      <c r="CB23" s="20">
        <f t="shared" si="10"/>
        <v>175.35523793162534</v>
      </c>
      <c r="CC23" s="59">
        <f t="shared" si="11"/>
        <v>409.95693512130134</v>
      </c>
      <c r="CD23" s="59">
        <f ca="1">AVERAGE(OFFSET($CC$3,0,0,'Données projet'!$E$12+1,1))-AVERAGE(OFFSET($H$3,0,0,'Données projet'!$E$12+1,1))</f>
        <v>679.4570479719705</v>
      </c>
      <c r="CE23" s="59">
        <f t="shared" si="40"/>
        <v>310.8252119379963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57.315614385063157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219.87179487179486</v>
      </c>
      <c r="CR23" s="12">
        <f>VLOOKUP(A23,'Données projet'!$A$139:$I$159,9,0)</f>
        <v>14.230769230769232</v>
      </c>
      <c r="CS23" s="12">
        <f t="array" ref="CS23">INDEX(CR:CR,MIN(IF(ISNUMBER(CR23:CR219),ROW(CR23:CR219),"")))</f>
        <v>14.230769230769232</v>
      </c>
      <c r="CT23" s="12">
        <f>IF('Données projet'!$A$140&gt;35,CT22+CS23-DB22,IF(A23&lt;'Données projet'!$A$140,$CQ$205^A23,IF(A23='Données projet'!$A$140,'Données projet'!$B$140,CT22+CS23-DB22)))</f>
        <v>219.87179487179486</v>
      </c>
      <c r="CU23" s="17">
        <f>CT23*VLOOKUP('Données projet'!$B$13,Paramètres!$A$1:$I$89,3,0)*VLOOKUP('Données projet'!$B$13,Paramètres!$A$1:$I$89,5,0)</f>
        <v>104.61499999999999</v>
      </c>
      <c r="CV23" s="13">
        <f t="shared" si="41"/>
        <v>28.058554098248415</v>
      </c>
      <c r="CW23" s="20">
        <f t="shared" si="13"/>
        <v>231.07310672111598</v>
      </c>
      <c r="CX23" s="59">
        <f t="shared" si="14"/>
        <v>465.67480391079198</v>
      </c>
      <c r="CY23" s="59">
        <f ca="1">AVERAGE(OFFSET($CX$3,0,0,'Données projet'!$E$13+1,1))-AVERAGE(OFFSET($H$3,0,0,'Données projet'!$E$13+1,1))</f>
        <v>146.95547268081216</v>
      </c>
      <c r="CZ23" s="59">
        <f t="shared" si="42"/>
        <v>343.21355872318065</v>
      </c>
      <c r="DA23" s="15">
        <f>IF(ISNA(VLOOKUP(A23,'Données projet'!$A$139:$I$159,3,0)),0,VLOOKUP(A23,'Données projet'!$A$139:$I$159,3,0))</f>
        <v>3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0.44999999999999996</v>
      </c>
      <c r="DD23" s="16">
        <f>IF(ISNA(VLOOKUP(A23,'Données projet'!$A$139:$I$159,6,0)),0%,VLOOKUP(A23,'Données projet'!$A$139:$I$159,6,0)*VLOOKUP('Données projet'!$B$13,Paramètres!$A$1:$I$89,7,0))</f>
        <v>0.12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57.315614385063157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57.315614385063157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57.315614385063157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57.315614385063157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57.315614385063157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3.5999999999999996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13.199999999999998</v>
      </c>
      <c r="H24" s="67">
        <f t="shared" si="1"/>
        <v>203.86666666666667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57.535660117444422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5.8668181818181813</v>
      </c>
      <c r="N24" s="13">
        <f>IF('Données projet'!$A$36&gt;35,N23+M24-V23,IF(A24&lt;'Données projet'!$A$36,$K$205^A24,IF(A24='Données projet'!$A$36,'Données projet'!$B$36,N23+M24-V23)))</f>
        <v>103.48531001863087</v>
      </c>
      <c r="O24" s="13">
        <f>N24*VLOOKUP('Données projet'!$B$9,Paramètres!$A$1:$I$89,3,0)*VLOOKUP('Données projet'!$B$9,Paramètres!$A$1:$I$89,5,0)</f>
        <v>61.884215391141261</v>
      </c>
      <c r="P24" s="13">
        <f t="shared" si="33"/>
        <v>17.643797099482939</v>
      </c>
      <c r="Q24" s="20">
        <f t="shared" si="2"/>
        <v>138.51128842117049</v>
      </c>
      <c r="R24" s="59">
        <f t="shared" si="0"/>
        <v>375.14204218513339</v>
      </c>
      <c r="S24" s="59">
        <f ca="1">AVERAGE(OFFSET($R$3,0,0,'Données projet'!$E$9+1,1))-AVERAGE(OFFSET($H$3,0,0,'Données projet'!$E$9+1,1))</f>
        <v>366.78396742205962</v>
      </c>
      <c r="T24" s="59">
        <f t="shared" si="34"/>
        <v>271.89887525994988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57.535660117444422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7.6601960784313725</v>
      </c>
      <c r="AI24" s="13">
        <f>IF('Données projet'!$A$62&gt;35,AI23+AH24-AQ23,IF(A24&lt;'Données projet'!$A$62,$AF$205^A24,IF(A24='Données projet'!$A$62,'Données projet'!$B$62,AI23+AH24-AQ23)))</f>
        <v>160.86411764705878</v>
      </c>
      <c r="AJ24" s="13">
        <f>AI24*VLOOKUP('Données projet'!$B$10,Paramètres!$A$1:$I$89,3,0)*VLOOKUP('Données projet'!$B$10,Paramètres!$A$1:$I$89,5,0)</f>
        <v>75.284407058823504</v>
      </c>
      <c r="AK24" s="13">
        <f t="shared" si="35"/>
        <v>20.980152136101097</v>
      </c>
      <c r="AL24" s="20">
        <f t="shared" si="4"/>
        <v>167.66077393116035</v>
      </c>
      <c r="AM24" s="59">
        <f t="shared" si="5"/>
        <v>404.29152769512325</v>
      </c>
      <c r="AN24" s="59">
        <f ca="1">AVERAGE(OFFSET($AM$3,0,0,'Données projet'!$E$10+1,1))-AVERAGE(OFFSET($H$3,0,0,'Données projet'!$E$10+1,1))</f>
        <v>360.04137410460385</v>
      </c>
      <c r="AO24" s="59">
        <f t="shared" si="36"/>
        <v>287.81656468701829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57.535660117444422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12.5</v>
      </c>
      <c r="BD24" s="12">
        <f>IF('Données projet'!$A$88&gt;35,BD23+BC24-BL23,IF(A24&lt;'Données projet'!$A$88,$BA$205^A24,IF(A24='Données projet'!$A$88,'Données projet'!$B$88,BD23+BC24-BL23)))</f>
        <v>232.37179487179486</v>
      </c>
      <c r="BE24" s="13">
        <f>BD24*VLOOKUP('Données projet'!$B$11,Paramètres!$A$1:$I$89,3,0)*VLOOKUP('Données projet'!$B$11,Paramètres!$A$1:$I$89,5,0)</f>
        <v>118.175</v>
      </c>
      <c r="BF24" s="13">
        <f t="shared" si="37"/>
        <v>31.24896910986098</v>
      </c>
      <c r="BG24" s="20">
        <f t="shared" si="7"/>
        <v>260.24674619967453</v>
      </c>
      <c r="BH24" s="59">
        <f t="shared" si="8"/>
        <v>496.87749996363743</v>
      </c>
      <c r="BI24" s="59">
        <f ca="1">AVERAGE(OFFSET($BH$3,0,0,'Données projet'!$E$11+1,1))-AVERAGE(OFFSET($H$3,0,0,'Données projet'!$E$11+1,1))</f>
        <v>155.76430449447392</v>
      </c>
      <c r="BJ24" s="59">
        <f t="shared" si="38"/>
        <v>363.39275685992129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57.535660117444422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3.887142857142857</v>
      </c>
      <c r="BY24" s="12">
        <f>IF('Données projet'!$A$114&gt;35,BY23+BX24-CG23,IF(A24&lt;'Données projet'!$A$114,$BV$205^A24,IF(A24='Données projet'!$A$114,'Données projet'!$B$114,BY23+BX24-CG23)))</f>
        <v>81.63</v>
      </c>
      <c r="BZ24" s="13">
        <f>BY24*VLOOKUP('Données projet'!$B$12,Paramètres!$A$1:$I$89,3,0)*VLOOKUP('Données projet'!$B$12,Paramètres!$A$1:$I$89,5,0)</f>
        <v>82.772819999999996</v>
      </c>
      <c r="CA24" s="13">
        <f t="shared" si="39"/>
        <v>22.813802740025121</v>
      </c>
      <c r="CB24" s="20">
        <f t="shared" si="10"/>
        <v>183.89670127221041</v>
      </c>
      <c r="CC24" s="59">
        <f t="shared" si="11"/>
        <v>420.52745503617325</v>
      </c>
      <c r="CD24" s="59">
        <f ca="1">AVERAGE(OFFSET($CC$3,0,0,'Données projet'!$E$12+1,1))-AVERAGE(OFFSET($H$3,0,0,'Données projet'!$E$12+1,1))</f>
        <v>679.4570479719705</v>
      </c>
      <c r="CE24" s="59">
        <f t="shared" si="40"/>
        <v>310.8252119379963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57.535660117444422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12.5</v>
      </c>
      <c r="CT24" s="12">
        <f>IF('Données projet'!$A$140&gt;35,CT23+CS24-DB23,IF(A24&lt;'Données projet'!$A$140,$CQ$205^A24,IF(A24='Données projet'!$A$140,'Données projet'!$B$140,CT23+CS24-DB23)))</f>
        <v>232.37179487179486</v>
      </c>
      <c r="CU24" s="17">
        <f>CT24*VLOOKUP('Données projet'!$B$13,Paramètres!$A$1:$I$89,3,0)*VLOOKUP('Données projet'!$B$13,Paramètres!$A$1:$I$89,5,0)</f>
        <v>110.5625</v>
      </c>
      <c r="CV24" s="13">
        <f t="shared" si="41"/>
        <v>29.463474592199073</v>
      </c>
      <c r="CW24" s="20">
        <f t="shared" si="13"/>
        <v>243.87857241474671</v>
      </c>
      <c r="CX24" s="59">
        <f t="shared" si="14"/>
        <v>480.50932617870956</v>
      </c>
      <c r="CY24" s="59">
        <f ca="1">AVERAGE(OFFSET($CX$3,0,0,'Données projet'!$E$13+1,1))-AVERAGE(OFFSET($H$3,0,0,'Données projet'!$E$13+1,1))</f>
        <v>146.95547268081216</v>
      </c>
      <c r="CZ24" s="59">
        <f t="shared" si="42"/>
        <v>343.21355872318065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57.535660117444422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57.535660117444422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57.535660117444422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57.535660117444422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57.535660117444422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3.5999999999999996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13.199999999999998</v>
      </c>
      <c r="H25" s="67">
        <f t="shared" si="1"/>
        <v>203.86666666666667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57.751888548317424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>
        <f>VLOOKUP(A25,'Données projet'!$A$35:$I$55,2,0)</f>
        <v>129.07</v>
      </c>
      <c r="L25" s="12">
        <f>VLOOKUP(A25,'Données projet'!$A$35:$I$55,9,0)</f>
        <v>5.8668181818181813</v>
      </c>
      <c r="M25" s="12">
        <f t="array" ref="M25">INDEX(L:L,MIN(IF(ISNUMBER(L25:L221),ROW(L25:L221),"")))</f>
        <v>5.8668181818181813</v>
      </c>
      <c r="N25" s="13">
        <f>IF('Données projet'!$A$36&gt;35,N24+M25-V24,IF(A25&lt;'Données projet'!$A$36,$K$205^A25,IF(A25='Données projet'!$A$36,'Données projet'!$B$36,N24+M25-V24)))</f>
        <v>129.07</v>
      </c>
      <c r="O25" s="13">
        <f>N25*VLOOKUP('Données projet'!$B$9,Paramètres!$A$1:$I$89,3,0)*VLOOKUP('Données projet'!$B$9,Paramètres!$A$1:$I$89,5,0)</f>
        <v>77.183859999999996</v>
      </c>
      <c r="P25" s="13">
        <f t="shared" si="33"/>
        <v>21.447193743401183</v>
      </c>
      <c r="Q25" s="20">
        <f t="shared" si="2"/>
        <v>171.78241860309038</v>
      </c>
      <c r="R25" s="59">
        <f t="shared" si="0"/>
        <v>410.42823216914314</v>
      </c>
      <c r="S25" s="59">
        <f ca="1">AVERAGE(OFFSET($R$3,0,0,'Données projet'!$E$9+1,1))-AVERAGE(OFFSET($H$3,0,0,'Données projet'!$E$9+1,1))</f>
        <v>366.78396742205962</v>
      </c>
      <c r="T25" s="59">
        <f t="shared" si="34"/>
        <v>271.89887525994988</v>
      </c>
      <c r="U25" s="15">
        <f>IF(ISNA(VLOOKUP(A25,'Données projet'!$A$35:$I$55,3,0)),0,VLOOKUP(A25,'Données projet'!$A$35:$I$55,3,0))</f>
        <v>1</v>
      </c>
      <c r="V25" s="15">
        <f>IF(ISNA(VLOOKUP(A25,'Données projet'!$A$35:$I$55,4,0)),0,VLOOKUP(A25,'Données projet'!$A$35:$I$55,4,0))</f>
        <v>52.41</v>
      </c>
      <c r="W25" s="16">
        <f>IF(ISNA(VLOOKUP(A25,'Données projet'!$A$35:$I$55,5,0)),0%,VLOOKUP(A25,'Données projet'!$A$35:$I$55,5,0)*VLOOKUP('Données projet'!$B$9,Paramètres!$A$1:$I$89,7,0))</f>
        <v>4.5000000000000005E-2</v>
      </c>
      <c r="X25" s="16">
        <f>IF(ISNA(VLOOKUP(A25,'Données projet'!$A$35:$I$55,6,0)),0%,VLOOKUP(A25,'Données projet'!$A$35:$I$55,6,0)*VLOOKUP('Données projet'!$B$9,Paramètres!$A$1:$I$89,7,0))</f>
        <v>0.36000000000000004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1.8709242920789675</v>
      </c>
      <c r="AA25" s="21">
        <f>EXP(-LN(2)/25)*AA24+(1-EXP(-LN(2)/25))/(LN(2)/25)*Calculateur!V25*Calculateur!X25*VLOOKUP('Données projet'!$B$9,Paramètres!$A$1:$I$89,3,0)*0.475*44/12</f>
        <v>14.908462002104068</v>
      </c>
      <c r="AB25" s="21">
        <f>EXP(-LN(2)/2)*AB24+(1-EXP(-LN(2)/2))/(LN(2)/2)*V25*Y25*VLOOKUP('Données projet'!$B$9,Paramètres!$A$1:$I$89,3,0)*0.475*44/12</f>
        <v>0</v>
      </c>
      <c r="AC25" s="22">
        <f t="shared" si="3"/>
        <v>16.779386294183034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57.751888548317424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7.6601960784313725</v>
      </c>
      <c r="AI25" s="13">
        <f>IF('Données projet'!$A$62&gt;35,AI24+AH25-AQ24,IF(A25&lt;'Données projet'!$A$62,$AF$205^A25,IF(A25='Données projet'!$A$62,'Données projet'!$B$62,AI24+AH25-AQ24)))</f>
        <v>168.52431372549015</v>
      </c>
      <c r="AJ25" s="13">
        <f>AI25*VLOOKUP('Données projet'!$B$10,Paramètres!$A$1:$I$89,3,0)*VLOOKUP('Données projet'!$B$10,Paramètres!$A$1:$I$89,5,0)</f>
        <v>78.869378823529388</v>
      </c>
      <c r="AK25" s="13">
        <f t="shared" si="35"/>
        <v>21.860512786764833</v>
      </c>
      <c r="AL25" s="20">
        <f t="shared" si="4"/>
        <v>175.43789455459577</v>
      </c>
      <c r="AM25" s="59">
        <f t="shared" si="5"/>
        <v>414.08370812064857</v>
      </c>
      <c r="AN25" s="59">
        <f ca="1">AVERAGE(OFFSET($AM$3,0,0,'Données projet'!$E$10+1,1))-AVERAGE(OFFSET($H$3,0,0,'Données projet'!$E$10+1,1))</f>
        <v>360.04137410460385</v>
      </c>
      <c r="AO25" s="59">
        <f t="shared" si="36"/>
        <v>287.81656468701829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57.751888548317424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>
        <f>VLOOKUP(A25,'Données projet'!$A$87:$I$107,2,0)</f>
        <v>244.87179487179486</v>
      </c>
      <c r="BB25" s="12">
        <f>VLOOKUP(A25,'Données projet'!$A$87:$I$107,9,0)</f>
        <v>12.5</v>
      </c>
      <c r="BC25" s="12">
        <f t="array" ref="BC25">INDEX(BB:BB,MIN(IF(ISNUMBER(BB25:BB221),ROW(BB25:BB221),"")))</f>
        <v>12.5</v>
      </c>
      <c r="BD25" s="12">
        <f>IF('Données projet'!$A$88&gt;35,BD24+BC25-BL24,IF(A25&lt;'Données projet'!$A$88,$BA$205^A25,IF(A25='Données projet'!$A$88,'Données projet'!$B$88,BD24+BC25-BL24)))</f>
        <v>244.87179487179486</v>
      </c>
      <c r="BE25" s="13">
        <f>BD25*VLOOKUP('Données projet'!$B$11,Paramètres!$A$1:$I$89,3,0)*VLOOKUP('Données projet'!$B$11,Paramètres!$A$1:$I$89,5,0)</f>
        <v>124.532</v>
      </c>
      <c r="BF25" s="13">
        <f t="shared" si="37"/>
        <v>32.729722546304636</v>
      </c>
      <c r="BG25" s="20">
        <f t="shared" si="7"/>
        <v>273.8975001014806</v>
      </c>
      <c r="BH25" s="59">
        <f t="shared" si="8"/>
        <v>512.54331366753331</v>
      </c>
      <c r="BI25" s="59">
        <f ca="1">AVERAGE(OFFSET($BH$3,0,0,'Données projet'!$E$11+1,1))-AVERAGE(OFFSET($H$3,0,0,'Données projet'!$E$11+1,1))</f>
        <v>155.76430449447392</v>
      </c>
      <c r="BJ25" s="59">
        <f t="shared" si="38"/>
        <v>363.39275685992129</v>
      </c>
      <c r="BK25" s="15">
        <f>IF(ISNA(VLOOKUP(A25,'Données projet'!$A$87:$I$107,3,0)),0,VLOOKUP(A25,'Données projet'!$A$87:$I$107,3,0))</f>
        <v>4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0.44999999999999996</v>
      </c>
      <c r="BN25" s="16">
        <f>IF(ISNA(VLOOKUP(A25,'Données projet'!$A$87:$I$107,6,0)),0%,VLOOKUP(A25,'Données projet'!$A$87:$I$107,6,0)*VLOOKUP('Données projet'!$B$11,Paramètres!$A$1:$I$89,7,0))</f>
        <v>0.12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57.751888548317424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3.887142857142857</v>
      </c>
      <c r="BY25" s="12">
        <f>IF('Données projet'!$A$114&gt;35,BY24+BX25-CG24,IF(A25&lt;'Données projet'!$A$114,$BV$205^A25,IF(A25='Données projet'!$A$114,'Données projet'!$B$114,BY24+BX25-CG24)))</f>
        <v>85.517142857142858</v>
      </c>
      <c r="BZ25" s="13">
        <f>BY25*VLOOKUP('Données projet'!$B$12,Paramètres!$A$1:$I$89,3,0)*VLOOKUP('Données projet'!$B$12,Paramètres!$A$1:$I$89,5,0)</f>
        <v>86.714382857142866</v>
      </c>
      <c r="CA25" s="13">
        <f t="shared" si="39"/>
        <v>23.771106295024762</v>
      </c>
      <c r="CB25" s="20">
        <f t="shared" si="10"/>
        <v>192.42889360669196</v>
      </c>
      <c r="CC25" s="59">
        <f t="shared" si="11"/>
        <v>431.07470717274475</v>
      </c>
      <c r="CD25" s="59">
        <f ca="1">AVERAGE(OFFSET($CC$3,0,0,'Données projet'!$E$12+1,1))-AVERAGE(OFFSET($H$3,0,0,'Données projet'!$E$12+1,1))</f>
        <v>679.4570479719705</v>
      </c>
      <c r="CE25" s="59">
        <f t="shared" si="40"/>
        <v>310.8252119379963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57.751888548317424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>
        <f>VLOOKUP(A25,'Données projet'!$A$139:$I$159,2,0)</f>
        <v>244.87179487179486</v>
      </c>
      <c r="CR25" s="12">
        <f>VLOOKUP(A25,'Données projet'!$A$139:$I$159,9,0)</f>
        <v>12.5</v>
      </c>
      <c r="CS25" s="12">
        <f t="array" ref="CS25">INDEX(CR:CR,MIN(IF(ISNUMBER(CR25:CR221),ROW(CR25:CR221),"")))</f>
        <v>12.5</v>
      </c>
      <c r="CT25" s="12">
        <f>IF('Données projet'!$A$140&gt;35,CT24+CS25-DB24,IF(A25&lt;'Données projet'!$A$140,$CQ$205^A25,IF(A25='Données projet'!$A$140,'Données projet'!$B$140,CT24+CS25-DB24)))</f>
        <v>244.87179487179486</v>
      </c>
      <c r="CU25" s="17">
        <f>CT25*VLOOKUP('Données projet'!$B$13,Paramètres!$A$1:$I$89,3,0)*VLOOKUP('Données projet'!$B$13,Paramètres!$A$1:$I$89,5,0)</f>
        <v>116.50999999999999</v>
      </c>
      <c r="CV25" s="13">
        <f t="shared" si="41"/>
        <v>30.859621169021718</v>
      </c>
      <c r="CW25" s="20">
        <f t="shared" si="13"/>
        <v>256.66875686937948</v>
      </c>
      <c r="CX25" s="59">
        <f t="shared" si="14"/>
        <v>495.31457043543224</v>
      </c>
      <c r="CY25" s="59">
        <f ca="1">AVERAGE(OFFSET($CX$3,0,0,'Données projet'!$E$13+1,1))-AVERAGE(OFFSET($H$3,0,0,'Données projet'!$E$13+1,1))</f>
        <v>146.95547268081216</v>
      </c>
      <c r="CZ25" s="59">
        <f t="shared" si="42"/>
        <v>343.21355872318065</v>
      </c>
      <c r="DA25" s="15">
        <f>IF(ISNA(VLOOKUP(A25,'Données projet'!$A$139:$I$159,3,0)),0,VLOOKUP(A25,'Données projet'!$A$139:$I$159,3,0))</f>
        <v>4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0.44999999999999996</v>
      </c>
      <c r="DD25" s="16">
        <f>IF(ISNA(VLOOKUP(A25,'Données projet'!$A$139:$I$159,6,0)),0%,VLOOKUP(A25,'Données projet'!$A$139:$I$159,6,0)*VLOOKUP('Données projet'!$B$13,Paramètres!$A$1:$I$89,7,0))</f>
        <v>0.12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57.751888548317424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57.751888548317424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57.751888548317424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57.751888548317424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57.751888548317424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3.5999999999999996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13.199999999999998</v>
      </c>
      <c r="H26" s="67">
        <f t="shared" si="1"/>
        <v>203.86666666666667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57.964365899329131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15.766000000000002</v>
      </c>
      <c r="N26" s="13">
        <f>IF('Données projet'!$A$36&gt;35,N25+M26-V25,IF(A26&lt;'Données projet'!$A$36,$K$205^A26,IF(A26='Données projet'!$A$36,'Données projet'!$B$36,N25+M26-V25)))</f>
        <v>92.425999999999988</v>
      </c>
      <c r="O26" s="13">
        <f>N26*VLOOKUP('Données projet'!$B$9,Paramètres!$A$1:$I$89,3,0)*VLOOKUP('Données projet'!$B$9,Paramètres!$A$1:$I$89,5,0)</f>
        <v>55.27074799999999</v>
      </c>
      <c r="P26" s="13">
        <f t="shared" si="33"/>
        <v>15.966912640281619</v>
      </c>
      <c r="Q26" s="20">
        <f t="shared" si="2"/>
        <v>124.07225894849046</v>
      </c>
      <c r="R26" s="59">
        <f t="shared" si="0"/>
        <v>364.71937835714175</v>
      </c>
      <c r="S26" s="59">
        <f ca="1">AVERAGE(OFFSET($R$3,0,0,'Données projet'!$E$9+1,1))-AVERAGE(OFFSET($H$3,0,0,'Données projet'!$E$9+1,1))</f>
        <v>366.78396742205962</v>
      </c>
      <c r="T26" s="59">
        <f t="shared" si="34"/>
        <v>271.89887525994988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1.8342366078624377</v>
      </c>
      <c r="AA26" s="21">
        <f>EXP(-LN(2)/25)*AA25+(1-EXP(-LN(2)/25))/(LN(2)/25)*Calculateur!V26*Calculateur!X26*VLOOKUP('Données projet'!$B$9,Paramètres!$A$1:$I$89,3,0)*0.475*44/12</f>
        <v>14.500789324654589</v>
      </c>
      <c r="AB26" s="21">
        <f>EXP(-LN(2)/2)*AB25+(1-EXP(-LN(2)/2))/(LN(2)/2)*V26*Y26*VLOOKUP('Données projet'!$B$9,Paramètres!$A$1:$I$89,3,0)*0.475*44/12</f>
        <v>0</v>
      </c>
      <c r="AC26" s="22">
        <f t="shared" si="3"/>
        <v>16.335025932517027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57.964365899329131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7.6601960784313725</v>
      </c>
      <c r="AI26" s="13">
        <f>IF('Données projet'!$A$62&gt;35,AI25+AH26-AQ25,IF(A26&lt;'Données projet'!$A$62,$AF$205^A26,IF(A26='Données projet'!$A$62,'Données projet'!$B$62,AI25+AH26-AQ25)))</f>
        <v>176.18450980392151</v>
      </c>
      <c r="AJ26" s="13">
        <f>AI26*VLOOKUP('Données projet'!$B$10,Paramètres!$A$1:$I$89,3,0)*VLOOKUP('Données projet'!$B$10,Paramètres!$A$1:$I$89,5,0)</f>
        <v>82.454350588235272</v>
      </c>
      <c r="AK26" s="13">
        <f t="shared" si="35"/>
        <v>22.736226140022069</v>
      </c>
      <c r="AL26" s="20">
        <f t="shared" si="4"/>
        <v>183.20692113504819</v>
      </c>
      <c r="AM26" s="59">
        <f t="shared" si="5"/>
        <v>423.85404054369945</v>
      </c>
      <c r="AN26" s="59">
        <f ca="1">AVERAGE(OFFSET($AM$3,0,0,'Données projet'!$E$10+1,1))-AVERAGE(OFFSET($H$3,0,0,'Données projet'!$E$10+1,1))</f>
        <v>360.04137410460385</v>
      </c>
      <c r="AO26" s="59">
        <f t="shared" si="36"/>
        <v>287.81656468701829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57.964365899329131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12.5</v>
      </c>
      <c r="BD26" s="12">
        <f>IF('Données projet'!$A$88&gt;35,BD25+BC26-BL25,IF(A26&lt;'Données projet'!$A$88,$BA$205^A26,IF(A26='Données projet'!$A$88,'Données projet'!$B$88,BD25+BC26-BL25)))</f>
        <v>257.37179487179486</v>
      </c>
      <c r="BE26" s="13">
        <f>BD26*VLOOKUP('Données projet'!$B$11,Paramètres!$A$1:$I$89,3,0)*VLOOKUP('Données projet'!$B$11,Paramètres!$A$1:$I$89,5,0)</f>
        <v>130.88900000000001</v>
      </c>
      <c r="BF26" s="13">
        <f t="shared" si="37"/>
        <v>34.201699580416332</v>
      </c>
      <c r="BG26" s="20">
        <f t="shared" si="7"/>
        <v>287.5329684358918</v>
      </c>
      <c r="BH26" s="59">
        <f t="shared" si="8"/>
        <v>528.1800878445431</v>
      </c>
      <c r="BI26" s="59">
        <f ca="1">AVERAGE(OFFSET($BH$3,0,0,'Données projet'!$E$11+1,1))-AVERAGE(OFFSET($H$3,0,0,'Données projet'!$E$11+1,1))</f>
        <v>155.76430449447392</v>
      </c>
      <c r="BJ26" s="59">
        <f t="shared" si="38"/>
        <v>363.39275685992129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57.964365899329131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3.887142857142857</v>
      </c>
      <c r="BY26" s="12">
        <f>IF('Données projet'!$A$114&gt;35,BY25+BX26-CG25,IF(A26&lt;'Données projet'!$A$114,$BV$205^A26,IF(A26='Données projet'!$A$114,'Données projet'!$B$114,BY25+BX26-CG25)))</f>
        <v>89.40428571428572</v>
      </c>
      <c r="BZ26" s="13">
        <f>BY26*VLOOKUP('Données projet'!$B$12,Paramètres!$A$1:$I$89,3,0)*VLOOKUP('Données projet'!$B$12,Paramètres!$A$1:$I$89,5,0)</f>
        <v>90.655945714285721</v>
      </c>
      <c r="CA26" s="13">
        <f t="shared" si="39"/>
        <v>24.723356382079128</v>
      </c>
      <c r="CB26" s="20">
        <f t="shared" si="10"/>
        <v>200.95228448450212</v>
      </c>
      <c r="CC26" s="59">
        <f t="shared" si="11"/>
        <v>441.59940389315341</v>
      </c>
      <c r="CD26" s="59">
        <f ca="1">AVERAGE(OFFSET($CC$3,0,0,'Données projet'!$E$12+1,1))-AVERAGE(OFFSET($H$3,0,0,'Données projet'!$E$12+1,1))</f>
        <v>679.4570479719705</v>
      </c>
      <c r="CE26" s="59">
        <f t="shared" si="40"/>
        <v>310.8252119379963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57.964365899329131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12.5</v>
      </c>
      <c r="CT26" s="12">
        <f>IF('Données projet'!$A$140&gt;35,CT25+CS26-DB25,IF(A26&lt;'Données projet'!$A$140,$CQ$205^A26,IF(A26='Données projet'!$A$140,'Données projet'!$B$140,CT25+CS26-DB25)))</f>
        <v>257.37179487179486</v>
      </c>
      <c r="CU26" s="17">
        <f>CT26*VLOOKUP('Données projet'!$B$13,Paramètres!$A$1:$I$89,3,0)*VLOOKUP('Données projet'!$B$13,Paramètres!$A$1:$I$89,5,0)</f>
        <v>122.4575</v>
      </c>
      <c r="CV26" s="13">
        <f t="shared" si="41"/>
        <v>32.247492807038888</v>
      </c>
      <c r="CW26" s="20">
        <f t="shared" si="13"/>
        <v>269.44452913892604</v>
      </c>
      <c r="CX26" s="59">
        <f t="shared" si="14"/>
        <v>510.09164854757728</v>
      </c>
      <c r="CY26" s="59">
        <f ca="1">AVERAGE(OFFSET($CX$3,0,0,'Données projet'!$E$13+1,1))-AVERAGE(OFFSET($H$3,0,0,'Données projet'!$E$13+1,1))</f>
        <v>146.95547268081216</v>
      </c>
      <c r="CZ26" s="59">
        <f t="shared" si="42"/>
        <v>343.21355872318065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57.964365899329131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57.964365899329131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57.964365899329131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57.964365899329131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57.964365899329131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3.5999999999999996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13.199999999999998</v>
      </c>
      <c r="H27" s="67">
        <f t="shared" si="1"/>
        <v>203.86666666666667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58.17315724332898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15.766000000000002</v>
      </c>
      <c r="N27" s="13">
        <f>IF('Données projet'!$A$36&gt;35,N26+M27-V26,IF(A27&lt;'Données projet'!$A$36,$K$205^A27,IF(A27='Données projet'!$A$36,'Données projet'!$B$36,N26+M27-V26)))</f>
        <v>108.19199999999999</v>
      </c>
      <c r="O27" s="13">
        <f>N27*VLOOKUP('Données projet'!$B$9,Paramètres!$A$1:$I$89,3,0)*VLOOKUP('Données projet'!$B$9,Paramètres!$A$1:$I$89,5,0)</f>
        <v>64.698815999999994</v>
      </c>
      <c r="P27" s="13">
        <f t="shared" si="33"/>
        <v>18.351013925322782</v>
      </c>
      <c r="Q27" s="20">
        <f t="shared" si="2"/>
        <v>144.64512045327049</v>
      </c>
      <c r="R27" s="59">
        <f t="shared" si="0"/>
        <v>387.28003034547669</v>
      </c>
      <c r="S27" s="59">
        <f ca="1">AVERAGE(OFFSET($R$3,0,0,'Données projet'!$E$9+1,1))-AVERAGE(OFFSET($H$3,0,0,'Données projet'!$E$9+1,1))</f>
        <v>366.78396742205962</v>
      </c>
      <c r="T27" s="59">
        <f t="shared" si="34"/>
        <v>271.89887525994988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1.7982683467561162</v>
      </c>
      <c r="AA27" s="21">
        <f>EXP(-LN(2)/25)*AA26+(1-EXP(-LN(2)/25))/(LN(2)/25)*Calculateur!V27*Calculateur!X27*VLOOKUP('Données projet'!$B$9,Paramètres!$A$1:$I$89,3,0)*0.475*44/12</f>
        <v>14.10426447800854</v>
      </c>
      <c r="AB27" s="21">
        <f>EXP(-LN(2)/2)*AB26+(1-EXP(-LN(2)/2))/(LN(2)/2)*V27*Y27*VLOOKUP('Données projet'!$B$9,Paramètres!$A$1:$I$89,3,0)*0.475*44/12</f>
        <v>0</v>
      </c>
      <c r="AC27" s="22">
        <f t="shared" si="3"/>
        <v>15.902532824764656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58.17315724332898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7.6601960784313725</v>
      </c>
      <c r="AI27" s="13">
        <f>IF('Données projet'!$A$62&gt;35,AI26+AH27-AQ26,IF(A27&lt;'Données projet'!$A$62,$AF$205^A27,IF(A27='Données projet'!$A$62,'Données projet'!$B$62,AI26+AH27-AQ26)))</f>
        <v>183.84470588235288</v>
      </c>
      <c r="AJ27" s="13">
        <f>AI27*VLOOKUP('Données projet'!$B$10,Paramètres!$A$1:$I$89,3,0)*VLOOKUP('Données projet'!$B$10,Paramètres!$A$1:$I$89,5,0)</f>
        <v>86.039322352941156</v>
      </c>
      <c r="AK27" s="13">
        <f t="shared" si="35"/>
        <v>23.60751734661363</v>
      </c>
      <c r="AL27" s="20">
        <f t="shared" si="4"/>
        <v>190.96824581005788</v>
      </c>
      <c r="AM27" s="59">
        <f t="shared" si="5"/>
        <v>433.60315570226408</v>
      </c>
      <c r="AN27" s="59">
        <f ca="1">AVERAGE(OFFSET($AM$3,0,0,'Données projet'!$E$10+1,1))-AVERAGE(OFFSET($H$3,0,0,'Données projet'!$E$10+1,1))</f>
        <v>360.04137410460385</v>
      </c>
      <c r="AO27" s="59">
        <f t="shared" si="36"/>
        <v>287.81656468701829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58.17315724332898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>
        <f>VLOOKUP(A27,'Données projet'!$A$87:$I$107,2,0)</f>
        <v>269.87179487179486</v>
      </c>
      <c r="BB27" s="12">
        <f>VLOOKUP(A27,'Données projet'!$A$87:$I$107,9,0)</f>
        <v>12.5</v>
      </c>
      <c r="BC27" s="12">
        <f t="array" ref="BC27">INDEX(BB:BB,MIN(IF(ISNUMBER(BB27:BB223),ROW(BB27:BB223),"")))</f>
        <v>12.5</v>
      </c>
      <c r="BD27" s="12">
        <f>IF('Données projet'!$A$88&gt;35,BD26+BC27-BL26,IF(A27&lt;'Données projet'!$A$88,$BA$205^A27,IF(A27='Données projet'!$A$88,'Données projet'!$B$88,BD26+BC27-BL26)))</f>
        <v>269.87179487179486</v>
      </c>
      <c r="BE27" s="13">
        <f>BD27*VLOOKUP('Données projet'!$B$11,Paramètres!$A$1:$I$89,3,0)*VLOOKUP('Données projet'!$B$11,Paramètres!$A$1:$I$89,5,0)</f>
        <v>137.24600000000001</v>
      </c>
      <c r="BF27" s="13">
        <f t="shared" si="37"/>
        <v>35.665375118552078</v>
      </c>
      <c r="BG27" s="20">
        <f t="shared" si="7"/>
        <v>301.15397833147824</v>
      </c>
      <c r="BH27" s="59">
        <f t="shared" si="8"/>
        <v>543.78888822368447</v>
      </c>
      <c r="BI27" s="59">
        <f ca="1">AVERAGE(OFFSET($BH$3,0,0,'Données projet'!$E$11+1,1))-AVERAGE(OFFSET($H$3,0,0,'Données projet'!$E$11+1,1))</f>
        <v>155.76430449447392</v>
      </c>
      <c r="BJ27" s="59">
        <f t="shared" si="38"/>
        <v>363.39275685992129</v>
      </c>
      <c r="BK27" s="15">
        <f>IF(ISNA(VLOOKUP(A27,'Données projet'!$A$87:$I$107,3,0)),0,VLOOKUP(A27,'Données projet'!$A$87:$I$107,3,0))</f>
        <v>5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0.44999999999999996</v>
      </c>
      <c r="BN27" s="16">
        <f>IF(ISNA(VLOOKUP(A27,'Données projet'!$A$87:$I$107,6,0)),0%,VLOOKUP(A27,'Données projet'!$A$87:$I$107,6,0)*VLOOKUP('Données projet'!$B$11,Paramètres!$A$1:$I$89,7,0))</f>
        <v>0.12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58.17315724332898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3.887142857142857</v>
      </c>
      <c r="BY27" s="12">
        <f>IF('Données projet'!$A$114&gt;35,BY26+BX27-CG26,IF(A27&lt;'Données projet'!$A$114,$BV$205^A27,IF(A27='Données projet'!$A$114,'Données projet'!$B$114,BY26+BX27-CG26)))</f>
        <v>93.291428571428582</v>
      </c>
      <c r="BZ27" s="13">
        <f>BY27*VLOOKUP('Données projet'!$B$12,Paramètres!$A$1:$I$89,3,0)*VLOOKUP('Données projet'!$B$12,Paramètres!$A$1:$I$89,5,0)</f>
        <v>94.597508571428591</v>
      </c>
      <c r="CA27" s="13">
        <f t="shared" si="39"/>
        <v>25.670797829946185</v>
      </c>
      <c r="CB27" s="20">
        <f t="shared" si="10"/>
        <v>209.4673003157277</v>
      </c>
      <c r="CC27" s="59">
        <f t="shared" si="11"/>
        <v>452.10221020793392</v>
      </c>
      <c r="CD27" s="59">
        <f ca="1">AVERAGE(OFFSET($CC$3,0,0,'Données projet'!$E$12+1,1))-AVERAGE(OFFSET($H$3,0,0,'Données projet'!$E$12+1,1))</f>
        <v>679.4570479719705</v>
      </c>
      <c r="CE27" s="59">
        <f t="shared" si="40"/>
        <v>310.8252119379963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58.17315724332898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>
        <f>VLOOKUP(A27,'Données projet'!$A$139:$I$159,2,0)</f>
        <v>269.87179487179486</v>
      </c>
      <c r="CR27" s="12">
        <f>VLOOKUP(A27,'Données projet'!$A$139:$I$159,9,0)</f>
        <v>12.5</v>
      </c>
      <c r="CS27" s="12">
        <f t="array" ref="CS27">INDEX(CR:CR,MIN(IF(ISNUMBER(CR27:CR223),ROW(CR27:CR223),"")))</f>
        <v>12.5</v>
      </c>
      <c r="CT27" s="12">
        <f>IF('Données projet'!$A$140&gt;35,CT26+CS27-DB26,IF(A27&lt;'Données projet'!$A$140,$CQ$205^A27,IF(A27='Données projet'!$A$140,'Données projet'!$B$140,CT26+CS27-DB26)))</f>
        <v>269.87179487179486</v>
      </c>
      <c r="CU27" s="17">
        <f>CT27*VLOOKUP('Données projet'!$B$13,Paramètres!$A$1:$I$89,3,0)*VLOOKUP('Données projet'!$B$13,Paramètres!$A$1:$I$89,5,0)</f>
        <v>128.405</v>
      </c>
      <c r="CV27" s="13">
        <f t="shared" si="41"/>
        <v>33.627537277545215</v>
      </c>
      <c r="CW27" s="20">
        <f t="shared" si="13"/>
        <v>282.20666909172456</v>
      </c>
      <c r="CX27" s="59">
        <f t="shared" si="14"/>
        <v>524.84157898393073</v>
      </c>
      <c r="CY27" s="59">
        <f ca="1">AVERAGE(OFFSET($CX$3,0,0,'Données projet'!$E$13+1,1))-AVERAGE(OFFSET($H$3,0,0,'Données projet'!$E$13+1,1))</f>
        <v>146.95547268081216</v>
      </c>
      <c r="CZ27" s="59">
        <f t="shared" si="42"/>
        <v>343.21355872318065</v>
      </c>
      <c r="DA27" s="15">
        <f>IF(ISNA(VLOOKUP(A27,'Données projet'!$A$139:$I$159,3,0)),0,VLOOKUP(A27,'Données projet'!$A$139:$I$159,3,0))</f>
        <v>5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0.44999999999999996</v>
      </c>
      <c r="DD27" s="16">
        <f>IF(ISNA(VLOOKUP(A27,'Données projet'!$A$139:$I$159,6,0)),0%,VLOOKUP(A27,'Données projet'!$A$139:$I$159,6,0)*VLOOKUP('Données projet'!$B$13,Paramètres!$A$1:$I$89,7,0))</f>
        <v>0.12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58.17315724332898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58.17315724332898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58.17315724332898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58.17315724332898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58.17315724332898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3.5999999999999996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13.199999999999998</v>
      </c>
      <c r="H28" s="67">
        <f t="shared" si="1"/>
        <v>203.86666666666667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58.37832652429794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15.766000000000002</v>
      </c>
      <c r="N28" s="13">
        <f>IF('Données projet'!$A$36&gt;35,N27+M28-V27,IF(A28&lt;'Données projet'!$A$36,$K$205^A28,IF(A28='Données projet'!$A$36,'Données projet'!$B$36,N27+M28-V27)))</f>
        <v>123.958</v>
      </c>
      <c r="O28" s="13">
        <f>N28*VLOOKUP('Données projet'!$B$9,Paramètres!$A$1:$I$89,3,0)*VLOOKUP('Données projet'!$B$9,Paramètres!$A$1:$I$89,5,0)</f>
        <v>74.126884000000004</v>
      </c>
      <c r="P28" s="13">
        <f t="shared" si="33"/>
        <v>20.694866668390631</v>
      </c>
      <c r="Q28" s="20">
        <f t="shared" si="2"/>
        <v>165.1478824141137</v>
      </c>
      <c r="R28" s="59">
        <f t="shared" si="0"/>
        <v>409.75730189209503</v>
      </c>
      <c r="S28" s="59">
        <f ca="1">AVERAGE(OFFSET($R$3,0,0,'Données projet'!$E$9+1,1))-AVERAGE(OFFSET($H$3,0,0,'Données projet'!$E$9+1,1))</f>
        <v>366.78396742205962</v>
      </c>
      <c r="T28" s="59">
        <f t="shared" si="34"/>
        <v>271.89887525994988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1.7630054013116168</v>
      </c>
      <c r="AA28" s="21">
        <f>EXP(-LN(2)/25)*AA27+(1-EXP(-LN(2)/25))/(LN(2)/25)*Calculateur!V28*Calculateur!X28*VLOOKUP('Données projet'!$B$9,Paramètres!$A$1:$I$89,3,0)*0.475*44/12</f>
        <v>13.718582624146363</v>
      </c>
      <c r="AB28" s="21">
        <f>EXP(-LN(2)/2)*AB27+(1-EXP(-LN(2)/2))/(LN(2)/2)*V28*Y28*VLOOKUP('Données projet'!$B$9,Paramètres!$A$1:$I$89,3,0)*0.475*44/12</f>
        <v>0</v>
      </c>
      <c r="AC28" s="22">
        <f t="shared" si="3"/>
        <v>15.481588025457979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58.37832652429794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7.6601960784313725</v>
      </c>
      <c r="AI28" s="13">
        <f>IF('Données projet'!$A$62&gt;35,AI27+AH28-AQ27,IF(A28&lt;'Données projet'!$A$62,$AF$205^A28,IF(A28='Données projet'!$A$62,'Données projet'!$B$62,AI27+AH28-AQ27)))</f>
        <v>191.50490196078425</v>
      </c>
      <c r="AJ28" s="13">
        <f>AI28*VLOOKUP('Données projet'!$B$10,Paramètres!$A$1:$I$89,3,0)*VLOOKUP('Données projet'!$B$10,Paramètres!$A$1:$I$89,5,0)</f>
        <v>89.62429411764704</v>
      </c>
      <c r="AK28" s="13">
        <f t="shared" si="35"/>
        <v>24.474591733209216</v>
      </c>
      <c r="AL28" s="20">
        <f t="shared" si="4"/>
        <v>198.72222619024129</v>
      </c>
      <c r="AM28" s="59">
        <f t="shared" si="5"/>
        <v>443.33164566822262</v>
      </c>
      <c r="AN28" s="59">
        <f ca="1">AVERAGE(OFFSET($AM$3,0,0,'Données projet'!$E$10+1,1))-AVERAGE(OFFSET($H$3,0,0,'Données projet'!$E$10+1,1))</f>
        <v>360.04137410460385</v>
      </c>
      <c r="AO28" s="59">
        <f t="shared" si="36"/>
        <v>287.81656468701829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58.37832652429794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8.974358974358978</v>
      </c>
      <c r="BD28" s="12">
        <f>IF('Données projet'!$A$88&gt;35,BD27+BC28-BL27,IF(A28&lt;'Données projet'!$A$88,$BA$205^A28,IF(A28='Données projet'!$A$88,'Données projet'!$B$88,BD27+BC28-BL27)))</f>
        <v>278.84615384615381</v>
      </c>
      <c r="BE28" s="13">
        <f>BD28*VLOOKUP('Données projet'!$B$11,Paramètres!$A$1:$I$89,3,0)*VLOOKUP('Données projet'!$B$11,Paramètres!$A$1:$I$89,5,0)</f>
        <v>141.81</v>
      </c>
      <c r="BF28" s="13">
        <f t="shared" si="37"/>
        <v>36.711340571924993</v>
      </c>
      <c r="BG28" s="20">
        <f t="shared" si="7"/>
        <v>310.92466816276936</v>
      </c>
      <c r="BH28" s="59">
        <f t="shared" si="8"/>
        <v>555.53408764075073</v>
      </c>
      <c r="BI28" s="59">
        <f ca="1">AVERAGE(OFFSET($BH$3,0,0,'Données projet'!$E$11+1,1))-AVERAGE(OFFSET($H$3,0,0,'Données projet'!$E$11+1,1))</f>
        <v>155.76430449447392</v>
      </c>
      <c r="BJ28" s="59">
        <f t="shared" si="38"/>
        <v>363.39275685992129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58.37832652429794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3.887142857142857</v>
      </c>
      <c r="BY28" s="12">
        <f>IF('Données projet'!$A$114&gt;35,BY27+BX28-CG27,IF(A28&lt;'Données projet'!$A$114,$BV$205^A28,IF(A28='Données projet'!$A$114,'Données projet'!$B$114,BY27+BX28-CG27)))</f>
        <v>97.178571428571445</v>
      </c>
      <c r="BZ28" s="13">
        <f>BY28*VLOOKUP('Données projet'!$B$12,Paramètres!$A$1:$I$89,3,0)*VLOOKUP('Données projet'!$B$12,Paramètres!$A$1:$I$89,5,0)</f>
        <v>98.539071428571447</v>
      </c>
      <c r="CA28" s="13">
        <f t="shared" si="39"/>
        <v>26.613653910702727</v>
      </c>
      <c r="CB28" s="20">
        <f t="shared" si="10"/>
        <v>217.97432996590248</v>
      </c>
      <c r="CC28" s="59">
        <f t="shared" si="11"/>
        <v>462.58374944388379</v>
      </c>
      <c r="CD28" s="59">
        <f ca="1">AVERAGE(OFFSET($CC$3,0,0,'Données projet'!$E$12+1,1))-AVERAGE(OFFSET($H$3,0,0,'Données projet'!$E$12+1,1))</f>
        <v>679.4570479719705</v>
      </c>
      <c r="CE28" s="59">
        <f t="shared" si="40"/>
        <v>310.8252119379963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58.37832652429794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8.974358974358978</v>
      </c>
      <c r="CT28" s="12">
        <f>IF('Données projet'!$A$140&gt;35,CT27+CS28-DB27,IF(A28&lt;'Données projet'!$A$140,$CQ$205^A28,IF(A28='Données projet'!$A$140,'Données projet'!$B$140,CT27+CS28-DB27)))</f>
        <v>278.84615384615381</v>
      </c>
      <c r="CU28" s="17">
        <f>CT28*VLOOKUP('Données projet'!$B$13,Paramètres!$A$1:$I$89,3,0)*VLOOKUP('Données projet'!$B$13,Paramètres!$A$1:$I$89,5,0)</f>
        <v>132.67499999999998</v>
      </c>
      <c r="CV28" s="13">
        <f t="shared" si="41"/>
        <v>34.613738660746812</v>
      </c>
      <c r="CW28" s="20">
        <f t="shared" si="13"/>
        <v>291.36121983413398</v>
      </c>
      <c r="CX28" s="59">
        <f t="shared" si="14"/>
        <v>535.97063931211528</v>
      </c>
      <c r="CY28" s="59">
        <f ca="1">AVERAGE(OFFSET($CX$3,0,0,'Données projet'!$E$13+1,1))-AVERAGE(OFFSET($H$3,0,0,'Données projet'!$E$13+1,1))</f>
        <v>146.95547268081216</v>
      </c>
      <c r="CZ28" s="59">
        <f t="shared" si="42"/>
        <v>343.21355872318065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58.37832652429794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58.37832652429794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58.37832652429794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58.37832652429794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58.37832652429794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3.5999999999999996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13.199999999999998</v>
      </c>
      <c r="H29" s="67">
        <f t="shared" si="1"/>
        <v>203.86666666666667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58.579936576931892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15.766000000000002</v>
      </c>
      <c r="N29" s="13">
        <f>IF('Données projet'!$A$36&gt;35,N28+M29-V28,IF(A29&lt;'Données projet'!$A$36,$K$205^A29,IF(A29='Données projet'!$A$36,'Données projet'!$B$36,N28+M29-V28)))</f>
        <v>139.72399999999999</v>
      </c>
      <c r="O29" s="13">
        <f>N29*VLOOKUP('Données projet'!$B$9,Paramètres!$A$1:$I$89,3,0)*VLOOKUP('Données projet'!$B$9,Paramètres!$A$1:$I$89,5,0)</f>
        <v>83.554952</v>
      </c>
      <c r="P29" s="13">
        <f t="shared" si="33"/>
        <v>23.004176736574664</v>
      </c>
      <c r="Q29" s="20">
        <f t="shared" si="2"/>
        <v>185.59048254953419</v>
      </c>
      <c r="R29" s="59">
        <f t="shared" si="0"/>
        <v>432.16136110939556</v>
      </c>
      <c r="S29" s="59">
        <f ca="1">AVERAGE(OFFSET($R$3,0,0,'Données projet'!$E$9+1,1))-AVERAGE(OFFSET($H$3,0,0,'Données projet'!$E$9+1,1))</f>
        <v>366.78396742205962</v>
      </c>
      <c r="T29" s="59">
        <f t="shared" si="34"/>
        <v>271.89887525994988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1.728433940719011</v>
      </c>
      <c r="AA29" s="21">
        <f>EXP(-LN(2)/25)*AA28+(1-EXP(-LN(2)/25))/(LN(2)/25)*Calculateur!V29*Calculateur!X29*VLOOKUP('Données projet'!$B$9,Paramètres!$A$1:$I$89,3,0)*0.475*44/12</f>
        <v>13.343447260860174</v>
      </c>
      <c r="AB29" s="21">
        <f>EXP(-LN(2)/2)*AB28+(1-EXP(-LN(2)/2))/(LN(2)/2)*V29*Y29*VLOOKUP('Données projet'!$B$9,Paramètres!$A$1:$I$89,3,0)*0.475*44/12</f>
        <v>0</v>
      </c>
      <c r="AC29" s="22">
        <f t="shared" si="3"/>
        <v>15.071881201579185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58.579936576931892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7.6601960784313725</v>
      </c>
      <c r="AI29" s="13">
        <f>IF('Données projet'!$A$62&gt;35,AI28+AH29-AQ28,IF(A29&lt;'Données projet'!$A$62,$AF$205^A29,IF(A29='Données projet'!$A$62,'Données projet'!$B$62,AI28+AH29-AQ28)))</f>
        <v>199.16509803921562</v>
      </c>
      <c r="AJ29" s="13">
        <f>AI29*VLOOKUP('Données projet'!$B$10,Paramètres!$A$1:$I$89,3,0)*VLOOKUP('Données projet'!$B$10,Paramètres!$A$1:$I$89,5,0)</f>
        <v>93.209265882352909</v>
      </c>
      <c r="AK29" s="13">
        <f t="shared" si="35"/>
        <v>25.33763727057336</v>
      </c>
      <c r="AL29" s="20">
        <f t="shared" si="4"/>
        <v>206.46918965801322</v>
      </c>
      <c r="AM29" s="59">
        <f t="shared" si="5"/>
        <v>453.04006821787459</v>
      </c>
      <c r="AN29" s="59">
        <f ca="1">AVERAGE(OFFSET($AM$3,0,0,'Données projet'!$E$10+1,1))-AVERAGE(OFFSET($H$3,0,0,'Données projet'!$E$10+1,1))</f>
        <v>360.04137410460385</v>
      </c>
      <c r="AO29" s="59">
        <f t="shared" si="36"/>
        <v>287.81656468701829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58.579936576931892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>
        <f>VLOOKUP(A29,'Données projet'!$A$87:$I$107,2,0)</f>
        <v>287.82051282051282</v>
      </c>
      <c r="BB29" s="12">
        <f>VLOOKUP(A29,'Données projet'!$A$87:$I$107,9,0)</f>
        <v>8.974358974358978</v>
      </c>
      <c r="BC29" s="12">
        <f t="array" ref="BC29">INDEX(BB:BB,MIN(IF(ISNUMBER(BB29:BB225),ROW(BB29:BB225),"")))</f>
        <v>8.974358974358978</v>
      </c>
      <c r="BD29" s="12">
        <f>IF('Données projet'!$A$88&gt;35,BD28+BC29-BL28,IF(A29&lt;'Données projet'!$A$88,$BA$205^A29,IF(A29='Données projet'!$A$88,'Données projet'!$B$88,BD28+BC29-BL28)))</f>
        <v>287.82051282051282</v>
      </c>
      <c r="BE29" s="13">
        <f>BD29*VLOOKUP('Données projet'!$B$11,Paramètres!$A$1:$I$89,3,0)*VLOOKUP('Données projet'!$B$11,Paramètres!$A$1:$I$89,5,0)</f>
        <v>146.37400000000002</v>
      </c>
      <c r="BF29" s="13">
        <f t="shared" si="37"/>
        <v>37.753394239268872</v>
      </c>
      <c r="BG29" s="20">
        <f t="shared" si="7"/>
        <v>320.68854496672662</v>
      </c>
      <c r="BH29" s="59">
        <f t="shared" si="8"/>
        <v>567.25942352658797</v>
      </c>
      <c r="BI29" s="59">
        <f ca="1">AVERAGE(OFFSET($BH$3,0,0,'Données projet'!$E$11+1,1))-AVERAGE(OFFSET($H$3,0,0,'Données projet'!$E$11+1,1))</f>
        <v>155.76430449447392</v>
      </c>
      <c r="BJ29" s="59">
        <f t="shared" si="38"/>
        <v>363.39275685992129</v>
      </c>
      <c r="BK29" s="15">
        <f>IF(ISNA(VLOOKUP(A29,'Données projet'!$A$87:$I$107,3,0)),0,VLOOKUP(A29,'Données projet'!$A$87:$I$107,3,0))</f>
        <v>6</v>
      </c>
      <c r="BL29" s="15">
        <f>IF(ISNA(VLOOKUP(A29,'Données projet'!$A$87:$I$107,4,0)),0,VLOOKUP(A29,'Données projet'!$A$87:$I$107,4,0))</f>
        <v>287.82051282051282</v>
      </c>
      <c r="BM29" s="16">
        <f>IF(ISNA(VLOOKUP(A29,'Données projet'!$A$87:$I$107,5,0)),0%,VLOOKUP(A29,'Données projet'!$A$87:$I$107,5,0)*VLOOKUP('Données projet'!$B$11,Paramètres!$A$1:$I$89,7,0))</f>
        <v>0.44999999999999996</v>
      </c>
      <c r="BN29" s="16">
        <f>IF(ISNA(VLOOKUP(A29,'Données projet'!$A$87:$I$107,6,0)),0%,VLOOKUP(A29,'Données projet'!$A$87:$I$107,6,0)*VLOOKUP('Données projet'!$B$11,Paramètres!$A$1:$I$89,7,0))</f>
        <v>0.12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72.815454600190222</v>
      </c>
      <c r="BQ29" s="21">
        <f>EXP(-LN(2)/25)*BQ28+(1-EXP(-LN(2)/25))/(LN(2)/25)*Calculateur!BL29*Calculateur!BN29*VLOOKUP('Données projet'!$B$11,Paramètres!$A$1:$I$89,3,0)*0.475*44/12</f>
        <v>19.34100064281758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92.156455243007798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58.579936576931892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3.887142857142857</v>
      </c>
      <c r="BY29" s="12">
        <f>IF('Données projet'!$A$114&gt;35,BY28+BX29-CG28,IF(A29&lt;'Données projet'!$A$114,$BV$205^A29,IF(A29='Données projet'!$A$114,'Données projet'!$B$114,BY28+BX29-CG28)))</f>
        <v>101.06571428571431</v>
      </c>
      <c r="BZ29" s="13">
        <f>BY29*VLOOKUP('Données projet'!$B$12,Paramètres!$A$1:$I$89,3,0)*VLOOKUP('Données projet'!$B$12,Paramètres!$A$1:$I$89,5,0)</f>
        <v>102.48063428571432</v>
      </c>
      <c r="CA29" s="13">
        <f t="shared" si="39"/>
        <v>27.552129023626446</v>
      </c>
      <c r="CB29" s="20">
        <f t="shared" si="10"/>
        <v>226.47372943043516</v>
      </c>
      <c r="CC29" s="59">
        <f t="shared" si="11"/>
        <v>473.04460799029653</v>
      </c>
      <c r="CD29" s="59">
        <f ca="1">AVERAGE(OFFSET($CC$3,0,0,'Données projet'!$E$12+1,1))-AVERAGE(OFFSET($H$3,0,0,'Données projet'!$E$12+1,1))</f>
        <v>679.4570479719705</v>
      </c>
      <c r="CE29" s="59">
        <f t="shared" si="40"/>
        <v>310.8252119379963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58.579936576931892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>
        <f>VLOOKUP(A29,'Données projet'!$A$139:$I$159,2,0)</f>
        <v>287.82051282051282</v>
      </c>
      <c r="CR29" s="12">
        <f>VLOOKUP(A29,'Données projet'!$A$139:$I$159,9,0)</f>
        <v>8.974358974358978</v>
      </c>
      <c r="CS29" s="12">
        <f t="array" ref="CS29">INDEX(CR:CR,MIN(IF(ISNUMBER(CR29:CR225),ROW(CR29:CR225),"")))</f>
        <v>8.974358974358978</v>
      </c>
      <c r="CT29" s="12">
        <f>IF('Données projet'!$A$140&gt;35,CT28+CS29-DB28,IF(A29&lt;'Données projet'!$A$140,$CQ$205^A29,IF(A29='Données projet'!$A$140,'Données projet'!$B$140,CT28+CS29-DB28)))</f>
        <v>287.82051282051282</v>
      </c>
      <c r="CU29" s="17">
        <f>CT29*VLOOKUP('Données projet'!$B$13,Paramètres!$A$1:$I$89,3,0)*VLOOKUP('Données projet'!$B$13,Paramètres!$A$1:$I$89,5,0)</f>
        <v>136.94499999999999</v>
      </c>
      <c r="CV29" s="13">
        <f t="shared" si="41"/>
        <v>35.596251768413033</v>
      </c>
      <c r="CW29" s="20">
        <f t="shared" si="13"/>
        <v>300.50934682998599</v>
      </c>
      <c r="CX29" s="59">
        <f t="shared" si="14"/>
        <v>547.08022538984733</v>
      </c>
      <c r="CY29" s="59">
        <f ca="1">AVERAGE(OFFSET($CX$3,0,0,'Données projet'!$E$13+1,1))-AVERAGE(OFFSET($H$3,0,0,'Données projet'!$E$13+1,1))</f>
        <v>146.95547268081216</v>
      </c>
      <c r="CZ29" s="59">
        <f t="shared" si="42"/>
        <v>343.21355872318065</v>
      </c>
      <c r="DA29" s="15">
        <f>IF(ISNA(VLOOKUP(A29,'Données projet'!$A$139:$I$159,3,0)),0,VLOOKUP(A29,'Données projet'!$A$139:$I$159,3,0))</f>
        <v>6</v>
      </c>
      <c r="DB29" s="15">
        <f>IF(ISNA(VLOOKUP(A29,'Données projet'!$A$139:$I$159,4,0)),0,VLOOKUP(A29,'Données projet'!$A$139:$I$159,4,0))</f>
        <v>287.82051282051282</v>
      </c>
      <c r="DC29" s="16">
        <f>IF(ISNA(VLOOKUP(A29,'Données projet'!$A$139:$I$159,5,0)),0%,VLOOKUP(A29,'Données projet'!$A$139:$I$159,5,0)*VLOOKUP('Données projet'!$B$13,Paramètres!$A$1:$I$89,7,0))</f>
        <v>0.44999999999999996</v>
      </c>
      <c r="DD29" s="16">
        <f>IF(ISNA(VLOOKUP(A29,'Données projet'!$A$139:$I$159,6,0)),0%,VLOOKUP(A29,'Données projet'!$A$139:$I$159,6,0)*VLOOKUP('Données projet'!$B$13,Paramètres!$A$1:$I$89,7,0))</f>
        <v>0.12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68.124888506312928</v>
      </c>
      <c r="DG29" s="21">
        <f>EXP(-LN(2)/25)*DG28+(1-EXP(-LN(2)/25))/(LN(2)/25)*Calculateur!DB29*Calculateur!DD29*VLOOKUP('Données projet'!$B$13,Paramètres!$A$1:$I$89,3,0)*0.475*44/12</f>
        <v>18.095107963372275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86.219996469685199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58.579936576931892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58.579936576931892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58.579936576931892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58.579936576931892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58.579936576931892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3.5999999999999996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13.199999999999998</v>
      </c>
      <c r="H30" s="67">
        <f t="shared" si="1"/>
        <v>203.86666666666667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58.778049145885198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>
        <f>VLOOKUP(A30,'Données projet'!$A$35:$I$55,2,0)</f>
        <v>155.49</v>
      </c>
      <c r="L30" s="12">
        <f>VLOOKUP(A30,'Données projet'!$A$35:$I$55,9,0)</f>
        <v>15.766000000000002</v>
      </c>
      <c r="M30" s="12">
        <f t="array" ref="M30">INDEX(L:L,MIN(IF(ISNUMBER(L30:L226),ROW(L30:L226),"")))</f>
        <v>15.766000000000002</v>
      </c>
      <c r="N30" s="13">
        <f>IF('Données projet'!$A$36&gt;35,N29+M30-V29,IF(A30&lt;'Données projet'!$A$36,$K$205^A30,IF(A30='Données projet'!$A$36,'Données projet'!$B$36,N29+M30-V29)))</f>
        <v>155.48999999999998</v>
      </c>
      <c r="O30" s="13">
        <f>N30*VLOOKUP('Données projet'!$B$9,Paramètres!$A$1:$I$89,3,0)*VLOOKUP('Données projet'!$B$9,Paramètres!$A$1:$I$89,5,0)</f>
        <v>92.983019999999996</v>
      </c>
      <c r="P30" s="13">
        <f t="shared" si="33"/>
        <v>25.283286610692237</v>
      </c>
      <c r="Q30" s="20">
        <f t="shared" si="2"/>
        <v>205.98048401362226</v>
      </c>
      <c r="R30" s="59">
        <f t="shared" si="0"/>
        <v>454.49999754853468</v>
      </c>
      <c r="S30" s="59">
        <f ca="1">AVERAGE(OFFSET($R$3,0,0,'Données projet'!$E$9+1,1))-AVERAGE(OFFSET($H$3,0,0,'Données projet'!$E$9+1,1))</f>
        <v>366.78396742205962</v>
      </c>
      <c r="T30" s="59">
        <f t="shared" si="34"/>
        <v>271.89887525994988</v>
      </c>
      <c r="U30" s="15">
        <f>IF(ISNA(VLOOKUP(A30,'Données projet'!$A$35:$I$55,3,0)),0,VLOOKUP(A30,'Données projet'!$A$35:$I$55,3,0))</f>
        <v>2</v>
      </c>
      <c r="V30" s="15">
        <f>IF(ISNA(VLOOKUP(A30,'Données projet'!$A$35:$I$55,4,0)),0,VLOOKUP(A30,'Données projet'!$A$35:$I$55,4,0))</f>
        <v>37.840000000000003</v>
      </c>
      <c r="W30" s="16">
        <f>IF(ISNA(VLOOKUP(A30,'Données projet'!$A$35:$I$55,5,0)),0%,VLOOKUP(A30,'Données projet'!$A$35:$I$55,5,0)*VLOOKUP('Données projet'!$B$9,Paramètres!$A$1:$I$89,7,0))</f>
        <v>4.5000000000000005E-2</v>
      </c>
      <c r="X30" s="16">
        <f>IF(ISNA(VLOOKUP(A30,'Données projet'!$A$35:$I$55,6,0)),0%,VLOOKUP(A30,'Données projet'!$A$35:$I$55,6,0)*VLOOKUP('Données projet'!$B$9,Paramètres!$A$1:$I$89,7,0))</f>
        <v>0.36000000000000004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3.0453470303061421</v>
      </c>
      <c r="AA30" s="21">
        <f>EXP(-LN(2)/25)*AA29+(1-EXP(-LN(2)/25))/(LN(2)/25)*Calculateur!V30*Calculateur!X30*VLOOKUP('Données projet'!$B$9,Paramètres!$A$1:$I$89,3,0)*0.475*44/12</f>
        <v>23.742473870162744</v>
      </c>
      <c r="AB30" s="21">
        <f>EXP(-LN(2)/2)*AB29+(1-EXP(-LN(2)/2))/(LN(2)/2)*V30*Y30*VLOOKUP('Données projet'!$B$9,Paramètres!$A$1:$I$89,3,0)*0.475*44/12</f>
        <v>0</v>
      </c>
      <c r="AC30" s="22">
        <f t="shared" si="3"/>
        <v>26.787820900468887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58.778049145885198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7.6601960784313725</v>
      </c>
      <c r="AI30" s="13">
        <f>IF('Données projet'!$A$62&gt;35,AI29+AH30-AQ29,IF(A30&lt;'Données projet'!$A$62,$AF$205^A30,IF(A30='Données projet'!$A$62,'Données projet'!$B$62,AI29+AH30-AQ29)))</f>
        <v>206.82529411764699</v>
      </c>
      <c r="AJ30" s="13">
        <f>AI30*VLOOKUP('Données projet'!$B$10,Paramètres!$A$1:$I$89,3,0)*VLOOKUP('Données projet'!$B$10,Paramètres!$A$1:$I$89,5,0)</f>
        <v>96.794237647058793</v>
      </c>
      <c r="AK30" s="13">
        <f t="shared" si="35"/>
        <v>26.196826651333119</v>
      </c>
      <c r="AL30" s="20">
        <f t="shared" si="4"/>
        <v>214.20943698636589</v>
      </c>
      <c r="AM30" s="59">
        <f t="shared" si="5"/>
        <v>462.72895052127831</v>
      </c>
      <c r="AN30" s="59">
        <f ca="1">AVERAGE(OFFSET($AM$3,0,0,'Données projet'!$E$10+1,1))-AVERAGE(OFFSET($H$3,0,0,'Données projet'!$E$10+1,1))</f>
        <v>360.04137410460385</v>
      </c>
      <c r="AO30" s="59">
        <f t="shared" si="36"/>
        <v>287.81656468701829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58.778049145885198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155.76430449447392</v>
      </c>
      <c r="BJ30" s="59">
        <f t="shared" si="38"/>
        <v>363.39275685992129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71.387587948522381</v>
      </c>
      <c r="BQ30" s="21">
        <f>EXP(-LN(2)/25)*BQ29+(1-EXP(-LN(2)/25))/(LN(2)/25)*Calculateur!BL30*Calculateur!BN30*VLOOKUP('Données projet'!$B$11,Paramètres!$A$1:$I$89,3,0)*0.475*44/12</f>
        <v>18.812119963140713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90.199707911663097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58.778049145885198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3.887142857142857</v>
      </c>
      <c r="BY30" s="12">
        <f>IF('Données projet'!$A$114&gt;35,BY29+BX30-CG29,IF(A30&lt;'Données projet'!$A$114,$BV$205^A30,IF(A30='Données projet'!$A$114,'Données projet'!$B$114,BY29+BX30-CG29)))</f>
        <v>104.95285714285717</v>
      </c>
      <c r="BZ30" s="13">
        <f>BY30*VLOOKUP('Données projet'!$B$12,Paramètres!$A$1:$I$89,3,0)*VLOOKUP('Données projet'!$B$12,Paramètres!$A$1:$I$89,5,0)</f>
        <v>106.42219714285717</v>
      </c>
      <c r="CA30" s="13">
        <f t="shared" si="39"/>
        <v>28.486410954559084</v>
      </c>
      <c r="CB30" s="20">
        <f t="shared" si="10"/>
        <v>234.96582576966659</v>
      </c>
      <c r="CC30" s="59">
        <f t="shared" si="11"/>
        <v>483.48533930457904</v>
      </c>
      <c r="CD30" s="59">
        <f ca="1">AVERAGE(OFFSET($CC$3,0,0,'Données projet'!$E$12+1,1))-AVERAGE(OFFSET($H$3,0,0,'Données projet'!$E$12+1,1))</f>
        <v>679.4570479719705</v>
      </c>
      <c r="CE30" s="59">
        <f t="shared" si="40"/>
        <v>310.8252119379963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58.778049145885198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>
        <f>CT30*VLOOKUP('Données projet'!$B$13,Paramètres!$A$1:$I$89,3,0)*VLOOKUP('Données projet'!$B$13,Paramètres!$A$1:$I$89,5,0)</f>
        <v>0</v>
      </c>
      <c r="CV30" s="13" t="e">
        <f t="shared" si="41"/>
        <v>#NUM!</v>
      </c>
      <c r="CW30" s="20" t="e">
        <f t="shared" si="13"/>
        <v>#NUM!</v>
      </c>
      <c r="CX30" s="59" t="e">
        <f t="shared" si="14"/>
        <v>#NUM!</v>
      </c>
      <c r="CY30" s="59">
        <f ca="1">AVERAGE(OFFSET($CX$3,0,0,'Données projet'!$E$13+1,1))-AVERAGE(OFFSET($H$3,0,0,'Données projet'!$E$13+1,1))</f>
        <v>146.95547268081216</v>
      </c>
      <c r="CZ30" s="59">
        <f t="shared" si="42"/>
        <v>343.21355872318065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66.789000994783194</v>
      </c>
      <c r="DG30" s="21">
        <f>EXP(-LN(2)/25)*DG29+(1-EXP(-LN(2)/25))/(LN(2)/25)*Calculateur!DB30*Calculateur!DD30*VLOOKUP('Données projet'!$B$13,Paramètres!$A$1:$I$89,3,0)*0.475*44/12</f>
        <v>17.600296284533488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84.389297279316679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58.778049145885198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58.778049145885198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58.778049145885198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58.778049145885198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58.778049145885198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3.5999999999999996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13.199999999999998</v>
      </c>
      <c r="H31" s="67">
        <f t="shared" si="1"/>
        <v>203.86666666666667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58.972724904680511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16.614999999999998</v>
      </c>
      <c r="N31" s="13">
        <f>IF('Données projet'!$A$36&gt;35,N30+M31-V30,IF(A31&lt;'Données projet'!$A$36,$K$205^A31,IF(A31='Données projet'!$A$36,'Données projet'!$B$36,N30+M31-V30)))</f>
        <v>134.26499999999999</v>
      </c>
      <c r="O31" s="13">
        <f>N31*VLOOKUP('Données projet'!$B$9,Paramètres!$A$1:$I$89,3,0)*VLOOKUP('Données projet'!$B$9,Paramètres!$A$1:$I$89,5,0)</f>
        <v>80.290469999999999</v>
      </c>
      <c r="P31" s="13">
        <f t="shared" si="33"/>
        <v>22.208190565938402</v>
      </c>
      <c r="Q31" s="20">
        <f t="shared" si="2"/>
        <v>178.51850048567601</v>
      </c>
      <c r="R31" s="59">
        <f t="shared" si="0"/>
        <v>428.97404735839348</v>
      </c>
      <c r="S31" s="59">
        <f ca="1">AVERAGE(OFFSET($R$3,0,0,'Données projet'!$E$9+1,1))-AVERAGE(OFFSET($H$3,0,0,'Données projet'!$E$9+1,1))</f>
        <v>366.78396742205962</v>
      </c>
      <c r="T31" s="59">
        <f t="shared" si="34"/>
        <v>271.89887525994988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2.9856296325201162</v>
      </c>
      <c r="AA31" s="21">
        <f>EXP(-LN(2)/25)*AA30+(1-EXP(-LN(2)/25))/(LN(2)/25)*Calculateur!V31*Calculateur!X31*VLOOKUP('Données projet'!$B$9,Paramètres!$A$1:$I$89,3,0)*0.475*44/12</f>
        <v>23.093234673620707</v>
      </c>
      <c r="AB31" s="21">
        <f>EXP(-LN(2)/2)*AB30+(1-EXP(-LN(2)/2))/(LN(2)/2)*V31*Y31*VLOOKUP('Données projet'!$B$9,Paramètres!$A$1:$I$89,3,0)*0.475*44/12</f>
        <v>0</v>
      </c>
      <c r="AC31" s="22">
        <f t="shared" si="3"/>
        <v>26.078864306140822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58.972724904680511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7.6601960784313725</v>
      </c>
      <c r="AI31" s="13">
        <f>IF('Données projet'!$A$62&gt;35,AI30+AH31-AQ30,IF(A31&lt;'Données projet'!$A$62,$AF$205^A31,IF(A31='Données projet'!$A$62,'Données projet'!$B$62,AI30+AH31-AQ30)))</f>
        <v>214.48549019607836</v>
      </c>
      <c r="AJ31" s="13">
        <f>AI31*VLOOKUP('Données projet'!$B$10,Paramètres!$A$1:$I$89,3,0)*VLOOKUP('Données projet'!$B$10,Paramètres!$A$1:$I$89,5,0)</f>
        <v>100.37920941176468</v>
      </c>
      <c r="AK31" s="13">
        <f t="shared" si="35"/>
        <v>27.052319051275138</v>
      </c>
      <c r="AL31" s="20">
        <f t="shared" si="4"/>
        <v>221.94324540646099</v>
      </c>
      <c r="AM31" s="59">
        <f t="shared" si="5"/>
        <v>472.39879227917845</v>
      </c>
      <c r="AN31" s="59">
        <f ca="1">AVERAGE(OFFSET($AM$3,0,0,'Données projet'!$E$10+1,1))-AVERAGE(OFFSET($H$3,0,0,'Données projet'!$E$10+1,1))</f>
        <v>360.04137410460385</v>
      </c>
      <c r="AO31" s="59">
        <f t="shared" si="36"/>
        <v>287.81656468701829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58.972724904680511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155.76430449447392</v>
      </c>
      <c r="BJ31" s="59">
        <f t="shared" si="38"/>
        <v>363.39275685992129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69.98772089098108</v>
      </c>
      <c r="BQ31" s="21">
        <f>EXP(-LN(2)/25)*BQ30+(1-EXP(-LN(2)/25))/(LN(2)/25)*Calculateur!BL31*Calculateur!BN31*VLOOKUP('Données projet'!$B$11,Paramètres!$A$1:$I$89,3,0)*0.475*44/12</f>
        <v>18.297701553462236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88.285422444443313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58.972724904680511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3.887142857142857</v>
      </c>
      <c r="BY31" s="12">
        <f>IF('Données projet'!$A$114&gt;35,BY30+BX31-CG30,IF(A31&lt;'Données projet'!$A$114,$BV$205^A31,IF(A31='Données projet'!$A$114,'Données projet'!$B$114,BY30+BX31-CG30)))</f>
        <v>108.84000000000003</v>
      </c>
      <c r="BZ31" s="13">
        <f>BY31*VLOOKUP('Données projet'!$B$12,Paramètres!$A$1:$I$89,3,0)*VLOOKUP('Données projet'!$B$12,Paramètres!$A$1:$I$89,5,0)</f>
        <v>110.36376000000004</v>
      </c>
      <c r="CA31" s="13">
        <f t="shared" si="39"/>
        <v>29.416672791139618</v>
      </c>
      <c r="CB31" s="20">
        <f t="shared" si="10"/>
        <v>243.45092044456825</v>
      </c>
      <c r="CC31" s="59">
        <f t="shared" si="11"/>
        <v>493.90646731728572</v>
      </c>
      <c r="CD31" s="59">
        <f ca="1">AVERAGE(OFFSET($CC$3,0,0,'Données projet'!$E$12+1,1))-AVERAGE(OFFSET($H$3,0,0,'Données projet'!$E$12+1,1))</f>
        <v>679.4570479719705</v>
      </c>
      <c r="CE31" s="59">
        <f t="shared" si="40"/>
        <v>310.8252119379963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58.972724904680511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>
        <f>CT31*VLOOKUP('Données projet'!$B$13,Paramètres!$A$1:$I$89,3,0)*VLOOKUP('Données projet'!$B$13,Paramètres!$A$1:$I$89,5,0)</f>
        <v>0</v>
      </c>
      <c r="CV31" s="13" t="e">
        <f t="shared" si="41"/>
        <v>#NUM!</v>
      </c>
      <c r="CW31" s="20" t="e">
        <f t="shared" si="13"/>
        <v>#NUM!</v>
      </c>
      <c r="CX31" s="59" t="e">
        <f t="shared" si="14"/>
        <v>#NUM!</v>
      </c>
      <c r="CY31" s="59">
        <f ca="1">AVERAGE(OFFSET($CX$3,0,0,'Données projet'!$E$13+1,1))-AVERAGE(OFFSET($H$3,0,0,'Données projet'!$E$13+1,1))</f>
        <v>146.95547268081216</v>
      </c>
      <c r="CZ31" s="59">
        <f t="shared" si="42"/>
        <v>343.21355872318065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65.479309422543636</v>
      </c>
      <c r="DG31" s="21">
        <f>EXP(-LN(2)/25)*DG30+(1-EXP(-LN(2)/25))/(LN(2)/25)*Calculateur!DB31*Calculateur!DD31*VLOOKUP('Données projet'!$B$13,Paramètres!$A$1:$I$89,3,0)*0.475*44/12</f>
        <v>17.119015257073563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82.598324679617207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58.972724904680511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58.972724904680511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58.972724904680511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58.972724904680511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58.972724904680511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3.5999999999999996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13.199999999999998</v>
      </c>
      <c r="H32" s="67">
        <f t="shared" si="1"/>
        <v>203.86666666666667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59.164023474290524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16.614999999999998</v>
      </c>
      <c r="N32" s="13">
        <f>IF('Données projet'!$A$36&gt;35,N31+M32-V31,IF(A32&lt;'Données projet'!$A$36,$K$205^A32,IF(A32='Données projet'!$A$36,'Données projet'!$B$36,N31+M32-V31)))</f>
        <v>150.88</v>
      </c>
      <c r="O32" s="13">
        <f>N32*VLOOKUP('Données projet'!$B$9,Paramètres!$A$1:$I$89,3,0)*VLOOKUP('Données projet'!$B$9,Paramètres!$A$1:$I$89,5,0)</f>
        <v>90.22623999999999</v>
      </c>
      <c r="P32" s="13">
        <f t="shared" si="33"/>
        <v>24.619780658757083</v>
      </c>
      <c r="Q32" s="20">
        <f t="shared" si="2"/>
        <v>200.02348598066854</v>
      </c>
      <c r="R32" s="59">
        <f t="shared" si="0"/>
        <v>452.40268316417826</v>
      </c>
      <c r="S32" s="59">
        <f ca="1">AVERAGE(OFFSET($R$3,0,0,'Données projet'!$E$9+1,1))-AVERAGE(OFFSET($H$3,0,0,'Données projet'!$E$9+1,1))</f>
        <v>366.78396742205962</v>
      </c>
      <c r="T32" s="59">
        <f t="shared" si="34"/>
        <v>271.89887525994988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2.9270832564806581</v>
      </c>
      <c r="AA32" s="21">
        <f>EXP(-LN(2)/25)*AA31+(1-EXP(-LN(2)/25))/(LN(2)/25)*Calculateur!V32*Calculateur!X32*VLOOKUP('Données projet'!$B$9,Paramètres!$A$1:$I$89,3,0)*0.475*44/12</f>
        <v>22.461748957050116</v>
      </c>
      <c r="AB32" s="21">
        <f>EXP(-LN(2)/2)*AB31+(1-EXP(-LN(2)/2))/(LN(2)/2)*V32*Y32*VLOOKUP('Données projet'!$B$9,Paramètres!$A$1:$I$89,3,0)*0.475*44/12</f>
        <v>0</v>
      </c>
      <c r="AC32" s="22">
        <f t="shared" si="3"/>
        <v>25.388832213530772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59.164023474290524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7.6601960784313725</v>
      </c>
      <c r="AI32" s="13">
        <f>IF('Données projet'!$A$62&gt;35,AI31+AH32-AQ31,IF(A32&lt;'Données projet'!$A$62,$AF$205^A32,IF(A32='Données projet'!$A$62,'Données projet'!$B$62,AI31+AH32-AQ31)))</f>
        <v>222.14568627450973</v>
      </c>
      <c r="AJ32" s="13">
        <f>AI32*VLOOKUP('Données projet'!$B$10,Paramètres!$A$1:$I$89,3,0)*VLOOKUP('Données projet'!$B$10,Paramètres!$A$1:$I$89,5,0)</f>
        <v>103.96418117647056</v>
      </c>
      <c r="AK32" s="13">
        <f t="shared" si="35"/>
        <v>27.904261631958295</v>
      </c>
      <c r="AL32" s="20">
        <f t="shared" si="4"/>
        <v>229.67087122468024</v>
      </c>
      <c r="AM32" s="59">
        <f t="shared" si="5"/>
        <v>482.05006840818999</v>
      </c>
      <c r="AN32" s="59">
        <f ca="1">AVERAGE(OFFSET($AM$3,0,0,'Données projet'!$E$10+1,1))-AVERAGE(OFFSET($H$3,0,0,'Données projet'!$E$10+1,1))</f>
        <v>360.04137410460385</v>
      </c>
      <c r="AO32" s="59">
        <f t="shared" si="36"/>
        <v>287.81656468701829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59.164023474290524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155.76430449447392</v>
      </c>
      <c r="BJ32" s="59">
        <f t="shared" si="38"/>
        <v>363.39275685992129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68.615304372603561</v>
      </c>
      <c r="BQ32" s="21">
        <f>EXP(-LN(2)/25)*BQ31+(1-EXP(-LN(2)/25))/(LN(2)/25)*Calculateur!BL32*Calculateur!BN32*VLOOKUP('Données projet'!$B$11,Paramètres!$A$1:$I$89,3,0)*0.475*44/12</f>
        <v>17.797349942248506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86.412654314852062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59.164023474290524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3.887142857142857</v>
      </c>
      <c r="BY32" s="12">
        <f>IF('Données projet'!$A$114&gt;35,BY31+BX32-CG31,IF(A32&lt;'Données projet'!$A$114,$BV$205^A32,IF(A32='Données projet'!$A$114,'Données projet'!$B$114,BY31+BX32-CG31)))</f>
        <v>112.72714285714289</v>
      </c>
      <c r="BZ32" s="13">
        <f>BY32*VLOOKUP('Données projet'!$B$12,Paramètres!$A$1:$I$89,3,0)*VLOOKUP('Données projet'!$B$12,Paramètres!$A$1:$I$89,5,0)</f>
        <v>114.3053228571429</v>
      </c>
      <c r="CA32" s="13">
        <f t="shared" si="39"/>
        <v>30.343074556744043</v>
      </c>
      <c r="CB32" s="20">
        <f t="shared" si="10"/>
        <v>251.92929216251972</v>
      </c>
      <c r="CC32" s="59">
        <f t="shared" si="11"/>
        <v>504.30848934602943</v>
      </c>
      <c r="CD32" s="59">
        <f ca="1">AVERAGE(OFFSET($CC$3,0,0,'Données projet'!$E$12+1,1))-AVERAGE(OFFSET($H$3,0,0,'Données projet'!$E$12+1,1))</f>
        <v>679.4570479719705</v>
      </c>
      <c r="CE32" s="59">
        <f t="shared" si="40"/>
        <v>310.8252119379963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59.164023474290524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>
        <f>CT32*VLOOKUP('Données projet'!$B$13,Paramètres!$A$1:$I$89,3,0)*VLOOKUP('Données projet'!$B$13,Paramètres!$A$1:$I$89,5,0)</f>
        <v>0</v>
      </c>
      <c r="CV32" s="13" t="e">
        <f t="shared" si="41"/>
        <v>#NUM!</v>
      </c>
      <c r="CW32" s="20" t="e">
        <f t="shared" si="13"/>
        <v>#NUM!</v>
      </c>
      <c r="CX32" s="59" t="e">
        <f t="shared" si="14"/>
        <v>#NUM!</v>
      </c>
      <c r="CY32" s="59">
        <f ca="1">AVERAGE(OFFSET($CX$3,0,0,'Données projet'!$E$13+1,1))-AVERAGE(OFFSET($H$3,0,0,'Données projet'!$E$13+1,1))</f>
        <v>146.95547268081216</v>
      </c>
      <c r="CZ32" s="59">
        <f t="shared" si="42"/>
        <v>343.21355872318065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64.195300103202712</v>
      </c>
      <c r="DG32" s="21">
        <f>EXP(-LN(2)/25)*DG31+(1-EXP(-LN(2)/25))/(LN(2)/25)*Calculateur!DB32*Calculateur!DD32*VLOOKUP('Données projet'!$B$13,Paramètres!$A$1:$I$89,3,0)*0.475*44/12</f>
        <v>16.650894884618999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80.846194987821718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59.164023474290524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59.164023474290524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59.164023474290524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59.164023474290524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59.164023474290524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3.5999999999999996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13.199999999999998</v>
      </c>
      <c r="H33" s="67">
        <f t="shared" si="1"/>
        <v>203.86666666666667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59.352003441397329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16.614999999999998</v>
      </c>
      <c r="N33" s="13">
        <f>IF('Données projet'!$A$36&gt;35,N32+M33-V32,IF(A33&lt;'Données projet'!$A$36,$K$205^A33,IF(A33='Données projet'!$A$36,'Données projet'!$B$36,N32+M33-V32)))</f>
        <v>167.495</v>
      </c>
      <c r="O33" s="13">
        <f>N33*VLOOKUP('Données projet'!$B$9,Paramètres!$A$1:$I$89,3,0)*VLOOKUP('Données projet'!$B$9,Paramètres!$A$1:$I$89,5,0)</f>
        <v>100.16201000000001</v>
      </c>
      <c r="P33" s="13">
        <f t="shared" si="33"/>
        <v>27.000590559708886</v>
      </c>
      <c r="Q33" s="20">
        <f t="shared" si="2"/>
        <v>221.47486264149299</v>
      </c>
      <c r="R33" s="59">
        <f t="shared" si="0"/>
        <v>475.76554192661655</v>
      </c>
      <c r="S33" s="59">
        <f ca="1">AVERAGE(OFFSET($R$3,0,0,'Données projet'!$E$9+1,1))-AVERAGE(OFFSET($H$3,0,0,'Données projet'!$E$9+1,1))</f>
        <v>366.78396742205962</v>
      </c>
      <c r="T33" s="59">
        <f t="shared" si="34"/>
        <v>271.89887525994988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2.8696849391655705</v>
      </c>
      <c r="AA33" s="21">
        <f>EXP(-LN(2)/25)*AA32+(1-EXP(-LN(2)/25))/(LN(2)/25)*Calculateur!V33*Calculateur!X33*VLOOKUP('Données projet'!$B$9,Paramètres!$A$1:$I$89,3,0)*0.475*44/12</f>
        <v>21.847531250607538</v>
      </c>
      <c r="AB33" s="21">
        <f>EXP(-LN(2)/2)*AB32+(1-EXP(-LN(2)/2))/(LN(2)/2)*V33*Y33*VLOOKUP('Données projet'!$B$9,Paramètres!$A$1:$I$89,3,0)*0.475*44/12</f>
        <v>0</v>
      </c>
      <c r="AC33" s="22">
        <f t="shared" si="3"/>
        <v>24.717216189773108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59.352003441397329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7.6601960784313725</v>
      </c>
      <c r="AI33" s="13">
        <f>IF('Données projet'!$A$62&gt;35,AI32+AH33-AQ32,IF(A33&lt;'Données projet'!$A$62,$AF$205^A33,IF(A33='Données projet'!$A$62,'Données projet'!$B$62,AI32+AH33-AQ32)))</f>
        <v>229.8058823529411</v>
      </c>
      <c r="AJ33" s="13">
        <f>AI33*VLOOKUP('Données projet'!$B$10,Paramètres!$A$1:$I$89,3,0)*VLOOKUP('Données projet'!$B$10,Paramètres!$A$1:$I$89,5,0)</f>
        <v>107.54915294117643</v>
      </c>
      <c r="AK33" s="13">
        <f t="shared" si="35"/>
        <v>28.752790830246401</v>
      </c>
      <c r="AL33" s="20">
        <f t="shared" si="4"/>
        <v>237.3925520685614</v>
      </c>
      <c r="AM33" s="59">
        <f t="shared" si="5"/>
        <v>491.68323135368496</v>
      </c>
      <c r="AN33" s="59">
        <f ca="1">AVERAGE(OFFSET($AM$3,0,0,'Données projet'!$E$10+1,1))-AVERAGE(OFFSET($H$3,0,0,'Données projet'!$E$10+1,1))</f>
        <v>360.04137410460385</v>
      </c>
      <c r="AO33" s="59">
        <f t="shared" si="36"/>
        <v>287.81656468701829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59.352003441397329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155.76430449447392</v>
      </c>
      <c r="BJ33" s="59">
        <f t="shared" si="38"/>
        <v>363.39275685992129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67.269800105060014</v>
      </c>
      <c r="BQ33" s="21">
        <f>EXP(-LN(2)/25)*BQ32+(1-EXP(-LN(2)/25))/(LN(2)/25)*Calculateur!BL33*Calculateur!BN33*VLOOKUP('Données projet'!$B$11,Paramètres!$A$1:$I$89,3,0)*0.475*44/12</f>
        <v>17.310680472155763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84.580480577215781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59.352003441397329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3.887142857142857</v>
      </c>
      <c r="BY33" s="12">
        <f>IF('Données projet'!$A$114&gt;35,BY32+BX33-CG32,IF(A33&lt;'Données projet'!$A$114,$BV$205^A33,IF(A33='Données projet'!$A$114,'Données projet'!$B$114,BY32+BX33-CG32)))</f>
        <v>116.61428571428576</v>
      </c>
      <c r="BZ33" s="13">
        <f>BY33*VLOOKUP('Données projet'!$B$12,Paramètres!$A$1:$I$89,3,0)*VLOOKUP('Données projet'!$B$12,Paramètres!$A$1:$I$89,5,0)</f>
        <v>118.24688571428577</v>
      </c>
      <c r="CA33" s="13">
        <f t="shared" si="39"/>
        <v>31.265764612722538</v>
      </c>
      <c r="CB33" s="20">
        <f t="shared" si="10"/>
        <v>260.40119931953944</v>
      </c>
      <c r="CC33" s="59">
        <f t="shared" si="11"/>
        <v>514.69187860466297</v>
      </c>
      <c r="CD33" s="59">
        <f ca="1">AVERAGE(OFFSET($CC$3,0,0,'Données projet'!$E$12+1,1))-AVERAGE(OFFSET($H$3,0,0,'Données projet'!$E$12+1,1))</f>
        <v>679.4570479719705</v>
      </c>
      <c r="CE33" s="59">
        <f t="shared" si="40"/>
        <v>310.8252119379963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59.352003441397329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>
        <f>CT33*VLOOKUP('Données projet'!$B$13,Paramètres!$A$1:$I$89,3,0)*VLOOKUP('Données projet'!$B$13,Paramètres!$A$1:$I$89,5,0)</f>
        <v>0</v>
      </c>
      <c r="CV33" s="13" t="e">
        <f t="shared" si="41"/>
        <v>#NUM!</v>
      </c>
      <c r="CW33" s="20" t="e">
        <f t="shared" si="13"/>
        <v>#NUM!</v>
      </c>
      <c r="CX33" s="59" t="e">
        <f t="shared" si="14"/>
        <v>#NUM!</v>
      </c>
      <c r="CY33" s="59">
        <f ca="1">AVERAGE(OFFSET($CX$3,0,0,'Données projet'!$E$13+1,1))-AVERAGE(OFFSET($H$3,0,0,'Données projet'!$E$13+1,1))</f>
        <v>146.95547268081216</v>
      </c>
      <c r="CZ33" s="59">
        <f t="shared" si="42"/>
        <v>343.21355872318065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62.936469423445708</v>
      </c>
      <c r="DG33" s="21">
        <f>EXP(-LN(2)/25)*DG32+(1-EXP(-LN(2)/25))/(LN(2)/25)*Calculateur!DB33*Calculateur!DD33*VLOOKUP('Données projet'!$B$13,Paramètres!$A$1:$I$89,3,0)*0.475*44/12</f>
        <v>16.195575288366587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79.132044711812298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59.352003441397329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59.352003441397329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59.352003441397329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59.352003441397329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59.352003441397329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3.5999999999999996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13.199999999999998</v>
      </c>
      <c r="H34" s="67">
        <f t="shared" si="1"/>
        <v>203.86666666666667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59.536722376335078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16.614999999999998</v>
      </c>
      <c r="N34" s="13">
        <f>IF('Données projet'!$A$36&gt;35,N33+M34-V33,IF(A34&lt;'Données projet'!$A$36,$K$205^A34,IF(A34='Données projet'!$A$36,'Données projet'!$B$36,N33+M34-V33)))</f>
        <v>184.11</v>
      </c>
      <c r="O34" s="13">
        <f>N34*VLOOKUP('Données projet'!$B$9,Paramètres!$A$1:$I$89,3,0)*VLOOKUP('Données projet'!$B$9,Paramètres!$A$1:$I$89,5,0)</f>
        <v>110.09778000000001</v>
      </c>
      <c r="P34" s="13">
        <f t="shared" si="33"/>
        <v>29.354021111763256</v>
      </c>
      <c r="Q34" s="20">
        <f t="shared" si="2"/>
        <v>242.87855360298769</v>
      </c>
      <c r="R34" s="59">
        <f t="shared" si="0"/>
        <v>497.84653564954965</v>
      </c>
      <c r="S34" s="59">
        <f ca="1">AVERAGE(OFFSET($R$3,0,0,'Données projet'!$E$9+1,1))-AVERAGE(OFFSET($H$3,0,0,'Données projet'!$E$9+1,1))</f>
        <v>366.78396742205962</v>
      </c>
      <c r="T34" s="59">
        <f t="shared" si="34"/>
        <v>271.89887525994988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2.8134121678435156</v>
      </c>
      <c r="AA34" s="21">
        <f>EXP(-LN(2)/25)*AA33+(1-EXP(-LN(2)/25))/(LN(2)/25)*Calculateur!V34*Calculateur!X34*VLOOKUP('Données projet'!$B$9,Paramètres!$A$1:$I$89,3,0)*0.475*44/12</f>
        <v>21.25010935964794</v>
      </c>
      <c r="AB34" s="21">
        <f>EXP(-LN(2)/2)*AB33+(1-EXP(-LN(2)/2))/(LN(2)/2)*V34*Y34*VLOOKUP('Données projet'!$B$9,Paramètres!$A$1:$I$89,3,0)*0.475*44/12</f>
        <v>0</v>
      </c>
      <c r="AC34" s="22">
        <f t="shared" si="3"/>
        <v>24.063521527491456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59.536722376335078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7.6601960784313725</v>
      </c>
      <c r="AI34" s="13">
        <f>IF('Données projet'!$A$62&gt;35,AI33+AH34-AQ33,IF(A34&lt;'Données projet'!$A$62,$AF$205^A34,IF(A34='Données projet'!$A$62,'Données projet'!$B$62,AI33+AH34-AQ33)))</f>
        <v>237.46607843137247</v>
      </c>
      <c r="AJ34" s="13">
        <f>AI34*VLOOKUP('Données projet'!$B$10,Paramètres!$A$1:$I$89,3,0)*VLOOKUP('Données projet'!$B$10,Paramètres!$A$1:$I$89,5,0)</f>
        <v>111.13412470588231</v>
      </c>
      <c r="AK34" s="13">
        <f t="shared" si="35"/>
        <v>29.59803347107345</v>
      </c>
      <c r="AL34" s="20">
        <f t="shared" si="4"/>
        <v>245.10850882486457</v>
      </c>
      <c r="AM34" s="59">
        <f t="shared" si="5"/>
        <v>500.07649087142653</v>
      </c>
      <c r="AN34" s="59">
        <f ca="1">AVERAGE(OFFSET($AM$3,0,0,'Données projet'!$E$10+1,1))-AVERAGE(OFFSET($H$3,0,0,'Données projet'!$E$10+1,1))</f>
        <v>360.04137410460385</v>
      </c>
      <c r="AO34" s="59">
        <f t="shared" si="36"/>
        <v>287.81656468701829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59.536722376335078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155.76430449447392</v>
      </c>
      <c r="BJ34" s="59">
        <f t="shared" si="38"/>
        <v>363.39275685992129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65.95068035552643</v>
      </c>
      <c r="BQ34" s="21">
        <f>EXP(-LN(2)/25)*BQ33+(1-EXP(-LN(2)/25))/(LN(2)/25)*Calculateur!BL34*Calculateur!BN34*VLOOKUP('Données projet'!$B$11,Paramètres!$A$1:$I$89,3,0)*0.475*44/12</f>
        <v>16.837319004315543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82.787999359841976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59.536722376335078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3.887142857142857</v>
      </c>
      <c r="BY34" s="12">
        <f>IF('Données projet'!$A$114&gt;35,BY33+BX34-CG33,IF(A34&lt;'Données projet'!$A$114,$BV$205^A34,IF(A34='Données projet'!$A$114,'Données projet'!$B$114,BY33+BX34-CG33)))</f>
        <v>120.50142857142862</v>
      </c>
      <c r="BZ34" s="13">
        <f>BY34*VLOOKUP('Données projet'!$B$12,Paramètres!$A$1:$I$89,3,0)*VLOOKUP('Données projet'!$B$12,Paramètres!$A$1:$I$89,5,0)</f>
        <v>122.18844857142862</v>
      </c>
      <c r="CA34" s="13">
        <f t="shared" si="39"/>
        <v>32.184880868419519</v>
      </c>
      <c r="CB34" s="20">
        <f t="shared" si="10"/>
        <v>268.86688210773553</v>
      </c>
      <c r="CC34" s="59">
        <f t="shared" si="11"/>
        <v>523.83486415429752</v>
      </c>
      <c r="CD34" s="59">
        <f ca="1">AVERAGE(OFFSET($CC$3,0,0,'Données projet'!$E$12+1,1))-AVERAGE(OFFSET($H$3,0,0,'Données projet'!$E$12+1,1))</f>
        <v>679.4570479719705</v>
      </c>
      <c r="CE34" s="59">
        <f t="shared" si="40"/>
        <v>310.8252119379963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59.536722376335078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>
        <f>CT34*VLOOKUP('Données projet'!$B$13,Paramètres!$A$1:$I$89,3,0)*VLOOKUP('Données projet'!$B$13,Paramètres!$A$1:$I$89,5,0)</f>
        <v>0</v>
      </c>
      <c r="CV34" s="13" t="e">
        <f t="shared" si="41"/>
        <v>#NUM!</v>
      </c>
      <c r="CW34" s="20" t="e">
        <f t="shared" si="13"/>
        <v>#NUM!</v>
      </c>
      <c r="CX34" s="59" t="e">
        <f t="shared" si="14"/>
        <v>#NUM!</v>
      </c>
      <c r="CY34" s="59">
        <f ca="1">AVERAGE(OFFSET($CX$3,0,0,'Données projet'!$E$13+1,1))-AVERAGE(OFFSET($H$3,0,0,'Données projet'!$E$13+1,1))</f>
        <v>146.95547268081216</v>
      </c>
      <c r="CZ34" s="59">
        <f t="shared" si="42"/>
        <v>343.21355872318065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61.702323645507839</v>
      </c>
      <c r="DG34" s="21">
        <f>EXP(-LN(2)/25)*DG33+(1-EXP(-LN(2)/25))/(LN(2)/25)*Calculateur!DB34*Calculateur!DD34*VLOOKUP('Données projet'!$B$13,Paramètres!$A$1:$I$89,3,0)*0.475*44/12</f>
        <v>15.752706430417915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77.455030075925748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59.536722376335078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59.536722376335078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59.536722376335078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59.536722376335078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59.536722376335078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3.5999999999999996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13.199999999999998</v>
      </c>
      <c r="H35" s="67">
        <f t="shared" si="1"/>
        <v>203.86666666666667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59.718236850721333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16.614999999999998</v>
      </c>
      <c r="N35" s="13">
        <f>IF('Données projet'!$A$36&gt;35,N34+M35-V34,IF(A35&lt;'Données projet'!$A$36,$K$205^A35,IF(A35='Données projet'!$A$36,'Données projet'!$B$36,N34+M35-V34)))</f>
        <v>200.72500000000002</v>
      </c>
      <c r="O35" s="13">
        <f>N35*VLOOKUP('Données projet'!$B$9,Paramètres!$A$1:$I$89,3,0)*VLOOKUP('Données projet'!$B$9,Paramètres!$A$1:$I$89,5,0)</f>
        <v>120.03355000000002</v>
      </c>
      <c r="P35" s="13">
        <f t="shared" si="33"/>
        <v>31.68282415335652</v>
      </c>
      <c r="Q35" s="20">
        <f t="shared" ref="Q35:Q66" si="53">(O35+P35)*0.475*44/12</f>
        <v>264.23935165042923</v>
      </c>
      <c r="R35" s="59">
        <f t="shared" si="0"/>
        <v>519.87288676974072</v>
      </c>
      <c r="S35" s="59">
        <f ca="1">AVERAGE(OFFSET($R$3,0,0,'Données projet'!$E$9+1,1))-AVERAGE(OFFSET($H$3,0,0,'Données projet'!$E$9+1,1))</f>
        <v>366.78396742205962</v>
      </c>
      <c r="T35" s="59">
        <f t="shared" si="34"/>
        <v>271.89887525994988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2.7582428712440845</v>
      </c>
      <c r="AA35" s="21">
        <f>EXP(-LN(2)/25)*AA34+(1-EXP(-LN(2)/25))/(LN(2)/25)*Calculateur!V35*Calculateur!X35*VLOOKUP('Données projet'!$B$9,Paramètres!$A$1:$I$89,3,0)*0.475*44/12</f>
        <v>20.669024001713684</v>
      </c>
      <c r="AB35" s="21">
        <f>EXP(-LN(2)/2)*AB34+(1-EXP(-LN(2)/2))/(LN(2)/2)*V35*Y35*VLOOKUP('Données projet'!$B$9,Paramètres!$A$1:$I$89,3,0)*0.475*44/12</f>
        <v>0</v>
      </c>
      <c r="AC35" s="22">
        <f t="shared" si="3"/>
        <v>23.42726687295777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59.718236850721333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7.6601960784313725</v>
      </c>
      <c r="AI35" s="13">
        <f>IF('Données projet'!$A$62&gt;35,AI34+AH35-AQ34,IF(A35&lt;'Données projet'!$A$62,$AF$205^A35,IF(A35='Données projet'!$A$62,'Données projet'!$B$62,AI34+AH35-AQ34)))</f>
        <v>245.12627450980384</v>
      </c>
      <c r="AJ35" s="13">
        <f>AI35*VLOOKUP('Données projet'!$B$10,Paramètres!$A$1:$I$89,3,0)*VLOOKUP('Données projet'!$B$10,Paramètres!$A$1:$I$89,5,0)</f>
        <v>114.7190964705882</v>
      </c>
      <c r="AK35" s="13">
        <f t="shared" si="35"/>
        <v>30.440107732592779</v>
      </c>
      <c r="AL35" s="20">
        <f t="shared" si="4"/>
        <v>252.81894732054016</v>
      </c>
      <c r="AM35" s="59">
        <f t="shared" si="5"/>
        <v>508.45248243985168</v>
      </c>
      <c r="AN35" s="59">
        <f ca="1">AVERAGE(OFFSET($AM$3,0,0,'Données projet'!$E$10+1,1))-AVERAGE(OFFSET($H$3,0,0,'Données projet'!$E$10+1,1))</f>
        <v>360.04137410460385</v>
      </c>
      <c r="AO35" s="59">
        <f t="shared" si="36"/>
        <v>287.81656468701829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59.718236850721333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155.76430449447392</v>
      </c>
      <c r="BJ35" s="59">
        <f t="shared" si="38"/>
        <v>363.39275685992129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64.657427739697596</v>
      </c>
      <c r="BQ35" s="21">
        <f>EXP(-LN(2)/25)*BQ34+(1-EXP(-LN(2)/25))/(LN(2)/25)*Calculateur!BL35*Calculateur!BN35*VLOOKUP('Données projet'!$B$11,Paramètres!$A$1:$I$89,3,0)*0.475*44/12</f>
        <v>16.37690163070641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81.034329370404009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59.718236850721333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3.887142857142857</v>
      </c>
      <c r="BY35" s="12">
        <f>IF('Données projet'!$A$114&gt;35,BY34+BX35-CG34,IF(A35&lt;'Données projet'!$A$114,$BV$205^A35,IF(A35='Données projet'!$A$114,'Données projet'!$B$114,BY34+BX35-CG34)))</f>
        <v>124.38857142857148</v>
      </c>
      <c r="BZ35" s="13">
        <f>BY35*VLOOKUP('Données projet'!$B$12,Paramètres!$A$1:$I$89,3,0)*VLOOKUP('Données projet'!$B$12,Paramètres!$A$1:$I$89,5,0)</f>
        <v>126.13001142857149</v>
      </c>
      <c r="CA35" s="13">
        <f t="shared" si="39"/>
        <v>33.100551830676153</v>
      </c>
      <c r="CB35" s="20">
        <f t="shared" si="10"/>
        <v>277.32656434318966</v>
      </c>
      <c r="CC35" s="59">
        <f t="shared" si="11"/>
        <v>532.96009946250115</v>
      </c>
      <c r="CD35" s="59">
        <f ca="1">AVERAGE(OFFSET($CC$3,0,0,'Données projet'!$E$12+1,1))-AVERAGE(OFFSET($H$3,0,0,'Données projet'!$E$12+1,1))</f>
        <v>679.4570479719705</v>
      </c>
      <c r="CE35" s="59">
        <f t="shared" si="40"/>
        <v>310.8252119379963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59.718236850721333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>
        <f>CT35*VLOOKUP('Données projet'!$B$13,Paramètres!$A$1:$I$89,3,0)*VLOOKUP('Données projet'!$B$13,Paramètres!$A$1:$I$89,5,0)</f>
        <v>0</v>
      </c>
      <c r="CV35" s="13" t="e">
        <f t="shared" si="41"/>
        <v>#NUM!</v>
      </c>
      <c r="CW35" s="20" t="e">
        <f t="shared" si="13"/>
        <v>#NUM!</v>
      </c>
      <c r="CX35" s="59" t="e">
        <f t="shared" si="14"/>
        <v>#NUM!</v>
      </c>
      <c r="CY35" s="59">
        <f ca="1">AVERAGE(OFFSET($CX$3,0,0,'Données projet'!$E$13+1,1))-AVERAGE(OFFSET($H$3,0,0,'Données projet'!$E$13+1,1))</f>
        <v>146.95547268081216</v>
      </c>
      <c r="CZ35" s="59">
        <f t="shared" si="42"/>
        <v>343.21355872318065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60.492378713520736</v>
      </c>
      <c r="DG35" s="21">
        <f>EXP(-LN(2)/25)*DG34+(1-EXP(-LN(2)/25))/(LN(2)/25)*Calculateur!DB35*Calculateur!DD35*VLOOKUP('Données projet'!$B$13,Paramètres!$A$1:$I$89,3,0)*0.475*44/12</f>
        <v>15.321947844679309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75.814326558200051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59.718236850721333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59.718236850721333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59.718236850721333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59.718236850721333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59.718236850721333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3.5999999999999996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13.199999999999998</v>
      </c>
      <c r="H36" s="67">
        <f t="shared" si="1"/>
        <v>203.86666666666667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59.896602454782553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>
        <f>VLOOKUP(A36,'Données projet'!$A$35:$I$55,2,0)</f>
        <v>217.34</v>
      </c>
      <c r="L36" s="12">
        <f>VLOOKUP(A36,'Données projet'!$A$35:$I$55,9,0)</f>
        <v>16.614999999999998</v>
      </c>
      <c r="M36" s="12">
        <f t="array" ref="M36">INDEX(L:L,MIN(IF(ISNUMBER(L36:L232),ROW(L36:L232),"")))</f>
        <v>16.614999999999998</v>
      </c>
      <c r="N36" s="13">
        <f>IF('Données projet'!$A$36&gt;35,N35+M36-V35,IF(A36&lt;'Données projet'!$A$36,$K$205^A36,IF(A36='Données projet'!$A$36,'Données projet'!$B$36,N35+M36-V35)))</f>
        <v>217.34000000000003</v>
      </c>
      <c r="O36" s="13">
        <f>N36*VLOOKUP('Données projet'!$B$9,Paramètres!$A$1:$I$89,3,0)*VLOOKUP('Données projet'!$B$9,Paramètres!$A$1:$I$89,5,0)</f>
        <v>129.96932000000001</v>
      </c>
      <c r="P36" s="13">
        <f t="shared" si="33"/>
        <v>33.989269987755954</v>
      </c>
      <c r="Q36" s="20">
        <f t="shared" si="53"/>
        <v>285.56121089534162</v>
      </c>
      <c r="R36" s="59">
        <f t="shared" si="0"/>
        <v>541.84875322954429</v>
      </c>
      <c r="S36" s="59">
        <f ca="1">AVERAGE(OFFSET($R$3,0,0,'Données projet'!$E$9+1,1))-AVERAGE(OFFSET($H$3,0,0,'Données projet'!$E$9+1,1))</f>
        <v>366.78396742205962</v>
      </c>
      <c r="T36" s="59">
        <f t="shared" si="34"/>
        <v>271.89887525994988</v>
      </c>
      <c r="U36" s="15">
        <f>IF(ISNA(VLOOKUP(A36,'Données projet'!$A$35:$I$55,3,0)),0,VLOOKUP(A36,'Données projet'!$A$35:$I$55,3,0))</f>
        <v>3</v>
      </c>
      <c r="V36" s="15">
        <f>IF(ISNA(VLOOKUP(A36,'Données projet'!$A$35:$I$55,4,0)),0,VLOOKUP(A36,'Données projet'!$A$35:$I$55,4,0))</f>
        <v>50.41</v>
      </c>
      <c r="W36" s="16">
        <f>IF(ISNA(VLOOKUP(A36,'Données projet'!$A$35:$I$55,5,0)),0%,VLOOKUP(A36,'Données projet'!$A$35:$I$55,5,0)*VLOOKUP('Données projet'!$B$9,Paramètres!$A$1:$I$89,7,0))</f>
        <v>0.13500000000000001</v>
      </c>
      <c r="X36" s="16">
        <f>IF(ISNA(VLOOKUP(A36,'Données projet'!$A$35:$I$55,6,0)),0%,VLOOKUP(A36,'Données projet'!$A$35:$I$55,6,0)*VLOOKUP('Données projet'!$B$9,Paramètres!$A$1:$I$89,7,0))</f>
        <v>0.22500000000000001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8.1027411901626536</v>
      </c>
      <c r="AA36" s="21">
        <f>EXP(-LN(2)/25)*AA35+(1-EXP(-LN(2)/25))/(LN(2)/25)*Calculateur!V36*Calculateur!X36*VLOOKUP('Données projet'!$B$9,Paramètres!$A$1:$I$89,3,0)*0.475*44/12</f>
        <v>29.066044270160475</v>
      </c>
      <c r="AB36" s="21">
        <f>EXP(-LN(2)/2)*AB35+(1-EXP(-LN(2)/2))/(LN(2)/2)*V36*Y36*VLOOKUP('Données projet'!$B$9,Paramètres!$A$1:$I$89,3,0)*0.475*44/12</f>
        <v>0</v>
      </c>
      <c r="AC36" s="22">
        <f t="shared" si="3"/>
        <v>37.168785460323129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59.896602454782553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7.6601960784313725</v>
      </c>
      <c r="AI36" s="13">
        <f>IF('Données projet'!$A$62&gt;35,AI35+AH36-AQ35,IF(A36&lt;'Données projet'!$A$62,$AF$205^A36,IF(A36='Données projet'!$A$62,'Données projet'!$B$62,AI35+AH36-AQ35)))</f>
        <v>252.7864705882352</v>
      </c>
      <c r="AJ36" s="13">
        <f>AI36*VLOOKUP('Données projet'!$B$10,Paramètres!$A$1:$I$89,3,0)*VLOOKUP('Données projet'!$B$10,Paramètres!$A$1:$I$89,5,0)</f>
        <v>118.30406823529408</v>
      </c>
      <c r="AK36" s="13">
        <f t="shared" si="35"/>
        <v>31.279123987293506</v>
      </c>
      <c r="AL36" s="20">
        <f t="shared" si="4"/>
        <v>260.52405978767342</v>
      </c>
      <c r="AM36" s="59">
        <f t="shared" si="5"/>
        <v>516.81160212187615</v>
      </c>
      <c r="AN36" s="59">
        <f ca="1">AVERAGE(OFFSET($AM$3,0,0,'Données projet'!$E$10+1,1))-AVERAGE(OFFSET($H$3,0,0,'Données projet'!$E$10+1,1))</f>
        <v>360.04137410460385</v>
      </c>
      <c r="AO36" s="59">
        <f t="shared" si="36"/>
        <v>287.81656468701829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59.896602454782553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155.76430449447392</v>
      </c>
      <c r="BJ36" s="59">
        <f t="shared" si="38"/>
        <v>363.39275685992129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63.38953501885895</v>
      </c>
      <c r="BQ36" s="21">
        <f>EXP(-LN(2)/25)*BQ35+(1-EXP(-LN(2)/25))/(LN(2)/25)*Calculateur!BL36*Calculateur!BN36*VLOOKUP('Données projet'!$B$11,Paramètres!$A$1:$I$89,3,0)*0.475*44/12</f>
        <v>15.929074394390916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79.318609413249874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59.896602454782553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3.887142857142857</v>
      </c>
      <c r="BY36" s="12">
        <f>IF('Données projet'!$A$114&gt;35,BY35+BX36-CG35,IF(A36&lt;'Données projet'!$A$114,$BV$205^A36,IF(A36='Données projet'!$A$114,'Données projet'!$B$114,BY35+BX36-CG35)))</f>
        <v>128.27571428571434</v>
      </c>
      <c r="BZ36" s="13">
        <f>BY36*VLOOKUP('Données projet'!$B$12,Paramètres!$A$1:$I$89,3,0)*VLOOKUP('Données projet'!$B$12,Paramètres!$A$1:$I$89,5,0)</f>
        <v>130.07157428571435</v>
      </c>
      <c r="CA36" s="13">
        <f t="shared" si="39"/>
        <v>34.012897518459816</v>
      </c>
      <c r="CB36" s="20">
        <f t="shared" si="10"/>
        <v>285.78045505893664</v>
      </c>
      <c r="CC36" s="59">
        <f t="shared" si="11"/>
        <v>542.06799739313931</v>
      </c>
      <c r="CD36" s="59">
        <f ca="1">AVERAGE(OFFSET($CC$3,0,0,'Données projet'!$E$12+1,1))-AVERAGE(OFFSET($H$3,0,0,'Données projet'!$E$12+1,1))</f>
        <v>679.4570479719705</v>
      </c>
      <c r="CE36" s="59">
        <f t="shared" si="40"/>
        <v>310.8252119379963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59.896602454782553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>
        <f>CT36*VLOOKUP('Données projet'!$B$13,Paramètres!$A$1:$I$89,3,0)*VLOOKUP('Données projet'!$B$13,Paramètres!$A$1:$I$89,5,0)</f>
        <v>0</v>
      </c>
      <c r="CV36" s="13" t="e">
        <f t="shared" si="41"/>
        <v>#NUM!</v>
      </c>
      <c r="CW36" s="20" t="e">
        <f t="shared" si="13"/>
        <v>#NUM!</v>
      </c>
      <c r="CX36" s="59" t="e">
        <f t="shared" si="14"/>
        <v>#NUM!</v>
      </c>
      <c r="CY36" s="59">
        <f ca="1">AVERAGE(OFFSET($CX$3,0,0,'Données projet'!$E$13+1,1))-AVERAGE(OFFSET($H$3,0,0,'Données projet'!$E$13+1,1))</f>
        <v>146.95547268081216</v>
      </c>
      <c r="CZ36" s="59">
        <f t="shared" si="42"/>
        <v>343.21355872318065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59.306160063656364</v>
      </c>
      <c r="DG36" s="21">
        <f>EXP(-LN(2)/25)*DG35+(1-EXP(-LN(2)/25))/(LN(2)/25)*Calculateur!DB36*Calculateur!DD36*VLOOKUP('Données projet'!$B$13,Paramètres!$A$1:$I$89,3,0)*0.475*44/12</f>
        <v>14.902968375120336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74.209128438776702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59.896602454782553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59.896602454782553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59.896602454782553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59.896602454782553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59.896602454782553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3.5999999999999996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13.199999999999998</v>
      </c>
      <c r="H37" s="67">
        <f t="shared" si="1"/>
        <v>203.86666666666667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60.071873814379067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16.701250000000002</v>
      </c>
      <c r="N37" s="13">
        <f>IF('Données projet'!$A$36&gt;35,N36+M37-V36,IF(A37&lt;'Données projet'!$A$36,$K$205^A37,IF(A37='Données projet'!$A$36,'Données projet'!$B$36,N36+M37-V36)))</f>
        <v>183.63125000000005</v>
      </c>
      <c r="O37" s="13">
        <f>N37*VLOOKUP('Données projet'!$B$9,Paramètres!$A$1:$I$89,3,0)*VLOOKUP('Données projet'!$B$9,Paramètres!$A$1:$I$89,5,0)</f>
        <v>109.81148750000004</v>
      </c>
      <c r="P37" s="13">
        <f t="shared" si="33"/>
        <v>29.286565124423376</v>
      </c>
      <c r="Q37" s="20">
        <f t="shared" si="53"/>
        <v>242.26244165420408</v>
      </c>
      <c r="R37" s="59">
        <f t="shared" si="0"/>
        <v>499.19264564026071</v>
      </c>
      <c r="S37" s="59">
        <f ca="1">AVERAGE(OFFSET($R$3,0,0,'Données projet'!$E$9+1,1))-AVERAGE(OFFSET($H$3,0,0,'Données projet'!$E$9+1,1))</f>
        <v>366.78396742205962</v>
      </c>
      <c r="T37" s="59">
        <f t="shared" si="34"/>
        <v>271.89887525994988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7.9438513776076896</v>
      </c>
      <c r="AA37" s="21">
        <f>EXP(-LN(2)/25)*AA36+(1-EXP(-LN(2)/25))/(LN(2)/25)*Calculateur!V37*Calculateur!X37*VLOOKUP('Données projet'!$B$9,Paramètres!$A$1:$I$89,3,0)*0.475*44/12</f>
        <v>28.271231761076098</v>
      </c>
      <c r="AB37" s="21">
        <f>EXP(-LN(2)/2)*AB36+(1-EXP(-LN(2)/2))/(LN(2)/2)*V37*Y37*VLOOKUP('Données projet'!$B$9,Paramètres!$A$1:$I$89,3,0)*0.475*44/12</f>
        <v>0</v>
      </c>
      <c r="AC37" s="22">
        <f t="shared" si="3"/>
        <v>36.215083138683788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60.071873814379067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7.6601960784313725</v>
      </c>
      <c r="AI37" s="13">
        <f>IF('Données projet'!$A$62&gt;35,AI36+AH37-AQ36,IF(A37&lt;'Données projet'!$A$62,$AF$205^A37,IF(A37='Données projet'!$A$62,'Données projet'!$B$62,AI36+AH37-AQ36)))</f>
        <v>260.4466666666666</v>
      </c>
      <c r="AJ37" s="13">
        <f>AI37*VLOOKUP('Données projet'!$B$10,Paramètres!$A$1:$I$89,3,0)*VLOOKUP('Données projet'!$B$10,Paramètres!$A$1:$I$89,5,0)</f>
        <v>121.88903999999997</v>
      </c>
      <c r="AK37" s="13">
        <f t="shared" si="35"/>
        <v>32.115185538298832</v>
      </c>
      <c r="AL37" s="20">
        <f t="shared" si="4"/>
        <v>268.22402614587037</v>
      </c>
      <c r="AM37" s="59">
        <f t="shared" si="5"/>
        <v>525.15423013192697</v>
      </c>
      <c r="AN37" s="59">
        <f ca="1">AVERAGE(OFFSET($AM$3,0,0,'Données projet'!$E$10+1,1))-AVERAGE(OFFSET($H$3,0,0,'Données projet'!$E$10+1,1))</f>
        <v>360.04137410460385</v>
      </c>
      <c r="AO37" s="59">
        <f t="shared" si="36"/>
        <v>287.81656468701829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60.071873814379067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155.76430449447392</v>
      </c>
      <c r="BJ37" s="59">
        <f t="shared" si="38"/>
        <v>363.39275685992129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62.146504900937757</v>
      </c>
      <c r="BQ37" s="21">
        <f>EXP(-LN(2)/25)*BQ36+(1-EXP(-LN(2)/25))/(LN(2)/25)*Calculateur!BL37*Calculateur!BN37*VLOOKUP('Données projet'!$B$11,Paramètres!$A$1:$I$89,3,0)*0.475*44/12</f>
        <v>15.493493017402681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77.639997918340441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60.071873814379067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3.887142857142857</v>
      </c>
      <c r="BY37" s="12">
        <f>IF('Données projet'!$A$114&gt;35,BY36+BX37-CG36,IF(A37&lt;'Données projet'!$A$114,$BV$205^A37,IF(A37='Données projet'!$A$114,'Données projet'!$B$114,BY36+BX37-CG36)))</f>
        <v>132.16285714285721</v>
      </c>
      <c r="BZ37" s="13">
        <f>BY37*VLOOKUP('Données projet'!$B$12,Paramètres!$A$1:$I$89,3,0)*VLOOKUP('Données projet'!$B$12,Paramètres!$A$1:$I$89,5,0)</f>
        <v>134.0131371428572</v>
      </c>
      <c r="CA37" s="13">
        <f t="shared" si="39"/>
        <v>34.92203026351433</v>
      </c>
      <c r="CB37" s="20">
        <f t="shared" si="10"/>
        <v>294.2287498994304</v>
      </c>
      <c r="CC37" s="59">
        <f t="shared" si="11"/>
        <v>551.15895388548699</v>
      </c>
      <c r="CD37" s="59">
        <f ca="1">AVERAGE(OFFSET($CC$3,0,0,'Données projet'!$E$12+1,1))-AVERAGE(OFFSET($H$3,0,0,'Données projet'!$E$12+1,1))</f>
        <v>679.4570479719705</v>
      </c>
      <c r="CE37" s="59">
        <f t="shared" si="40"/>
        <v>310.8252119379963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60.071873814379067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>
        <f>CT37*VLOOKUP('Données projet'!$B$13,Paramètres!$A$1:$I$89,3,0)*VLOOKUP('Données projet'!$B$13,Paramètres!$A$1:$I$89,5,0)</f>
        <v>0</v>
      </c>
      <c r="CV37" s="13" t="e">
        <f t="shared" si="41"/>
        <v>#NUM!</v>
      </c>
      <c r="CW37" s="20" t="e">
        <f t="shared" si="13"/>
        <v>#NUM!</v>
      </c>
      <c r="CX37" s="59" t="e">
        <f t="shared" si="14"/>
        <v>#NUM!</v>
      </c>
      <c r="CY37" s="59">
        <f ca="1">AVERAGE(OFFSET($CX$3,0,0,'Données projet'!$E$13+1,1))-AVERAGE(OFFSET($H$3,0,0,'Données projet'!$E$13+1,1))</f>
        <v>146.95547268081216</v>
      </c>
      <c r="CZ37" s="59">
        <f t="shared" si="42"/>
        <v>343.21355872318065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58.143202437993899</v>
      </c>
      <c r="DG37" s="21">
        <f>EXP(-LN(2)/25)*DG36+(1-EXP(-LN(2)/25))/(LN(2)/25)*Calculateur!DB37*Calculateur!DD37*VLOOKUP('Données projet'!$B$13,Paramètres!$A$1:$I$89,3,0)*0.475*44/12</f>
        <v>14.495445921189624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72.63864835918352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60.071873814379067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60.071873814379067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60.071873814379067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60.071873814379067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60.071873814379067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3.5999999999999996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13.199999999999998</v>
      </c>
      <c r="H38" s="67">
        <f t="shared" si="1"/>
        <v>203.86666666666667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60.244104607734627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16.701250000000002</v>
      </c>
      <c r="N38" s="13">
        <f>IF('Données projet'!$A$36&gt;35,N37+M38-V37,IF(A38&lt;'Données projet'!$A$36,$K$205^A38,IF(A38='Données projet'!$A$36,'Données projet'!$B$36,N37+M38-V37)))</f>
        <v>200.33250000000004</v>
      </c>
      <c r="O38" s="13">
        <f>N38*VLOOKUP('Données projet'!$B$9,Paramètres!$A$1:$I$89,3,0)*VLOOKUP('Données projet'!$B$9,Paramètres!$A$1:$I$89,5,0)</f>
        <v>119.79883500000003</v>
      </c>
      <c r="P38" s="13">
        <f t="shared" si="33"/>
        <v>31.628076280921128</v>
      </c>
      <c r="Q38" s="20">
        <f t="shared" si="53"/>
        <v>263.73520381427102</v>
      </c>
      <c r="R38" s="59">
        <f t="shared" si="0"/>
        <v>521.29692070929798</v>
      </c>
      <c r="S38" s="59">
        <f ca="1">AVERAGE(OFFSET($R$3,0,0,'Données projet'!$E$9+1,1))-AVERAGE(OFFSET($H$3,0,0,'Données projet'!$E$9+1,1))</f>
        <v>366.78396742205962</v>
      </c>
      <c r="T38" s="59">
        <f t="shared" si="34"/>
        <v>271.89887525994988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7.7880772973637127</v>
      </c>
      <c r="AA38" s="21">
        <f>EXP(-LN(2)/25)*AA37+(1-EXP(-LN(2)/25))/(LN(2)/25)*Calculateur!V38*Calculateur!X38*VLOOKUP('Données projet'!$B$9,Paramètres!$A$1:$I$89,3,0)*0.475*44/12</f>
        <v>27.498153441850008</v>
      </c>
      <c r="AB38" s="21">
        <f>EXP(-LN(2)/2)*AB37+(1-EXP(-LN(2)/2))/(LN(2)/2)*V38*Y38*VLOOKUP('Données projet'!$B$9,Paramètres!$A$1:$I$89,3,0)*0.475*44/12</f>
        <v>0</v>
      </c>
      <c r="AC38" s="22">
        <f t="shared" si="3"/>
        <v>35.286230739213721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60.244104607734627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7.6601960784313725</v>
      </c>
      <c r="AI38" s="13">
        <f>IF('Données projet'!$A$62&gt;35,AI37+AH38-AQ37,IF(A38&lt;'Données projet'!$A$62,$AF$205^A38,IF(A38='Données projet'!$A$62,'Données projet'!$B$62,AI37+AH38-AQ37)))</f>
        <v>268.106862745098</v>
      </c>
      <c r="AJ38" s="13">
        <f>AI38*VLOOKUP('Données projet'!$B$10,Paramètres!$A$1:$I$89,3,0)*VLOOKUP('Données projet'!$B$10,Paramètres!$A$1:$I$89,5,0)</f>
        <v>125.47401176470586</v>
      </c>
      <c r="AK38" s="13">
        <f t="shared" si="35"/>
        <v>32.948389266607037</v>
      </c>
      <c r="AL38" s="20">
        <f t="shared" si="4"/>
        <v>275.91901512953666</v>
      </c>
      <c r="AM38" s="59">
        <f t="shared" si="5"/>
        <v>533.48073202456362</v>
      </c>
      <c r="AN38" s="59">
        <f ca="1">AVERAGE(OFFSET($AM$3,0,0,'Données projet'!$E$10+1,1))-AVERAGE(OFFSET($H$3,0,0,'Données projet'!$E$10+1,1))</f>
        <v>360.04137410460385</v>
      </c>
      <c r="AO38" s="59">
        <f t="shared" si="36"/>
        <v>287.81656468701829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60.244104607734627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155.76430449447392</v>
      </c>
      <c r="BJ38" s="59">
        <f t="shared" si="38"/>
        <v>363.39275685992129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60.927849845455491</v>
      </c>
      <c r="BQ38" s="21">
        <f>EXP(-LN(2)/25)*BQ37+(1-EXP(-LN(2)/25))/(LN(2)/25)*Calculateur!BL38*Calculateur!BN38*VLOOKUP('Données projet'!$B$11,Paramètres!$A$1:$I$89,3,0)*0.475*44/12</f>
        <v>15.069822636074418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75.997672481529904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60.244104607734627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3.887142857142857</v>
      </c>
      <c r="BY38" s="12">
        <f>IF('Données projet'!$A$114&gt;35,BY37+BX38-CG37,IF(A38&lt;'Données projet'!$A$114,$BV$205^A38,IF(A38='Données projet'!$A$114,'Données projet'!$B$114,BY37+BX38-CG37)))</f>
        <v>136.05000000000007</v>
      </c>
      <c r="BZ38" s="13">
        <f>BY38*VLOOKUP('Données projet'!$B$12,Paramètres!$A$1:$I$89,3,0)*VLOOKUP('Données projet'!$B$12,Paramètres!$A$1:$I$89,5,0)</f>
        <v>137.95470000000009</v>
      </c>
      <c r="CA38" s="13">
        <f t="shared" si="39"/>
        <v>35.828055414169384</v>
      </c>
      <c r="CB38" s="20">
        <f t="shared" si="10"/>
        <v>302.67163234634512</v>
      </c>
      <c r="CC38" s="59">
        <f t="shared" si="11"/>
        <v>560.23334924137203</v>
      </c>
      <c r="CD38" s="59">
        <f ca="1">AVERAGE(OFFSET($CC$3,0,0,'Données projet'!$E$12+1,1))-AVERAGE(OFFSET($H$3,0,0,'Données projet'!$E$12+1,1))</f>
        <v>679.4570479719705</v>
      </c>
      <c r="CE38" s="59">
        <f t="shared" si="40"/>
        <v>310.8252119379963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60.244104607734627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>
        <f>CT38*VLOOKUP('Données projet'!$B$13,Paramètres!$A$1:$I$89,3,0)*VLOOKUP('Données projet'!$B$13,Paramètres!$A$1:$I$89,5,0)</f>
        <v>0</v>
      </c>
      <c r="CV38" s="13" t="e">
        <f t="shared" si="41"/>
        <v>#NUM!</v>
      </c>
      <c r="CW38" s="20" t="e">
        <f t="shared" si="13"/>
        <v>#NUM!</v>
      </c>
      <c r="CX38" s="59" t="e">
        <f t="shared" si="14"/>
        <v>#NUM!</v>
      </c>
      <c r="CY38" s="59">
        <f ca="1">AVERAGE(OFFSET($CX$3,0,0,'Données projet'!$E$13+1,1))-AVERAGE(OFFSET($H$3,0,0,'Données projet'!$E$13+1,1))</f>
        <v>146.95547268081216</v>
      </c>
      <c r="CZ38" s="59">
        <f t="shared" si="42"/>
        <v>343.21355872318065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57.003049702036563</v>
      </c>
      <c r="DG38" s="21">
        <f>EXP(-LN(2)/25)*DG37+(1-EXP(-LN(2)/25))/(LN(2)/25)*Calculateur!DB38*Calculateur!DD38*VLOOKUP('Données projet'!$B$13,Paramètres!$A$1:$I$89,3,0)*0.475*44/12</f>
        <v>14.099067190192322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71.102116892228878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60.244104607734627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60.244104607734627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60.244104607734627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60.244104607734627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60.244104607734627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3.5999999999999996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13.199999999999998</v>
      </c>
      <c r="H39" s="67">
        <f t="shared" si="1"/>
        <v>203.86666666666667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60.413347581875854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16.701250000000002</v>
      </c>
      <c r="N39" s="13">
        <f>IF('Données projet'!$A$36&gt;35,N38+M39-V38,IF(A39&lt;'Données projet'!$A$36,$K$205^A39,IF(A39='Données projet'!$A$36,'Données projet'!$B$36,N38+M39-V38)))</f>
        <v>217.03375000000005</v>
      </c>
      <c r="O39" s="13">
        <f>N39*VLOOKUP('Données projet'!$B$9,Paramètres!$A$1:$I$89,3,0)*VLOOKUP('Données projet'!$B$9,Paramètres!$A$1:$I$89,5,0)</f>
        <v>129.78618250000005</v>
      </c>
      <c r="P39" s="13">
        <f t="shared" si="33"/>
        <v>33.946947653586037</v>
      </c>
      <c r="Q39" s="20">
        <f t="shared" si="53"/>
        <v>285.1685350174958</v>
      </c>
      <c r="R39" s="59">
        <f t="shared" si="0"/>
        <v>543.35080948437394</v>
      </c>
      <c r="S39" s="59">
        <f ca="1">AVERAGE(OFFSET($R$3,0,0,'Données projet'!$E$9+1,1))-AVERAGE(OFFSET($H$3,0,0,'Données projet'!$E$9+1,1))</f>
        <v>366.78396742205962</v>
      </c>
      <c r="T39" s="59">
        <f t="shared" si="34"/>
        <v>271.89887525994988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7.6353578518205127</v>
      </c>
      <c r="AA39" s="21">
        <f>EXP(-LN(2)/25)*AA38+(1-EXP(-LN(2)/25))/(LN(2)/25)*Calculateur!V39*Calculateur!X39*VLOOKUP('Données projet'!$B$9,Paramètres!$A$1:$I$89,3,0)*0.475*44/12</f>
        <v>26.746214989917579</v>
      </c>
      <c r="AB39" s="21">
        <f>EXP(-LN(2)/2)*AB38+(1-EXP(-LN(2)/2))/(LN(2)/2)*V39*Y39*VLOOKUP('Données projet'!$B$9,Paramètres!$A$1:$I$89,3,0)*0.475*44/12</f>
        <v>0</v>
      </c>
      <c r="AC39" s="22">
        <f t="shared" si="3"/>
        <v>34.381572841738091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60.413347581875854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7.6601960784313725</v>
      </c>
      <c r="AI39" s="13">
        <f>IF('Données projet'!$A$62&gt;35,AI38+AH39-AQ38,IF(A39&lt;'Données projet'!$A$62,$AF$205^A39,IF(A39='Données projet'!$A$62,'Données projet'!$B$62,AI38+AH39-AQ38)))</f>
        <v>275.7670588235294</v>
      </c>
      <c r="AJ39" s="13">
        <f>AI39*VLOOKUP('Données projet'!$B$10,Paramètres!$A$1:$I$89,3,0)*VLOOKUP('Données projet'!$B$10,Paramètres!$A$1:$I$89,5,0)</f>
        <v>129.05898352941176</v>
      </c>
      <c r="AK39" s="13">
        <f t="shared" si="35"/>
        <v>33.778826202282794</v>
      </c>
      <c r="AL39" s="20">
        <f t="shared" si="4"/>
        <v>283.60918528270133</v>
      </c>
      <c r="AM39" s="59">
        <f t="shared" si="5"/>
        <v>541.79145974957942</v>
      </c>
      <c r="AN39" s="59">
        <f ca="1">AVERAGE(OFFSET($AM$3,0,0,'Données projet'!$E$10+1,1))-AVERAGE(OFFSET($H$3,0,0,'Données projet'!$E$10+1,1))</f>
        <v>360.04137410460385</v>
      </c>
      <c r="AO39" s="59">
        <f t="shared" si="36"/>
        <v>287.81656468701829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60.413347581875854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155.76430449447392</v>
      </c>
      <c r="BJ39" s="59">
        <f t="shared" si="38"/>
        <v>363.39275685992129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59.733091872305039</v>
      </c>
      <c r="BQ39" s="21">
        <f>EXP(-LN(2)/25)*BQ38+(1-EXP(-LN(2)/25))/(LN(2)/25)*Calculateur!BL39*Calculateur!BN39*VLOOKUP('Données projet'!$B$11,Paramètres!$A$1:$I$89,3,0)*0.475*44/12</f>
        <v>14.657737543603433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74.39082941590847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60.413347581875854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3.887142857142857</v>
      </c>
      <c r="BY39" s="12">
        <f>IF('Données projet'!$A$114&gt;35,BY38+BX39-CG38,IF(A39&lt;'Données projet'!$A$114,$BV$205^A39,IF(A39='Données projet'!$A$114,'Données projet'!$B$114,BY38+BX39-CG38)))</f>
        <v>139.93714285714293</v>
      </c>
      <c r="BZ39" s="13">
        <f>BY39*VLOOKUP('Données projet'!$B$12,Paramètres!$A$1:$I$89,3,0)*VLOOKUP('Données projet'!$B$12,Paramètres!$A$1:$I$89,5,0)</f>
        <v>141.89626285714294</v>
      </c>
      <c r="CA39" s="13">
        <f t="shared" si="39"/>
        <v>36.73107195645354</v>
      </c>
      <c r="CB39" s="20">
        <f t="shared" si="10"/>
        <v>311.10927480034724</v>
      </c>
      <c r="CC39" s="59">
        <f t="shared" si="11"/>
        <v>569.29154926722538</v>
      </c>
      <c r="CD39" s="59">
        <f ca="1">AVERAGE(OFFSET($CC$3,0,0,'Données projet'!$E$12+1,1))-AVERAGE(OFFSET($H$3,0,0,'Données projet'!$E$12+1,1))</f>
        <v>679.4570479719705</v>
      </c>
      <c r="CE39" s="59">
        <f t="shared" si="40"/>
        <v>310.8252119379963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60.413347581875854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>
        <f>CT39*VLOOKUP('Données projet'!$B$13,Paramètres!$A$1:$I$89,3,0)*VLOOKUP('Données projet'!$B$13,Paramètres!$A$1:$I$89,5,0)</f>
        <v>0</v>
      </c>
      <c r="CV39" s="13" t="e">
        <f t="shared" si="41"/>
        <v>#NUM!</v>
      </c>
      <c r="CW39" s="20" t="e">
        <f t="shared" si="13"/>
        <v>#NUM!</v>
      </c>
      <c r="CX39" s="59" t="e">
        <f t="shared" si="14"/>
        <v>#NUM!</v>
      </c>
      <c r="CY39" s="59">
        <f ca="1">AVERAGE(OFFSET($CX$3,0,0,'Données projet'!$E$13+1,1))-AVERAGE(OFFSET($H$3,0,0,'Données projet'!$E$13+1,1))</f>
        <v>146.95547268081216</v>
      </c>
      <c r="CZ39" s="59">
        <f t="shared" si="42"/>
        <v>343.21355872318065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55.885254665806848</v>
      </c>
      <c r="DG39" s="21">
        <f>EXP(-LN(2)/25)*DG38+(1-EXP(-LN(2)/25))/(LN(2)/25)*Calculateur!DB39*Calculateur!DD39*VLOOKUP('Données projet'!$B$13,Paramètres!$A$1:$I$89,3,0)*0.475*44/12</f>
        <v>13.713527456438793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69.598782122245638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60.413347581875854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60.413347581875854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60.413347581875854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60.413347581875854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60.413347581875854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3.5999999999999996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13.199999999999998</v>
      </c>
      <c r="H40" s="67">
        <f t="shared" si="1"/>
        <v>203.86666666666667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60.579654568786324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16.701250000000002</v>
      </c>
      <c r="N40" s="13">
        <f>IF('Données projet'!$A$36&gt;35,N39+M40-V39,IF(A40&lt;'Données projet'!$A$36,$K$205^A40,IF(A40='Données projet'!$A$36,'Données projet'!$B$36,N39+M40-V39)))</f>
        <v>233.73500000000007</v>
      </c>
      <c r="O40" s="13">
        <f>N40*VLOOKUP('Données projet'!$B$9,Paramètres!$A$1:$I$89,3,0)*VLOOKUP('Données projet'!$B$9,Paramètres!$A$1:$I$89,5,0)</f>
        <v>139.77353000000005</v>
      </c>
      <c r="P40" s="13">
        <f t="shared" si="33"/>
        <v>36.245119510821418</v>
      </c>
      <c r="Q40" s="20">
        <f t="shared" si="53"/>
        <v>306.56581456468069</v>
      </c>
      <c r="R40" s="59">
        <f t="shared" si="0"/>
        <v>565.35788131689719</v>
      </c>
      <c r="S40" s="59">
        <f ca="1">AVERAGE(OFFSET($R$3,0,0,'Données projet'!$E$9+1,1))-AVERAGE(OFFSET($H$3,0,0,'Données projet'!$E$9+1,1))</f>
        <v>366.78396742205962</v>
      </c>
      <c r="T40" s="59">
        <f t="shared" si="34"/>
        <v>271.89887525994988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7.485633141454751</v>
      </c>
      <c r="AA40" s="21">
        <f>EXP(-LN(2)/25)*AA39+(1-EXP(-LN(2)/25))/(LN(2)/25)*Calculateur!V40*Calculateur!X40*VLOOKUP('Données projet'!$B$9,Paramètres!$A$1:$I$89,3,0)*0.475*44/12</f>
        <v>26.014838334495966</v>
      </c>
      <c r="AB40" s="21">
        <f>EXP(-LN(2)/2)*AB39+(1-EXP(-LN(2)/2))/(LN(2)/2)*V40*Y40*VLOOKUP('Données projet'!$B$9,Paramètres!$A$1:$I$89,3,0)*0.475*44/12</f>
        <v>0</v>
      </c>
      <c r="AC40" s="22">
        <f t="shared" si="3"/>
        <v>33.500471475950718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60.579654568786324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7.6601960784313725</v>
      </c>
      <c r="AI40" s="13">
        <f>IF('Données projet'!$A$62&gt;35,AI39+AH40-AQ39,IF(A40&lt;'Données projet'!$A$62,$AF$205^A40,IF(A40='Données projet'!$A$62,'Données projet'!$B$62,AI39+AH40-AQ39)))</f>
        <v>283.42725490196079</v>
      </c>
      <c r="AJ40" s="13">
        <f>AI40*VLOOKUP('Données projet'!$B$10,Paramètres!$A$1:$I$89,3,0)*VLOOKUP('Données projet'!$B$10,Paramètres!$A$1:$I$89,5,0)</f>
        <v>132.64395529411766</v>
      </c>
      <c r="AK40" s="13">
        <f t="shared" si="35"/>
        <v>34.606582030398712</v>
      </c>
      <c r="AL40" s="20">
        <f t="shared" si="4"/>
        <v>291.29468584019929</v>
      </c>
      <c r="AM40" s="59">
        <f t="shared" si="5"/>
        <v>550.08675259241579</v>
      </c>
      <c r="AN40" s="59">
        <f ca="1">AVERAGE(OFFSET($AM$3,0,0,'Données projet'!$E$10+1,1))-AVERAGE(OFFSET($H$3,0,0,'Données projet'!$E$10+1,1))</f>
        <v>360.04137410460385</v>
      </c>
      <c r="AO40" s="59">
        <f t="shared" si="36"/>
        <v>287.81656468701829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60.579654568786324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155.76430449447392</v>
      </c>
      <c r="BJ40" s="59">
        <f t="shared" si="38"/>
        <v>363.39275685992129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58.561762374277663</v>
      </c>
      <c r="BQ40" s="21">
        <f>EXP(-LN(2)/25)*BQ39+(1-EXP(-LN(2)/25))/(LN(2)/25)*Calculateur!BL40*Calculateur!BN40*VLOOKUP('Données projet'!$B$11,Paramètres!$A$1:$I$89,3,0)*0.475*44/12</f>
        <v>14.256920939656681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72.818683313934343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60.579654568786324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3.887142857142857</v>
      </c>
      <c r="BY40" s="12">
        <f>IF('Données projet'!$A$114&gt;35,BY39+BX40-CG39,IF(A40&lt;'Données projet'!$A$114,$BV$205^A40,IF(A40='Données projet'!$A$114,'Données projet'!$B$114,BY39+BX40-CG39)))</f>
        <v>143.82428571428579</v>
      </c>
      <c r="BZ40" s="13">
        <f>BY40*VLOOKUP('Données projet'!$B$12,Paramètres!$A$1:$I$89,3,0)*VLOOKUP('Données projet'!$B$12,Paramètres!$A$1:$I$89,5,0)</f>
        <v>145.8378257142858</v>
      </c>
      <c r="CA40" s="13">
        <f t="shared" si="39"/>
        <v>37.631173064254732</v>
      </c>
      <c r="CB40" s="20">
        <f t="shared" si="10"/>
        <v>319.5418395392914</v>
      </c>
      <c r="CC40" s="59">
        <f t="shared" si="11"/>
        <v>578.3339062915079</v>
      </c>
      <c r="CD40" s="59">
        <f ca="1">AVERAGE(OFFSET($CC$3,0,0,'Données projet'!$E$12+1,1))-AVERAGE(OFFSET($H$3,0,0,'Données projet'!$E$12+1,1))</f>
        <v>679.4570479719705</v>
      </c>
      <c r="CE40" s="59">
        <f t="shared" si="40"/>
        <v>310.8252119379963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60.579654568786324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>
        <f>CT40*VLOOKUP('Données projet'!$B$13,Paramètres!$A$1:$I$89,3,0)*VLOOKUP('Données projet'!$B$13,Paramètres!$A$1:$I$89,5,0)</f>
        <v>0</v>
      </c>
      <c r="CV40" s="13" t="e">
        <f t="shared" si="41"/>
        <v>#NUM!</v>
      </c>
      <c r="CW40" s="20" t="e">
        <f t="shared" si="13"/>
        <v>#NUM!</v>
      </c>
      <c r="CX40" s="59" t="e">
        <f t="shared" si="14"/>
        <v>#NUM!</v>
      </c>
      <c r="CY40" s="59">
        <f ca="1">AVERAGE(OFFSET($CX$3,0,0,'Données projet'!$E$13+1,1))-AVERAGE(OFFSET($H$3,0,0,'Données projet'!$E$13+1,1))</f>
        <v>146.95547268081216</v>
      </c>
      <c r="CZ40" s="59">
        <f t="shared" si="42"/>
        <v>343.21355872318065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54.789378908449947</v>
      </c>
      <c r="DG40" s="21">
        <f>EXP(-LN(2)/25)*DG39+(1-EXP(-LN(2)/25))/(LN(2)/25)*Calculateur!DB40*Calculateur!DD40*VLOOKUP('Données projet'!$B$13,Paramètres!$A$1:$I$89,3,0)*0.475*44/12</f>
        <v>13.338530326979408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68.127909235429357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60.579654568786324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60.579654568786324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60.579654568786324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60.579654568786324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60.579654568786324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3.5999999999999996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13.199999999999998</v>
      </c>
      <c r="H41" s="67">
        <f t="shared" si="1"/>
        <v>203.86666666666667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60.743076501280626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16.701250000000002</v>
      </c>
      <c r="N41" s="13">
        <f>IF('Données projet'!$A$36&gt;35,N40+M41-V40,IF(A41&lt;'Données projet'!$A$36,$K$205^A41,IF(A41='Données projet'!$A$36,'Données projet'!$B$36,N40+M41-V40)))</f>
        <v>250.43625000000009</v>
      </c>
      <c r="O41" s="13">
        <f>N41*VLOOKUP('Données projet'!$B$9,Paramètres!$A$1:$I$89,3,0)*VLOOKUP('Données projet'!$B$9,Paramètres!$A$1:$I$89,5,0)</f>
        <v>149.76087750000008</v>
      </c>
      <c r="P41" s="13">
        <f t="shared" si="33"/>
        <v>38.524239129902824</v>
      </c>
      <c r="Q41" s="20">
        <f t="shared" si="53"/>
        <v>327.9299114637476</v>
      </c>
      <c r="R41" s="59">
        <f t="shared" si="0"/>
        <v>587.32119196844326</v>
      </c>
      <c r="S41" s="59">
        <f ca="1">AVERAGE(OFFSET($R$3,0,0,'Données projet'!$E$9+1,1))-AVERAGE(OFFSET($H$3,0,0,'Données projet'!$E$9+1,1))</f>
        <v>366.78396742205962</v>
      </c>
      <c r="T41" s="59">
        <f t="shared" si="34"/>
        <v>271.89887525994988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7.3388444413362057</v>
      </c>
      <c r="AA41" s="21">
        <f>EXP(-LN(2)/25)*AA40+(1-EXP(-LN(2)/25))/(LN(2)/25)*Calculateur!V41*Calculateur!X41*VLOOKUP('Données projet'!$B$9,Paramètres!$A$1:$I$89,3,0)*0.475*44/12</f>
        <v>25.303461212178284</v>
      </c>
      <c r="AB41" s="21">
        <f>EXP(-LN(2)/2)*AB40+(1-EXP(-LN(2)/2))/(LN(2)/2)*V41*Y41*VLOOKUP('Données projet'!$B$9,Paramètres!$A$1:$I$89,3,0)*0.475*44/12</f>
        <v>0</v>
      </c>
      <c r="AC41" s="22">
        <f t="shared" si="3"/>
        <v>32.642305653514491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60.743076501280626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7.6601960784313725</v>
      </c>
      <c r="AI41" s="13">
        <f>IF('Données projet'!$A$62&gt;35,AI40+AH41-AQ40,IF(A41&lt;'Données projet'!$A$62,$AF$205^A41,IF(A41='Données projet'!$A$62,'Données projet'!$B$62,AI40+AH41-AQ40)))</f>
        <v>291.08745098039219</v>
      </c>
      <c r="AJ41" s="13">
        <f>AI41*VLOOKUP('Données projet'!$B$10,Paramètres!$A$1:$I$89,3,0)*VLOOKUP('Données projet'!$B$10,Paramètres!$A$1:$I$89,5,0)</f>
        <v>136.22892705882356</v>
      </c>
      <c r="AK41" s="13">
        <f t="shared" si="35"/>
        <v>35.431737540742127</v>
      </c>
      <c r="AL41" s="20">
        <f t="shared" si="4"/>
        <v>298.9756575109102</v>
      </c>
      <c r="AM41" s="59">
        <f t="shared" si="5"/>
        <v>558.36693801560591</v>
      </c>
      <c r="AN41" s="59">
        <f ca="1">AVERAGE(OFFSET($AM$3,0,0,'Données projet'!$E$10+1,1))-AVERAGE(OFFSET($H$3,0,0,'Données projet'!$E$10+1,1))</f>
        <v>360.04137410460385</v>
      </c>
      <c r="AO41" s="59">
        <f t="shared" si="36"/>
        <v>287.81656468701829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60.743076501280626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155.76430449447392</v>
      </c>
      <c r="BJ41" s="59">
        <f t="shared" si="38"/>
        <v>363.39275685992129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57.413401933266151</v>
      </c>
      <c r="BQ41" s="21">
        <f>EXP(-LN(2)/25)*BQ40+(1-EXP(-LN(2)/25))/(LN(2)/25)*Calculateur!BL41*Calculateur!BN41*VLOOKUP('Données projet'!$B$11,Paramètres!$A$1:$I$89,3,0)*0.475*44/12</f>
        <v>13.86706468682288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71.28046662008903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60.743076501280626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3.887142857142857</v>
      </c>
      <c r="BY41" s="12">
        <f>IF('Données projet'!$A$114&gt;35,BY40+BX41-CG40,IF(A41&lt;'Données projet'!$A$114,$BV$205^A41,IF(A41='Données projet'!$A$114,'Données projet'!$B$114,BY40+BX41-CG40)))</f>
        <v>147.71142857142866</v>
      </c>
      <c r="BZ41" s="13">
        <f>BY41*VLOOKUP('Données projet'!$B$12,Paramètres!$A$1:$I$89,3,0)*VLOOKUP('Données projet'!$B$12,Paramètres!$A$1:$I$89,5,0)</f>
        <v>149.77938857142865</v>
      </c>
      <c r="CA41" s="13">
        <f t="shared" si="39"/>
        <v>38.528446588331214</v>
      </c>
      <c r="CB41" s="20">
        <f t="shared" si="10"/>
        <v>327.96947956991511</v>
      </c>
      <c r="CC41" s="59">
        <f t="shared" si="11"/>
        <v>587.36076007461077</v>
      </c>
      <c r="CD41" s="59">
        <f ca="1">AVERAGE(OFFSET($CC$3,0,0,'Données projet'!$E$12+1,1))-AVERAGE(OFFSET($H$3,0,0,'Données projet'!$E$12+1,1))</f>
        <v>679.4570479719705</v>
      </c>
      <c r="CE41" s="59">
        <f t="shared" si="40"/>
        <v>310.8252119379963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60.743076501280626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>
        <f>CT41*VLOOKUP('Données projet'!$B$13,Paramètres!$A$1:$I$89,3,0)*VLOOKUP('Données projet'!$B$13,Paramètres!$A$1:$I$89,5,0)</f>
        <v>0</v>
      </c>
      <c r="CV41" s="13" t="e">
        <f t="shared" si="41"/>
        <v>#NUM!</v>
      </c>
      <c r="CW41" s="20" t="e">
        <f t="shared" si="13"/>
        <v>#NUM!</v>
      </c>
      <c r="CX41" s="59" t="e">
        <f t="shared" si="14"/>
        <v>#NUM!</v>
      </c>
      <c r="CY41" s="59">
        <f ca="1">AVERAGE(OFFSET($CX$3,0,0,'Données projet'!$E$13+1,1))-AVERAGE(OFFSET($H$3,0,0,'Données projet'!$E$13+1,1))</f>
        <v>146.95547268081216</v>
      </c>
      <c r="CZ41" s="59">
        <f t="shared" si="42"/>
        <v>343.21355872318065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53.714992606276603</v>
      </c>
      <c r="DG41" s="21">
        <f>EXP(-LN(2)/25)*DG40+(1-EXP(-LN(2)/25))/(LN(2)/25)*Calculateur!DB41*Calculateur!DD41*VLOOKUP('Données projet'!$B$13,Paramètres!$A$1:$I$89,3,0)*0.475*44/12</f>
        <v>12.973787513745332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66.688780120021931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60.743076501280626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60.743076501280626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60.743076501280626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60.743076501280626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60.743076501280626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3.5999999999999996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13.199999999999998</v>
      </c>
      <c r="H42" s="67">
        <f t="shared" si="1"/>
        <v>203.86666666666667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60.903663428602854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16.701250000000002</v>
      </c>
      <c r="N42" s="13">
        <f>IF('Données projet'!$A$36&gt;35,N41+M42-V41,IF(A42&lt;'Données projet'!$A$36,$K$205^A42,IF(A42='Données projet'!$A$36,'Données projet'!$B$36,N41+M42-V41)))</f>
        <v>267.1375000000001</v>
      </c>
      <c r="O42" s="13">
        <f>N42*VLOOKUP('Données projet'!$B$9,Paramètres!$A$1:$I$89,3,0)*VLOOKUP('Données projet'!$B$9,Paramètres!$A$1:$I$89,5,0)</f>
        <v>159.74822500000008</v>
      </c>
      <c r="P42" s="13">
        <f t="shared" si="33"/>
        <v>40.785721648734771</v>
      </c>
      <c r="Q42" s="20">
        <f t="shared" si="53"/>
        <v>349.26329041321316</v>
      </c>
      <c r="R42" s="59">
        <f t="shared" si="0"/>
        <v>609.24338965142363</v>
      </c>
      <c r="S42" s="59">
        <f ca="1">AVERAGE(OFFSET($R$3,0,0,'Données projet'!$E$9+1,1))-AVERAGE(OFFSET($H$3,0,0,'Données projet'!$E$9+1,1))</f>
        <v>366.78396742205962</v>
      </c>
      <c r="T42" s="59">
        <f t="shared" si="34"/>
        <v>271.89887525994988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7.1949341780947185</v>
      </c>
      <c r="AA42" s="21">
        <f>EXP(-LN(2)/25)*AA41+(1-EXP(-LN(2)/25))/(LN(2)/25)*Calculateur!V42*Calculateur!X42*VLOOKUP('Données projet'!$B$9,Paramètres!$A$1:$I$89,3,0)*0.475*44/12</f>
        <v>24.611536734680076</v>
      </c>
      <c r="AB42" s="21">
        <f>EXP(-LN(2)/2)*AB41+(1-EXP(-LN(2)/2))/(LN(2)/2)*V42*Y42*VLOOKUP('Données projet'!$B$9,Paramètres!$A$1:$I$89,3,0)*0.475*44/12</f>
        <v>0</v>
      </c>
      <c r="AC42" s="22">
        <f t="shared" si="3"/>
        <v>31.806470912774795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60.903663428602854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7.6601960784313725</v>
      </c>
      <c r="AI42" s="13">
        <f>IF('Données projet'!$A$62&gt;35,AI41+AH42-AQ41,IF(A42&lt;'Données projet'!$A$62,$AF$205^A42,IF(A42='Données projet'!$A$62,'Données projet'!$B$62,AI41+AH42-AQ41)))</f>
        <v>298.74764705882359</v>
      </c>
      <c r="AJ42" s="13">
        <f>AI42*VLOOKUP('Données projet'!$B$10,Paramètres!$A$1:$I$89,3,0)*VLOOKUP('Données projet'!$B$10,Paramètres!$A$1:$I$89,5,0)</f>
        <v>139.81389882352943</v>
      </c>
      <c r="AK42" s="13">
        <f t="shared" si="35"/>
        <v>36.254369028853056</v>
      </c>
      <c r="AL42" s="20">
        <f t="shared" si="4"/>
        <v>306.65223317623287</v>
      </c>
      <c r="AM42" s="59">
        <f t="shared" si="5"/>
        <v>566.63233241444334</v>
      </c>
      <c r="AN42" s="59">
        <f ca="1">AVERAGE(OFFSET($AM$3,0,0,'Données projet'!$E$10+1,1))-AVERAGE(OFFSET($H$3,0,0,'Données projet'!$E$10+1,1))</f>
        <v>360.04137410460385</v>
      </c>
      <c r="AO42" s="59">
        <f t="shared" si="36"/>
        <v>287.81656468701829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60.903663428602854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155.76430449447392</v>
      </c>
      <c r="BJ42" s="59">
        <f t="shared" si="38"/>
        <v>363.39275685992129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56.287560140072166</v>
      </c>
      <c r="BQ42" s="21">
        <f>EXP(-LN(2)/25)*BQ41+(1-EXP(-LN(2)/25))/(LN(2)/25)*Calculateur!BL42*Calculateur!BN42*VLOOKUP('Données projet'!$B$11,Paramètres!$A$1:$I$89,3,0)*0.475*44/12</f>
        <v>13.48786907372447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69.775429213796642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60.903663428602854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3.887142857142857</v>
      </c>
      <c r="BY42" s="12">
        <f>IF('Données projet'!$A$114&gt;35,BY41+BX42-CG41,IF(A42&lt;'Données projet'!$A$114,$BV$205^A42,IF(A42='Données projet'!$A$114,'Données projet'!$B$114,BY41+BX42-CG41)))</f>
        <v>151.59857142857152</v>
      </c>
      <c r="BZ42" s="13">
        <f>BY42*VLOOKUP('Données projet'!$B$12,Paramètres!$A$1:$I$89,3,0)*VLOOKUP('Données projet'!$B$12,Paramètres!$A$1:$I$89,5,0)</f>
        <v>153.72095142857154</v>
      </c>
      <c r="CA42" s="13">
        <f t="shared" si="39"/>
        <v>39.422975492399672</v>
      </c>
      <c r="CB42" s="20">
        <f t="shared" si="10"/>
        <v>336.39233938735816</v>
      </c>
      <c r="CC42" s="59">
        <f t="shared" si="11"/>
        <v>596.37243862556863</v>
      </c>
      <c r="CD42" s="59">
        <f ca="1">AVERAGE(OFFSET($CC$3,0,0,'Données projet'!$E$12+1,1))-AVERAGE(OFFSET($H$3,0,0,'Données projet'!$E$12+1,1))</f>
        <v>679.4570479719705</v>
      </c>
      <c r="CE42" s="59">
        <f t="shared" si="40"/>
        <v>310.8252119379963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60.903663428602854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>
        <f>CT42*VLOOKUP('Données projet'!$B$13,Paramètres!$A$1:$I$89,3,0)*VLOOKUP('Données projet'!$B$13,Paramètres!$A$1:$I$89,5,0)</f>
        <v>0</v>
      </c>
      <c r="CV42" s="13" t="e">
        <f t="shared" si="41"/>
        <v>#NUM!</v>
      </c>
      <c r="CW42" s="20" t="e">
        <f t="shared" si="13"/>
        <v>#NUM!</v>
      </c>
      <c r="CX42" s="59" t="e">
        <f t="shared" si="14"/>
        <v>#NUM!</v>
      </c>
      <c r="CY42" s="59">
        <f ca="1">AVERAGE(OFFSET($CX$3,0,0,'Données projet'!$E$13+1,1))-AVERAGE(OFFSET($H$3,0,0,'Données projet'!$E$13+1,1))</f>
        <v>146.95547268081216</v>
      </c>
      <c r="CZ42" s="59">
        <f t="shared" si="42"/>
        <v>343.21355872318065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52.661674364177941</v>
      </c>
      <c r="DG42" s="21">
        <f>EXP(-LN(2)/25)*DG41+(1-EXP(-LN(2)/25))/(LN(2)/25)*Calculateur!DB42*Calculateur!DD42*VLOOKUP('Données projet'!$B$13,Paramètres!$A$1:$I$89,3,0)*0.475*44/12</f>
        <v>12.619018611920133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65.280692976098067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60.903663428602854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60.903663428602854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60.903663428602854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60.903663428602854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60.903663428602854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3.5999999999999996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13.199999999999998</v>
      </c>
      <c r="H43" s="67">
        <f t="shared" si="1"/>
        <v>203.86666666666667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61.061464531754631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16.701250000000002</v>
      </c>
      <c r="N43" s="13">
        <f>IF('Données projet'!$A$36&gt;35,N42+M43-V42,IF(A43&lt;'Données projet'!$A$36,$K$205^A43,IF(A43='Données projet'!$A$36,'Données projet'!$B$36,N42+M43-V42)))</f>
        <v>283.83875000000012</v>
      </c>
      <c r="O43" s="13">
        <f>N43*VLOOKUP('Données projet'!$B$9,Paramètres!$A$1:$I$89,3,0)*VLOOKUP('Données projet'!$B$9,Paramètres!$A$1:$I$89,5,0)</f>
        <v>169.73557250000007</v>
      </c>
      <c r="P43" s="13">
        <f t="shared" si="33"/>
        <v>43.030795257249402</v>
      </c>
      <c r="Q43" s="20">
        <f t="shared" si="53"/>
        <v>370.56809051054279</v>
      </c>
      <c r="R43" s="59">
        <f t="shared" si="0"/>
        <v>631.12679379364317</v>
      </c>
      <c r="S43" s="59">
        <f ca="1">AVERAGE(OFFSET($R$3,0,0,'Données projet'!$E$9+1,1))-AVERAGE(OFFSET($H$3,0,0,'Données projet'!$E$9+1,1))</f>
        <v>366.78396742205962</v>
      </c>
      <c r="T43" s="59">
        <f t="shared" si="34"/>
        <v>271.89887525994988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7.053845907338804</v>
      </c>
      <c r="AA43" s="21">
        <f>EXP(-LN(2)/25)*AA42+(1-EXP(-LN(2)/25))/(LN(2)/25)*Calculateur!V43*Calculateur!X43*VLOOKUP('Données projet'!$B$9,Paramètres!$A$1:$I$89,3,0)*0.475*44/12</f>
        <v>23.938532968405784</v>
      </c>
      <c r="AB43" s="21">
        <f>EXP(-LN(2)/2)*AB42+(1-EXP(-LN(2)/2))/(LN(2)/2)*V43*Y43*VLOOKUP('Données projet'!$B$9,Paramètres!$A$1:$I$89,3,0)*0.475*44/12</f>
        <v>0</v>
      </c>
      <c r="AC43" s="22">
        <f t="shared" si="3"/>
        <v>30.992378875744588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61.061464531754631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7.6601960784313725</v>
      </c>
      <c r="AI43" s="13">
        <f>IF('Données projet'!$A$62&gt;35,AI42+AH43-AQ42,IF(A43&lt;'Données projet'!$A$62,$AF$205^A43,IF(A43='Données projet'!$A$62,'Données projet'!$B$62,AI42+AH43-AQ42)))</f>
        <v>306.40784313725499</v>
      </c>
      <c r="AJ43" s="13">
        <f>AI43*VLOOKUP('Données projet'!$B$10,Paramètres!$A$1:$I$89,3,0)*VLOOKUP('Données projet'!$B$10,Paramètres!$A$1:$I$89,5,0)</f>
        <v>143.39887058823533</v>
      </c>
      <c r="AK43" s="13">
        <f t="shared" si="35"/>
        <v>37.074548654772258</v>
      </c>
      <c r="AL43" s="20">
        <f t="shared" si="4"/>
        <v>314.32453851490487</v>
      </c>
      <c r="AM43" s="59">
        <f t="shared" si="5"/>
        <v>574.8832417980052</v>
      </c>
      <c r="AN43" s="59">
        <f ca="1">AVERAGE(OFFSET($AM$3,0,0,'Données projet'!$E$10+1,1))-AVERAGE(OFFSET($H$3,0,0,'Données projet'!$E$10+1,1))</f>
        <v>360.04137410460385</v>
      </c>
      <c r="AO43" s="59">
        <f t="shared" si="36"/>
        <v>287.81656468701829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61.061464531754631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155.76430449447392</v>
      </c>
      <c r="BJ43" s="59">
        <f t="shared" si="38"/>
        <v>363.39275685992129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55.183795417747028</v>
      </c>
      <c r="BQ43" s="21">
        <f>EXP(-LN(2)/25)*BQ42+(1-EXP(-LN(2)/25))/(LN(2)/25)*Calculateur!BL43*Calculateur!BN43*VLOOKUP('Données projet'!$B$11,Paramètres!$A$1:$I$89,3,0)*0.475*44/12</f>
        <v>13.119042584607266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68.302838002354292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61.061464531754631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3.887142857142857</v>
      </c>
      <c r="BY43" s="12">
        <f>IF('Données projet'!$A$114&gt;35,BY42+BX43-CG42,IF(A43&lt;'Données projet'!$A$114,$BV$205^A43,IF(A43='Données projet'!$A$114,'Données projet'!$B$114,BY42+BX43-CG42)))</f>
        <v>155.48571428571438</v>
      </c>
      <c r="BZ43" s="13">
        <f>BY43*VLOOKUP('Données projet'!$B$12,Paramètres!$A$1:$I$89,3,0)*VLOOKUP('Données projet'!$B$12,Paramètres!$A$1:$I$89,5,0)</f>
        <v>157.66251428571439</v>
      </c>
      <c r="CA43" s="13">
        <f t="shared" si="39"/>
        <v>40.314838243237894</v>
      </c>
      <c r="CB43" s="20">
        <f t="shared" si="10"/>
        <v>344.81055565459184</v>
      </c>
      <c r="CC43" s="59">
        <f t="shared" si="11"/>
        <v>605.36925893769217</v>
      </c>
      <c r="CD43" s="59">
        <f ca="1">AVERAGE(OFFSET($CC$3,0,0,'Données projet'!$E$12+1,1))-AVERAGE(OFFSET($H$3,0,0,'Données projet'!$E$12+1,1))</f>
        <v>679.4570479719705</v>
      </c>
      <c r="CE43" s="59">
        <f t="shared" si="40"/>
        <v>310.8252119379963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61.061464531754631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>
        <f>CT43*VLOOKUP('Données projet'!$B$13,Paramètres!$A$1:$I$89,3,0)*VLOOKUP('Données projet'!$B$13,Paramètres!$A$1:$I$89,5,0)</f>
        <v>0</v>
      </c>
      <c r="CV43" s="13" t="e">
        <f t="shared" si="41"/>
        <v>#NUM!</v>
      </c>
      <c r="CW43" s="20" t="e">
        <f t="shared" si="13"/>
        <v>#NUM!</v>
      </c>
      <c r="CX43" s="59" t="e">
        <f t="shared" si="14"/>
        <v>#NUM!</v>
      </c>
      <c r="CY43" s="59">
        <f ca="1">AVERAGE(OFFSET($CX$3,0,0,'Données projet'!$E$13+1,1))-AVERAGE(OFFSET($H$3,0,0,'Données projet'!$E$13+1,1))</f>
        <v>146.95547268081216</v>
      </c>
      <c r="CZ43" s="59">
        <f t="shared" si="42"/>
        <v>343.21355872318065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51.629011050346143</v>
      </c>
      <c r="DG43" s="21">
        <f>EXP(-LN(2)/25)*DG42+(1-EXP(-LN(2)/25))/(LN(2)/25)*Calculateur!DB43*Calculateur!DD43*VLOOKUP('Données projet'!$B$13,Paramètres!$A$1:$I$89,3,0)*0.475*44/12</f>
        <v>12.273950884371828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63.902961934717972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61.061464531754631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61.061464531754631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61.061464531754631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61.061464531754631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61.061464531754631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3.5999999999999996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13.199999999999998</v>
      </c>
      <c r="H44" s="67">
        <f t="shared" si="1"/>
        <v>203.86666666666667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61.216528138557138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300.54000000000002</v>
      </c>
      <c r="L44" s="12">
        <f>VLOOKUP(A44,'Données projet'!$A$35:$I$55,9,0)</f>
        <v>16.701250000000002</v>
      </c>
      <c r="M44" s="12">
        <f t="array" ref="M44">INDEX(L:L,MIN(IF(ISNUMBER(L44:L240),ROW(L44:L240),"")))</f>
        <v>16.701250000000002</v>
      </c>
      <c r="N44" s="13">
        <f>IF('Données projet'!$A$36&gt;35,N43+M44-V43,IF(A44&lt;'Données projet'!$A$36,$K$205^A44,IF(A44='Données projet'!$A$36,'Données projet'!$B$36,N43+M44-V43)))</f>
        <v>300.54000000000013</v>
      </c>
      <c r="O44" s="13">
        <f>N44*VLOOKUP('Données projet'!$B$9,Paramètres!$A$1:$I$89,3,0)*VLOOKUP('Données projet'!$B$9,Paramètres!$A$1:$I$89,5,0)</f>
        <v>179.72292000000007</v>
      </c>
      <c r="P44" s="13">
        <f t="shared" si="33"/>
        <v>45.260535445550182</v>
      </c>
      <c r="Q44" s="20">
        <f t="shared" si="53"/>
        <v>391.84618490100002</v>
      </c>
      <c r="R44" s="59">
        <f t="shared" si="0"/>
        <v>652.97345474237613</v>
      </c>
      <c r="S44" s="59">
        <f ca="1">AVERAGE(OFFSET($R$3,0,0,'Données projet'!$E$9+1,1))-AVERAGE(OFFSET($H$3,0,0,'Données projet'!$E$9+1,1))</f>
        <v>366.78396742205962</v>
      </c>
      <c r="T44" s="59">
        <f t="shared" si="34"/>
        <v>271.89887525994988</v>
      </c>
      <c r="U44" s="15">
        <f>IF(ISNA(VLOOKUP(A44,'Données projet'!$A$35:$I$55,3,0)),0,VLOOKUP(A44,'Données projet'!$A$35:$I$55,3,0))</f>
        <v>4</v>
      </c>
      <c r="V44" s="15">
        <f>IF(ISNA(VLOOKUP(A44,'Données projet'!$A$35:$I$55,4,0)),0,VLOOKUP(A44,'Données projet'!$A$35:$I$55,4,0))</f>
        <v>72.13</v>
      </c>
      <c r="W44" s="16">
        <f>IF(ISNA(VLOOKUP(A44,'Données projet'!$A$35:$I$55,5,0)),0%,VLOOKUP(A44,'Données projet'!$A$35:$I$55,5,0)*VLOOKUP('Données projet'!$B$9,Paramètres!$A$1:$I$89,7,0))</f>
        <v>0.13500000000000001</v>
      </c>
      <c r="X44" s="16">
        <f>IF(ISNA(VLOOKUP(A44,'Données projet'!$A$35:$I$55,6,0)),0%,VLOOKUP(A44,'Données projet'!$A$35:$I$55,6,0)*VLOOKUP('Données projet'!$B$9,Paramètres!$A$1:$I$89,7,0))</f>
        <v>0.22500000000000001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14.640181943930113</v>
      </c>
      <c r="AA44" s="21">
        <f>EXP(-LN(2)/25)*AA43+(1-EXP(-LN(2)/25))/(LN(2)/25)*Calculateur!V44*Calculateur!X44*VLOOKUP('Données projet'!$B$9,Paramètres!$A$1:$I$89,3,0)*0.475*44/12</f>
        <v>36.107670412028959</v>
      </c>
      <c r="AB44" s="21">
        <f>EXP(-LN(2)/2)*AB43+(1-EXP(-LN(2)/2))/(LN(2)/2)*V44*Y44*VLOOKUP('Données projet'!$B$9,Paramètres!$A$1:$I$89,3,0)*0.475*44/12</f>
        <v>0</v>
      </c>
      <c r="AC44" s="22">
        <f t="shared" si="3"/>
        <v>50.747852355959068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61.216528138557138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7.6601960784313725</v>
      </c>
      <c r="AI44" s="13">
        <f>IF('Données projet'!$A$62&gt;35,AI43+AH44-AQ43,IF(A44&lt;'Données projet'!$A$62,$AF$205^A44,IF(A44='Données projet'!$A$62,'Données projet'!$B$62,AI43+AH44-AQ43)))</f>
        <v>314.06803921568638</v>
      </c>
      <c r="AJ44" s="13">
        <f>AI44*VLOOKUP('Données projet'!$B$10,Paramètres!$A$1:$I$89,3,0)*VLOOKUP('Données projet'!$B$10,Paramètres!$A$1:$I$89,5,0)</f>
        <v>146.98384235294122</v>
      </c>
      <c r="AK44" s="13">
        <f t="shared" si="35"/>
        <v>37.892344764904891</v>
      </c>
      <c r="AL44" s="20">
        <f t="shared" si="4"/>
        <v>321.99269256358195</v>
      </c>
      <c r="AM44" s="59">
        <f t="shared" si="5"/>
        <v>583.11996240495819</v>
      </c>
      <c r="AN44" s="59">
        <f ca="1">AVERAGE(OFFSET($AM$3,0,0,'Données projet'!$E$10+1,1))-AVERAGE(OFFSET($H$3,0,0,'Données projet'!$E$10+1,1))</f>
        <v>360.04137410460385</v>
      </c>
      <c r="AO44" s="59">
        <f t="shared" si="36"/>
        <v>287.81656468701829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61.216528138557138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155.76430449447392</v>
      </c>
      <c r="BJ44" s="59">
        <f t="shared" si="38"/>
        <v>363.39275685992129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54.101674848396684</v>
      </c>
      <c r="BQ44" s="21">
        <f>EXP(-LN(2)/25)*BQ43+(1-EXP(-LN(2)/25))/(LN(2)/25)*Calculateur!BL44*Calculateur!BN44*VLOOKUP('Données projet'!$B$11,Paramètres!$A$1:$I$89,3,0)*0.475*44/12</f>
        <v>12.760301675230714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66.861976523627391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61.216528138557138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3.887142857142857</v>
      </c>
      <c r="BY44" s="12">
        <f>IF('Données projet'!$A$114&gt;35,BY43+BX44-CG43,IF(A44&lt;'Données projet'!$A$114,$BV$205^A44,IF(A44='Données projet'!$A$114,'Données projet'!$B$114,BY43+BX44-CG43)))</f>
        <v>159.37285714285724</v>
      </c>
      <c r="BZ44" s="13">
        <f>BY44*VLOOKUP('Données projet'!$B$12,Paramètres!$A$1:$I$89,3,0)*VLOOKUP('Données projet'!$B$12,Paramètres!$A$1:$I$89,5,0)</f>
        <v>161.60407714285725</v>
      </c>
      <c r="CA44" s="13">
        <f t="shared" si="39"/>
        <v>41.204109160679089</v>
      </c>
      <c r="CB44" s="20">
        <f t="shared" si="10"/>
        <v>353.2242578119924</v>
      </c>
      <c r="CC44" s="59">
        <f t="shared" si="11"/>
        <v>614.35152765336852</v>
      </c>
      <c r="CD44" s="59">
        <f ca="1">AVERAGE(OFFSET($CC$3,0,0,'Données projet'!$E$12+1,1))-AVERAGE(OFFSET($H$3,0,0,'Données projet'!$E$12+1,1))</f>
        <v>679.4570479719705</v>
      </c>
      <c r="CE44" s="59">
        <f t="shared" si="40"/>
        <v>310.8252119379963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61.216528138557138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>
        <f>CT44*VLOOKUP('Données projet'!$B$13,Paramètres!$A$1:$I$89,3,0)*VLOOKUP('Données projet'!$B$13,Paramètres!$A$1:$I$89,5,0)</f>
        <v>0</v>
      </c>
      <c r="CV44" s="13" t="e">
        <f t="shared" si="41"/>
        <v>#NUM!</v>
      </c>
      <c r="CW44" s="20" t="e">
        <f t="shared" si="13"/>
        <v>#NUM!</v>
      </c>
      <c r="CX44" s="59" t="e">
        <f t="shared" si="14"/>
        <v>#NUM!</v>
      </c>
      <c r="CY44" s="59">
        <f ca="1">AVERAGE(OFFSET($CX$3,0,0,'Données projet'!$E$13+1,1))-AVERAGE(OFFSET($H$3,0,0,'Données projet'!$E$13+1,1))</f>
        <v>146.95547268081216</v>
      </c>
      <c r="CZ44" s="59">
        <f t="shared" si="42"/>
        <v>343.21355872318065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50.616597634236157</v>
      </c>
      <c r="DG44" s="21">
        <f>EXP(-LN(2)/25)*DG43+(1-EXP(-LN(2)/25))/(LN(2)/25)*Calculateur!DB44*Calculateur!DD44*VLOOKUP('Données projet'!$B$13,Paramètres!$A$1:$I$89,3,0)*0.475*44/12</f>
        <v>11.938319051979656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62.554916686215812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61.216528138557138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61.216528138557138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61.216528138557138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61.216528138557138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61.216528138557138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3.5999999999999996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13.199999999999998</v>
      </c>
      <c r="H45" s="67">
        <f t="shared" si="1"/>
        <v>203.86666666666667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61.36890173845191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15.725555555555552</v>
      </c>
      <c r="N45" s="13">
        <f>IF('Données projet'!$A$36&gt;35,N44+M45-V44,IF(A45&lt;'Données projet'!$A$36,$K$205^A45,IF(A45='Données projet'!$A$36,'Données projet'!$B$36,N44+M45-V44)))</f>
        <v>244.1355555555557</v>
      </c>
      <c r="O45" s="13">
        <f>N45*VLOOKUP('Données projet'!$B$9,Paramètres!$A$1:$I$89,3,0)*VLOOKUP('Données projet'!$B$9,Paramètres!$A$1:$I$89,5,0)</f>
        <v>145.99306222222231</v>
      </c>
      <c r="P45" s="13">
        <f t="shared" si="33"/>
        <v>37.666564668799332</v>
      </c>
      <c r="Q45" s="20">
        <f t="shared" si="53"/>
        <v>319.87385016852937</v>
      </c>
      <c r="R45" s="59">
        <f t="shared" si="0"/>
        <v>581.55982320951966</v>
      </c>
      <c r="S45" s="59">
        <f ca="1">AVERAGE(OFFSET($R$3,0,0,'Données projet'!$E$9+1,1))-AVERAGE(OFFSET($H$3,0,0,'Données projet'!$E$9+1,1))</f>
        <v>366.78396742205962</v>
      </c>
      <c r="T45" s="59">
        <f t="shared" si="34"/>
        <v>271.89887525994988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14.353096905638902</v>
      </c>
      <c r="AA45" s="21">
        <f>EXP(-LN(2)/25)*AA44+(1-EXP(-LN(2)/25))/(LN(2)/25)*Calculateur!V45*Calculateur!X45*VLOOKUP('Données projet'!$B$9,Paramètres!$A$1:$I$89,3,0)*0.475*44/12</f>
        <v>35.120304265792164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49.473401171431064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61.36890173845191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7.6601960784313725</v>
      </c>
      <c r="AI45" s="13">
        <f>IF('Données projet'!$A$62&gt;35,AI44+AH45-AQ44,IF(A45&lt;'Données projet'!$A$62,$AF$205^A45,IF(A45='Données projet'!$A$62,'Données projet'!$B$62,AI44+AH45-AQ44)))</f>
        <v>321.72823529411778</v>
      </c>
      <c r="AJ45" s="13">
        <f>AI45*VLOOKUP('Données projet'!$B$10,Paramètres!$A$1:$I$89,3,0)*VLOOKUP('Données projet'!$B$10,Paramètres!$A$1:$I$89,5,0)</f>
        <v>150.56881411764712</v>
      </c>
      <c r="AK45" s="13">
        <f t="shared" si="35"/>
        <v>38.707822181598679</v>
      </c>
      <c r="AL45" s="20">
        <f t="shared" si="4"/>
        <v>329.6568082211864</v>
      </c>
      <c r="AM45" s="59">
        <f t="shared" si="5"/>
        <v>591.34278126217669</v>
      </c>
      <c r="AN45" s="59">
        <f ca="1">AVERAGE(OFFSET($AM$3,0,0,'Données projet'!$E$10+1,1))-AVERAGE(OFFSET($H$3,0,0,'Données projet'!$E$10+1,1))</f>
        <v>360.04137410460385</v>
      </c>
      <c r="AO45" s="59">
        <f t="shared" si="36"/>
        <v>287.81656468701829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61.36890173845191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155.76430449447392</v>
      </c>
      <c r="BJ45" s="59">
        <f t="shared" si="38"/>
        <v>363.39275685992129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53.040774003382928</v>
      </c>
      <c r="BQ45" s="21">
        <f>EXP(-LN(2)/25)*BQ44+(1-EXP(-LN(2)/25))/(LN(2)/25)*Calculateur!BL45*Calculateur!BN45*VLOOKUP('Données projet'!$B$11,Paramètres!$A$1:$I$89,3,0)*0.475*44/12</f>
        <v>12.41137055488643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65.452144558269353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61.36890173845191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163.26</v>
      </c>
      <c r="BW45" s="12">
        <f>VLOOKUP(A45,'Données projet'!$A$113:$I$133,9,0)</f>
        <v>3.887142857142857</v>
      </c>
      <c r="BX45" s="12">
        <f t="array" ref="BX45">INDEX(BW:BW,MIN(IF(ISNUMBER(BW45:BW241),ROW(BW45:BW241),"")))</f>
        <v>3.887142857142857</v>
      </c>
      <c r="BY45" s="12">
        <f>IF('Données projet'!$A$114&gt;35,BY44+BX45-CG44,IF(A45&lt;'Données projet'!$A$114,$BV$205^A45,IF(A45='Données projet'!$A$114,'Données projet'!$B$114,BY44+BX45-CG44)))</f>
        <v>163.2600000000001</v>
      </c>
      <c r="BZ45" s="13">
        <f>BY45*VLOOKUP('Données projet'!$B$12,Paramètres!$A$1:$I$89,3,0)*VLOOKUP('Données projet'!$B$12,Paramètres!$A$1:$I$89,5,0)</f>
        <v>165.54564000000011</v>
      </c>
      <c r="CA45" s="13">
        <f t="shared" si="39"/>
        <v>42.090858732498674</v>
      </c>
      <c r="CB45" s="20">
        <f t="shared" si="10"/>
        <v>361.6335686257687</v>
      </c>
      <c r="CC45" s="59">
        <f t="shared" si="11"/>
        <v>623.31954166675905</v>
      </c>
      <c r="CD45" s="59">
        <f ca="1">AVERAGE(OFFSET($CC$3,0,0,'Données projet'!$E$12+1,1))-AVERAGE(OFFSET($H$3,0,0,'Données projet'!$E$12+1,1))</f>
        <v>679.4570479719705</v>
      </c>
      <c r="CE45" s="59">
        <f t="shared" si="40"/>
        <v>310.8252119379963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43.21</v>
      </c>
      <c r="CH45" s="16">
        <f>IF(ISNA(VLOOKUP(A45,'Données projet'!$A$113:$I$133,5,0)),0%,VLOOKUP(A45,'Données projet'!$A$113:$I$133,5,0)*VLOOKUP('Données projet'!$B$12,Paramètres!$A$1:$I$89,7,0))</f>
        <v>0.129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6.2482592672807336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6.2482592672807336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61.36890173845191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>
        <f>CT45*VLOOKUP('Données projet'!$B$13,Paramètres!$A$1:$I$89,3,0)*VLOOKUP('Données projet'!$B$13,Paramètres!$A$1:$I$89,5,0)</f>
        <v>0</v>
      </c>
      <c r="CV45" s="13" t="e">
        <f t="shared" si="41"/>
        <v>#NUM!</v>
      </c>
      <c r="CW45" s="20" t="e">
        <f t="shared" si="13"/>
        <v>#NUM!</v>
      </c>
      <c r="CX45" s="59" t="e">
        <f t="shared" si="14"/>
        <v>#NUM!</v>
      </c>
      <c r="CY45" s="59">
        <f ca="1">AVERAGE(OFFSET($CX$3,0,0,'Données projet'!$E$13+1,1))-AVERAGE(OFFSET($H$3,0,0,'Données projet'!$E$13+1,1))</f>
        <v>146.95547268081216</v>
      </c>
      <c r="CZ45" s="59">
        <f t="shared" si="42"/>
        <v>343.21355872318065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49.62403702770488</v>
      </c>
      <c r="DG45" s="21">
        <f>EXP(-LN(2)/25)*DG44+(1-EXP(-LN(2)/25))/(LN(2)/25)*Calculateur!DB45*Calculateur!DD45*VLOOKUP('Données projet'!$B$13,Paramètres!$A$1:$I$89,3,0)*0.475*44/12</f>
        <v>11.611865089694358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61.235902117399235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61.36890173845191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61.36890173845191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61.36890173845191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61.36890173845191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61.36890173845191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3.5999999999999996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13.199999999999998</v>
      </c>
      <c r="H46" s="67">
        <f t="shared" si="1"/>
        <v>203.86666666666667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61.518631997044835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15.725555555555552</v>
      </c>
      <c r="N46" s="13">
        <f>IF('Données projet'!$A$36&gt;35,N45+M46-V45,IF(A46&lt;'Données projet'!$A$36,$K$205^A46,IF(A46='Données projet'!$A$36,'Données projet'!$B$36,N45+M46-V45)))</f>
        <v>259.86111111111126</v>
      </c>
      <c r="O46" s="13">
        <f>N46*VLOOKUP('Données projet'!$B$9,Paramètres!$A$1:$I$89,3,0)*VLOOKUP('Données projet'!$B$9,Paramètres!$A$1:$I$89,5,0)</f>
        <v>155.39694444444453</v>
      </c>
      <c r="P46" s="13">
        <f t="shared" si="33"/>
        <v>39.802526102363792</v>
      </c>
      <c r="Q46" s="20">
        <f t="shared" si="53"/>
        <v>339.97241120235782</v>
      </c>
      <c r="R46" s="59">
        <f t="shared" si="0"/>
        <v>602.20739519152221</v>
      </c>
      <c r="S46" s="59">
        <f ca="1">AVERAGE(OFFSET($R$3,0,0,'Données projet'!$E$9+1,1))-AVERAGE(OFFSET($H$3,0,0,'Données projet'!$E$9+1,1))</f>
        <v>366.78396742205962</v>
      </c>
      <c r="T46" s="59">
        <f t="shared" si="34"/>
        <v>271.89887525994988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14.071641429843998</v>
      </c>
      <c r="AA46" s="21">
        <f>EXP(-LN(2)/25)*AA45+(1-EXP(-LN(2)/25))/(LN(2)/25)*Calculateur!V46*Calculateur!X46*VLOOKUP('Données projet'!$B$9,Paramètres!$A$1:$I$89,3,0)*0.475*44/12</f>
        <v>34.159937698747548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48.231579128591548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61.518631997044835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7.6601960784313725</v>
      </c>
      <c r="AI46" s="13">
        <f>IF('Données projet'!$A$62&gt;35,AI45+AH46-AQ45,IF(A46&lt;'Données projet'!$A$62,$AF$205^A46,IF(A46='Données projet'!$A$62,'Données projet'!$B$62,AI45+AH46-AQ45)))</f>
        <v>329.38843137254918</v>
      </c>
      <c r="AJ46" s="13">
        <f>AI46*VLOOKUP('Données projet'!$B$10,Paramètres!$A$1:$I$89,3,0)*VLOOKUP('Données projet'!$B$10,Paramètres!$A$1:$I$89,5,0)</f>
        <v>154.15378588235302</v>
      </c>
      <c r="AK46" s="13">
        <f t="shared" si="35"/>
        <v>39.521042464366339</v>
      </c>
      <c r="AL46" s="20">
        <f t="shared" si="4"/>
        <v>337.31699270386952</v>
      </c>
      <c r="AM46" s="59">
        <f t="shared" si="5"/>
        <v>599.55197669303391</v>
      </c>
      <c r="AN46" s="59">
        <f ca="1">AVERAGE(OFFSET($AM$3,0,0,'Données projet'!$E$10+1,1))-AVERAGE(OFFSET($H$3,0,0,'Données projet'!$E$10+1,1))</f>
        <v>360.04137410460385</v>
      </c>
      <c r="AO46" s="59">
        <f t="shared" si="36"/>
        <v>287.81656468701829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61.518631997044835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155.76430449447392</v>
      </c>
      <c r="BJ46" s="59">
        <f t="shared" si="38"/>
        <v>363.39275685992129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52.00067677685427</v>
      </c>
      <c r="BQ46" s="21">
        <f>EXP(-LN(2)/25)*BQ45+(1-EXP(-LN(2)/25))/(LN(2)/25)*Calculateur!BL46*Calculateur!BN46*VLOOKUP('Données projet'!$B$11,Paramètres!$A$1:$I$89,3,0)*0.475*44/12</f>
        <v>12.07198097437745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64.072657751231716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61.518631997044835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9.3712500000000034</v>
      </c>
      <c r="BY46" s="12">
        <f>IF('Données projet'!$A$114&gt;35,BY45+BX46-CG45,IF(A46&lt;'Données projet'!$A$114,$BV$205^A46,IF(A46='Données projet'!$A$114,'Données projet'!$B$114,BY45+BX46-CG45)))</f>
        <v>129.4212500000001</v>
      </c>
      <c r="BZ46" s="13">
        <f>BY46*VLOOKUP('Données projet'!$B$12,Paramètres!$A$1:$I$89,3,0)*VLOOKUP('Données projet'!$B$12,Paramètres!$A$1:$I$89,5,0)</f>
        <v>131.23314750000011</v>
      </c>
      <c r="CA46" s="13">
        <f t="shared" si="39"/>
        <v>34.281146756704409</v>
      </c>
      <c r="CB46" s="20">
        <f t="shared" si="10"/>
        <v>288.27072916376034</v>
      </c>
      <c r="CC46" s="59">
        <f t="shared" si="11"/>
        <v>550.50571315292473</v>
      </c>
      <c r="CD46" s="59">
        <f ca="1">AVERAGE(OFFSET($CC$3,0,0,'Données projet'!$E$12+1,1))-AVERAGE(OFFSET($H$3,0,0,'Données projet'!$E$12+1,1))</f>
        <v>679.4570479719705</v>
      </c>
      <c r="CE46" s="59">
        <f t="shared" si="40"/>
        <v>310.8252119379963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6.1257347141112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6.1257347141112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61.518631997044835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>
        <f>CT46*VLOOKUP('Données projet'!$B$13,Paramètres!$A$1:$I$89,3,0)*VLOOKUP('Données projet'!$B$13,Paramètres!$A$1:$I$89,5,0)</f>
        <v>0</v>
      </c>
      <c r="CV46" s="13" t="e">
        <f t="shared" si="41"/>
        <v>#NUM!</v>
      </c>
      <c r="CW46" s="20" t="e">
        <f t="shared" si="13"/>
        <v>#NUM!</v>
      </c>
      <c r="CX46" s="59" t="e">
        <f t="shared" si="14"/>
        <v>#NUM!</v>
      </c>
      <c r="CY46" s="59">
        <f ca="1">AVERAGE(OFFSET($CX$3,0,0,'Données projet'!$E$13+1,1))-AVERAGE(OFFSET($H$3,0,0,'Données projet'!$E$13+1,1))</f>
        <v>146.95547268081216</v>
      </c>
      <c r="CZ46" s="59">
        <f t="shared" si="42"/>
        <v>343.21355872318065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48.65093992926549</v>
      </c>
      <c r="DG46" s="21">
        <f>EXP(-LN(2)/25)*DG45+(1-EXP(-LN(2)/25))/(LN(2)/25)*Calculateur!DB46*Calculateur!DD46*VLOOKUP('Données projet'!$B$13,Paramètres!$A$1:$I$89,3,0)*0.475*44/12</f>
        <v>11.29433802817522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59.945277957440709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61.518631997044835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61.518631997044835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61.518631997044835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61.518631997044835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61.518631997044835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3.5999999999999996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13.199999999999998</v>
      </c>
      <c r="H47" s="67">
        <f t="shared" si="1"/>
        <v>203.86666666666667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61.665764770397892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15.725555555555552</v>
      </c>
      <c r="N47" s="13">
        <f>IF('Données projet'!$A$36&gt;35,N46+M47-V46,IF(A47&lt;'Données projet'!$A$36,$K$205^A47,IF(A47='Données projet'!$A$36,'Données projet'!$B$36,N46+M47-V46)))</f>
        <v>275.58666666666682</v>
      </c>
      <c r="O47" s="13">
        <f>N47*VLOOKUP('Données projet'!$B$9,Paramètres!$A$1:$I$89,3,0)*VLOOKUP('Données projet'!$B$9,Paramètres!$A$1:$I$89,5,0)</f>
        <v>164.80082666666678</v>
      </c>
      <c r="P47" s="13">
        <f t="shared" si="33"/>
        <v>41.923485083367801</v>
      </c>
      <c r="Q47" s="20">
        <f t="shared" si="53"/>
        <v>360.04484296464358</v>
      </c>
      <c r="R47" s="59">
        <f t="shared" si="0"/>
        <v>622.8193137894358</v>
      </c>
      <c r="S47" s="59">
        <f ca="1">AVERAGE(OFFSET($R$3,0,0,'Données projet'!$E$9+1,1))-AVERAGE(OFFSET($H$3,0,0,'Données projet'!$E$9+1,1))</f>
        <v>366.78396742205962</v>
      </c>
      <c r="T47" s="59">
        <f t="shared" si="34"/>
        <v>271.89887525994988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13.795705124258543</v>
      </c>
      <c r="AA47" s="21">
        <f>EXP(-LN(2)/25)*AA46+(1-EXP(-LN(2)/25))/(LN(2)/25)*Calculateur!V47*Calculateur!X47*VLOOKUP('Données projet'!$B$9,Paramètres!$A$1:$I$89,3,0)*0.475*44/12</f>
        <v>33.225832405982246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47.021537530240792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61.665764770397892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7.6601960784313725</v>
      </c>
      <c r="AI47" s="13">
        <f>IF('Données projet'!$A$62&gt;35,AI46+AH47-AQ46,IF(A47&lt;'Données projet'!$A$62,$AF$205^A47,IF(A47='Données projet'!$A$62,'Données projet'!$B$62,AI46+AH47-AQ46)))</f>
        <v>337.04862745098058</v>
      </c>
      <c r="AJ47" s="13">
        <f>AI47*VLOOKUP('Données projet'!$B$10,Paramètres!$A$1:$I$89,3,0)*VLOOKUP('Données projet'!$B$10,Paramètres!$A$1:$I$89,5,0)</f>
        <v>157.73875764705892</v>
      </c>
      <c r="AK47" s="13">
        <f t="shared" si="35"/>
        <v>40.332064146123422</v>
      </c>
      <c r="AL47" s="20">
        <f t="shared" si="4"/>
        <v>344.97334795645929</v>
      </c>
      <c r="AM47" s="59">
        <f t="shared" si="5"/>
        <v>607.74781878125145</v>
      </c>
      <c r="AN47" s="59">
        <f ca="1">AVERAGE(OFFSET($AM$3,0,0,'Données projet'!$E$10+1,1))-AVERAGE(OFFSET($H$3,0,0,'Données projet'!$E$10+1,1))</f>
        <v>360.04137410460385</v>
      </c>
      <c r="AO47" s="59">
        <f t="shared" si="36"/>
        <v>287.81656468701829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61.665764770397892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155.76430449447392</v>
      </c>
      <c r="BJ47" s="59">
        <f t="shared" si="38"/>
        <v>363.39275685992129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50.980975222541169</v>
      </c>
      <c r="BQ47" s="21">
        <f>EXP(-LN(2)/25)*BQ46+(1-EXP(-LN(2)/25))/(LN(2)/25)*Calculateur!BL47*Calculateur!BN47*VLOOKUP('Données projet'!$B$11,Paramètres!$A$1:$I$89,3,0)*0.475*44/12</f>
        <v>11.74187201979521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62.722847242336378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61.665764770397892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9.3712500000000034</v>
      </c>
      <c r="BY47" s="12">
        <f>IF('Données projet'!$A$114&gt;35,BY46+BX47-CG46,IF(A47&lt;'Données projet'!$A$114,$BV$205^A47,IF(A47='Données projet'!$A$114,'Données projet'!$B$114,BY46+BX47-CG46)))</f>
        <v>138.7925000000001</v>
      </c>
      <c r="BZ47" s="13">
        <f>BY47*VLOOKUP('Données projet'!$B$12,Paramètres!$A$1:$I$89,3,0)*VLOOKUP('Données projet'!$B$12,Paramètres!$A$1:$I$89,5,0)</f>
        <v>140.7355950000001</v>
      </c>
      <c r="CA47" s="13">
        <f t="shared" si="39"/>
        <v>36.465468549139587</v>
      </c>
      <c r="CB47" s="20">
        <f t="shared" si="10"/>
        <v>308.62518568141826</v>
      </c>
      <c r="CC47" s="59">
        <f t="shared" si="11"/>
        <v>571.39965650621048</v>
      </c>
      <c r="CD47" s="59">
        <f ca="1">AVERAGE(OFFSET($CC$3,0,0,'Données projet'!$E$12+1,1))-AVERAGE(OFFSET($H$3,0,0,'Données projet'!$E$12+1,1))</f>
        <v>679.4570479719705</v>
      </c>
      <c r="CE47" s="59">
        <f t="shared" si="40"/>
        <v>310.8252119379963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6.0056127926967227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6.0056127926967227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61.665764770397892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>
        <f>CT47*VLOOKUP('Données projet'!$B$13,Paramètres!$A$1:$I$89,3,0)*VLOOKUP('Données projet'!$B$13,Paramètres!$A$1:$I$89,5,0)</f>
        <v>0</v>
      </c>
      <c r="CV47" s="13" t="e">
        <f t="shared" si="41"/>
        <v>#NUM!</v>
      </c>
      <c r="CW47" s="20" t="e">
        <f t="shared" si="13"/>
        <v>#NUM!</v>
      </c>
      <c r="CX47" s="59" t="e">
        <f t="shared" si="14"/>
        <v>#NUM!</v>
      </c>
      <c r="CY47" s="59">
        <f ca="1">AVERAGE(OFFSET($CX$3,0,0,'Données projet'!$E$13+1,1))-AVERAGE(OFFSET($H$3,0,0,'Données projet'!$E$13+1,1))</f>
        <v>146.95547268081216</v>
      </c>
      <c r="CZ47" s="59">
        <f t="shared" si="42"/>
        <v>343.21355872318065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47.69692467139587</v>
      </c>
      <c r="DG47" s="21">
        <f>EXP(-LN(2)/25)*DG46+(1-EXP(-LN(2)/25))/(LN(2)/25)*Calculateur!DB47*Calculateur!DD47*VLOOKUP('Données projet'!$B$13,Paramètres!$A$1:$I$89,3,0)*0.475*44/12</f>
        <v>10.985493760851345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58.682418432247218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61.665764770397892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61.665764770397892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61.665764770397892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61.665764770397892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61.665764770397892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3.5999999999999996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13.199999999999998</v>
      </c>
      <c r="H48" s="67">
        <f t="shared" si="1"/>
        <v>203.86666666666667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61.810345119072878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15.725555555555552</v>
      </c>
      <c r="N48" s="13">
        <f>IF('Données projet'!$A$36&gt;35,N47+M48-V47,IF(A48&lt;'Données projet'!$A$36,$K$205^A48,IF(A48='Données projet'!$A$36,'Données projet'!$B$36,N47+M48-V47)))</f>
        <v>291.31222222222237</v>
      </c>
      <c r="O48" s="13">
        <f>N48*VLOOKUP('Données projet'!$B$9,Paramètres!$A$1:$I$89,3,0)*VLOOKUP('Données projet'!$B$9,Paramètres!$A$1:$I$89,5,0)</f>
        <v>174.204708888889</v>
      </c>
      <c r="P48" s="13">
        <f t="shared" si="33"/>
        <v>44.030395226989455</v>
      </c>
      <c r="Q48" s="20">
        <f t="shared" si="53"/>
        <v>380.09280633515499</v>
      </c>
      <c r="R48" s="59">
        <f t="shared" si="0"/>
        <v>643.39740510508886</v>
      </c>
      <c r="S48" s="59">
        <f ca="1">AVERAGE(OFFSET($R$3,0,0,'Données projet'!$E$9+1,1))-AVERAGE(OFFSET($H$3,0,0,'Données projet'!$E$9+1,1))</f>
        <v>366.78396742205962</v>
      </c>
      <c r="T48" s="59">
        <f t="shared" si="34"/>
        <v>271.89887525994988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13.525179761321091</v>
      </c>
      <c r="AA48" s="21">
        <f>EXP(-LN(2)/25)*AA47+(1-EXP(-LN(2)/25))/(LN(2)/25)*Calculateur!V48*Calculateur!X48*VLOOKUP('Données projet'!$B$9,Paramètres!$A$1:$I$89,3,0)*0.475*44/12</f>
        <v>32.317270271570074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45.842450032891165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61.810345119072878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7.6601960784313725</v>
      </c>
      <c r="AI48" s="13">
        <f>IF('Données projet'!$A$62&gt;35,AI47+AH48-AQ47,IF(A48&lt;'Données projet'!$A$62,$AF$205^A48,IF(A48='Données projet'!$A$62,'Données projet'!$B$62,AI47+AH48-AQ47)))</f>
        <v>344.70882352941197</v>
      </c>
      <c r="AJ48" s="13">
        <f>AI48*VLOOKUP('Données projet'!$B$10,Paramètres!$A$1:$I$89,3,0)*VLOOKUP('Données projet'!$B$10,Paramètres!$A$1:$I$89,5,0)</f>
        <v>161.32372941176479</v>
      </c>
      <c r="AK48" s="13">
        <f t="shared" si="35"/>
        <v>41.140942947344818</v>
      </c>
      <c r="AL48" s="20">
        <f t="shared" si="4"/>
        <v>352.62597102544919</v>
      </c>
      <c r="AM48" s="59">
        <f t="shared" si="5"/>
        <v>615.93056979538301</v>
      </c>
      <c r="AN48" s="59">
        <f ca="1">AVERAGE(OFFSET($AM$3,0,0,'Données projet'!$E$10+1,1))-AVERAGE(OFFSET($H$3,0,0,'Données projet'!$E$10+1,1))</f>
        <v>360.04137410460385</v>
      </c>
      <c r="AO48" s="59">
        <f t="shared" si="36"/>
        <v>287.81656468701829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61.810345119072878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155.76430449447392</v>
      </c>
      <c r="BJ48" s="59">
        <f t="shared" si="38"/>
        <v>363.39275685992129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49.98126939375161</v>
      </c>
      <c r="BQ48" s="21">
        <f>EXP(-LN(2)/25)*BQ47+(1-EXP(-LN(2)/25))/(LN(2)/25)*Calculateur!BL48*Calculateur!BN48*VLOOKUP('Données projet'!$B$11,Paramètres!$A$1:$I$89,3,0)*0.475*44/12</f>
        <v>11.420789911935696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61.402059305687303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61.810345119072878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9.3712500000000034</v>
      </c>
      <c r="BY48" s="12">
        <f>IF('Données projet'!$A$114&gt;35,BY47+BX48-CG47,IF(A48&lt;'Données projet'!$A$114,$BV$205^A48,IF(A48='Données projet'!$A$114,'Données projet'!$B$114,BY47+BX48-CG47)))</f>
        <v>148.16375000000011</v>
      </c>
      <c r="BZ48" s="13">
        <f>BY48*VLOOKUP('Données projet'!$B$12,Paramètres!$A$1:$I$89,3,0)*VLOOKUP('Données projet'!$B$12,Paramètres!$A$1:$I$89,5,0)</f>
        <v>150.23804250000012</v>
      </c>
      <c r="CA48" s="13">
        <f t="shared" si="39"/>
        <v>38.632676639775759</v>
      </c>
      <c r="CB48" s="20">
        <f t="shared" si="10"/>
        <v>328.94983583510964</v>
      </c>
      <c r="CC48" s="59">
        <f t="shared" si="11"/>
        <v>592.25443460504357</v>
      </c>
      <c r="CD48" s="59">
        <f ca="1">AVERAGE(OFFSET($CC$3,0,0,'Données projet'!$E$12+1,1))-AVERAGE(OFFSET($H$3,0,0,'Données projet'!$E$12+1,1))</f>
        <v>679.4570479719705</v>
      </c>
      <c r="CE48" s="59">
        <f t="shared" si="40"/>
        <v>310.8252119379963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5.8878463888940464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5.8878463888940464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61.810345119072878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>
        <f>CT48*VLOOKUP('Données projet'!$B$13,Paramètres!$A$1:$I$89,3,0)*VLOOKUP('Données projet'!$B$13,Paramètres!$A$1:$I$89,5,0)</f>
        <v>0</v>
      </c>
      <c r="CV48" s="13" t="e">
        <f t="shared" si="41"/>
        <v>#NUM!</v>
      </c>
      <c r="CW48" s="20" t="e">
        <f t="shared" si="13"/>
        <v>#NUM!</v>
      </c>
      <c r="CX48" s="59" t="e">
        <f t="shared" si="14"/>
        <v>#NUM!</v>
      </c>
      <c r="CY48" s="59">
        <f ca="1">AVERAGE(OFFSET($CX$3,0,0,'Données projet'!$E$13+1,1))-AVERAGE(OFFSET($H$3,0,0,'Données projet'!$E$13+1,1))</f>
        <v>146.95547268081216</v>
      </c>
      <c r="CZ48" s="59">
        <f t="shared" si="42"/>
        <v>343.21355872318065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46.761617070841226</v>
      </c>
      <c r="DG48" s="21">
        <f>EXP(-LN(2)/25)*DG47+(1-EXP(-LN(2)/25))/(LN(2)/25)*Calculateur!DB48*Calculateur!DD48*VLOOKUP('Données projet'!$B$13,Paramètres!$A$1:$I$89,3,0)*0.475*44/12</f>
        <v>10.685094856258855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57.446711927100083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61.810345119072878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61.810345119072878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61.810345119072878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61.810345119072878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61.810345119072878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3.5999999999999996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13.199999999999998</v>
      </c>
      <c r="H49" s="67">
        <f t="shared" si="1"/>
        <v>203.86666666666667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61.952417321931584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15.725555555555552</v>
      </c>
      <c r="N49" s="13">
        <f>IF('Données projet'!$A$36&gt;35,N48+M49-V48,IF(A49&lt;'Données projet'!$A$36,$K$205^A49,IF(A49='Données projet'!$A$36,'Données projet'!$B$36,N48+M49-V48)))</f>
        <v>307.03777777777793</v>
      </c>
      <c r="O49" s="13">
        <f>N49*VLOOKUP('Données projet'!$B$9,Paramètres!$A$1:$I$89,3,0)*VLOOKUP('Données projet'!$B$9,Paramètres!$A$1:$I$89,5,0)</f>
        <v>183.60859111111122</v>
      </c>
      <c r="P49" s="13">
        <f t="shared" si="33"/>
        <v>46.124101377958297</v>
      </c>
      <c r="Q49" s="20">
        <f t="shared" si="53"/>
        <v>400.11777275179605</v>
      </c>
      <c r="R49" s="59">
        <f t="shared" si="0"/>
        <v>663.94330293221196</v>
      </c>
      <c r="S49" s="59">
        <f ca="1">AVERAGE(OFFSET($R$3,0,0,'Données projet'!$E$9+1,1))-AVERAGE(OFFSET($H$3,0,0,'Données projet'!$E$9+1,1))</f>
        <v>366.78396742205962</v>
      </c>
      <c r="T49" s="59">
        <f t="shared" si="34"/>
        <v>271.89887525994988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13.259959235746663</v>
      </c>
      <c r="AA49" s="21">
        <f>EXP(-LN(2)/25)*AA48+(1-EXP(-LN(2)/25))/(LN(2)/25)*Calculateur!V49*Calculateur!X49*VLOOKUP('Données projet'!$B$9,Paramètres!$A$1:$I$89,3,0)*0.475*44/12</f>
        <v>31.433552816502608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44.693512052249275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61.952417321931584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7.6601960784313725</v>
      </c>
      <c r="AI49" s="13">
        <f>IF('Données projet'!$A$62&gt;35,AI48+AH49-AQ48,IF(A49&lt;'Données projet'!$A$62,$AF$205^A49,IF(A49='Données projet'!$A$62,'Données projet'!$B$62,AI48+AH49-AQ48)))</f>
        <v>352.36901960784337</v>
      </c>
      <c r="AJ49" s="13">
        <f>AI49*VLOOKUP('Données projet'!$B$10,Paramètres!$A$1:$I$89,3,0)*VLOOKUP('Données projet'!$B$10,Paramètres!$A$1:$I$89,5,0)</f>
        <v>164.90870117647071</v>
      </c>
      <c r="AK49" s="13">
        <f t="shared" si="35"/>
        <v>41.947731970648171</v>
      </c>
      <c r="AL49" s="20">
        <f t="shared" si="4"/>
        <v>360.27495439789868</v>
      </c>
      <c r="AM49" s="59">
        <f t="shared" si="5"/>
        <v>624.10048457831454</v>
      </c>
      <c r="AN49" s="59">
        <f ca="1">AVERAGE(OFFSET($AM$3,0,0,'Données projet'!$E$10+1,1))-AVERAGE(OFFSET($H$3,0,0,'Données projet'!$E$10+1,1))</f>
        <v>360.04137410460385</v>
      </c>
      <c r="AO49" s="59">
        <f t="shared" si="36"/>
        <v>287.81656468701829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61.952417321931584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155.76430449447392</v>
      </c>
      <c r="BJ49" s="59">
        <f t="shared" si="38"/>
        <v>363.39275685992129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49.001167186504269</v>
      </c>
      <c r="BQ49" s="21">
        <f>EXP(-LN(2)/25)*BQ48+(1-EXP(-LN(2)/25))/(LN(2)/25)*Calculateur!BL49*Calculateur!BN49*VLOOKUP('Données projet'!$B$11,Paramètres!$A$1:$I$89,3,0)*0.475*44/12</f>
        <v>11.108487811200575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60.109654997704844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61.952417321931584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9.3712500000000034</v>
      </c>
      <c r="BY49" s="12">
        <f>IF('Données projet'!$A$114&gt;35,BY48+BX49-CG48,IF(A49&lt;'Données projet'!$A$114,$BV$205^A49,IF(A49='Données projet'!$A$114,'Données projet'!$B$114,BY48+BX49-CG48)))</f>
        <v>157.53500000000011</v>
      </c>
      <c r="BZ49" s="13">
        <f>BY49*VLOOKUP('Données projet'!$B$12,Paramètres!$A$1:$I$89,3,0)*VLOOKUP('Données projet'!$B$12,Paramètres!$A$1:$I$89,5,0)</f>
        <v>159.74049000000011</v>
      </c>
      <c r="CA49" s="13">
        <f t="shared" si="39"/>
        <v>40.783976673134042</v>
      </c>
      <c r="CB49" s="20">
        <f t="shared" si="10"/>
        <v>349.24677945570858</v>
      </c>
      <c r="CC49" s="59">
        <f t="shared" si="11"/>
        <v>613.07230963612437</v>
      </c>
      <c r="CD49" s="59">
        <f ca="1">AVERAGE(OFFSET($CC$3,0,0,'Données projet'!$E$12+1,1))-AVERAGE(OFFSET($H$3,0,0,'Données projet'!$E$12+1,1))</f>
        <v>679.4570479719705</v>
      </c>
      <c r="CE49" s="59">
        <f t="shared" si="40"/>
        <v>310.8252119379963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5.7723893124395271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5.7723893124395271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61.952417321931584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>
        <f>CT49*VLOOKUP('Données projet'!$B$13,Paramètres!$A$1:$I$89,3,0)*VLOOKUP('Données projet'!$B$13,Paramètres!$A$1:$I$89,5,0)</f>
        <v>0</v>
      </c>
      <c r="CV49" s="13" t="e">
        <f t="shared" si="41"/>
        <v>#NUM!</v>
      </c>
      <c r="CW49" s="20" t="e">
        <f t="shared" si="13"/>
        <v>#NUM!</v>
      </c>
      <c r="CX49" s="59" t="e">
        <f t="shared" si="14"/>
        <v>#NUM!</v>
      </c>
      <c r="CY49" s="59">
        <f ca="1">AVERAGE(OFFSET($CX$3,0,0,'Données projet'!$E$13+1,1))-AVERAGE(OFFSET($H$3,0,0,'Données projet'!$E$13+1,1))</f>
        <v>146.95547268081216</v>
      </c>
      <c r="CZ49" s="59">
        <f t="shared" si="42"/>
        <v>343.21355872318065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45.844650281852154</v>
      </c>
      <c r="DG49" s="21">
        <f>EXP(-LN(2)/25)*DG48+(1-EXP(-LN(2)/25))/(LN(2)/25)*Calculateur!DB49*Calculateur!DD49*VLOOKUP('Données projet'!$B$13,Paramètres!$A$1:$I$89,3,0)*0.475*44/12</f>
        <v>10.392910375509739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56.237560657361897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61.952417321931584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61.952417321931584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61.952417321931584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61.952417321931584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61.952417321931584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3.5999999999999996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13.199999999999998</v>
      </c>
      <c r="H50" s="67">
        <f t="shared" si="1"/>
        <v>203.86666666666667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62.092024889696553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15.725555555555552</v>
      </c>
      <c r="N50" s="13">
        <f>IF('Données projet'!$A$36&gt;35,N49+M50-V49,IF(A50&lt;'Données projet'!$A$36,$K$205^A50,IF(A50='Données projet'!$A$36,'Données projet'!$B$36,N49+M50-V49)))</f>
        <v>322.76333333333349</v>
      </c>
      <c r="O50" s="13">
        <f>N50*VLOOKUP('Données projet'!$B$9,Paramètres!$A$1:$I$89,3,0)*VLOOKUP('Données projet'!$B$9,Paramètres!$A$1:$I$89,5,0)</f>
        <v>193.01247333333347</v>
      </c>
      <c r="P50" s="13">
        <f t="shared" si="33"/>
        <v>48.205356952003704</v>
      </c>
      <c r="Q50" s="20">
        <f t="shared" si="53"/>
        <v>420.12105441362888</v>
      </c>
      <c r="R50" s="59">
        <f t="shared" si="0"/>
        <v>684.45847900918284</v>
      </c>
      <c r="S50" s="59">
        <f ca="1">AVERAGE(OFFSET($R$3,0,0,'Données projet'!$E$9+1,1))-AVERAGE(OFFSET($H$3,0,0,'Données projet'!$E$9+1,1))</f>
        <v>366.78396742205962</v>
      </c>
      <c r="T50" s="59">
        <f t="shared" si="34"/>
        <v>271.89887525994988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12.999939522910203</v>
      </c>
      <c r="AA50" s="21">
        <f>EXP(-LN(2)/25)*AA49+(1-EXP(-LN(2)/25))/(LN(2)/25)*Calculateur!V50*Calculateur!X50*VLOOKUP('Données projet'!$B$9,Paramètres!$A$1:$I$89,3,0)*0.475*44/12</f>
        <v>30.574000661716646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43.573940184626849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62.092024889696553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7.6601960784313725</v>
      </c>
      <c r="AI50" s="13">
        <f>IF('Données projet'!$A$62&gt;35,AI49+AH50-AQ49,IF(A50&lt;'Données projet'!$A$62,$AF$205^A50,IF(A50='Données projet'!$A$62,'Données projet'!$B$62,AI49+AH50-AQ49)))</f>
        <v>360.02921568627477</v>
      </c>
      <c r="AJ50" s="13">
        <f>AI50*VLOOKUP('Données projet'!$B$10,Paramètres!$A$1:$I$89,3,0)*VLOOKUP('Données projet'!$B$10,Paramètres!$A$1:$I$89,5,0)</f>
        <v>168.49367294117658</v>
      </c>
      <c r="AK50" s="13">
        <f t="shared" si="35"/>
        <v>42.752481877979932</v>
      </c>
      <c r="AL50" s="20">
        <f t="shared" si="4"/>
        <v>367.92038631003089</v>
      </c>
      <c r="AM50" s="59">
        <f t="shared" si="5"/>
        <v>632.25781090558485</v>
      </c>
      <c r="AN50" s="59">
        <f ca="1">AVERAGE(OFFSET($AM$3,0,0,'Données projet'!$E$10+1,1))-AVERAGE(OFFSET($H$3,0,0,'Données projet'!$E$10+1,1))</f>
        <v>360.04137410460385</v>
      </c>
      <c r="AO50" s="59">
        <f t="shared" si="36"/>
        <v>287.81656468701829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62.092024889696553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155.76430449447392</v>
      </c>
      <c r="BJ50" s="59">
        <f t="shared" si="38"/>
        <v>363.39275685992129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48.040284185737733</v>
      </c>
      <c r="BQ50" s="21">
        <f>EXP(-LN(2)/25)*BQ49+(1-EXP(-LN(2)/25))/(LN(2)/25)*Calculateur!BL50*Calculateur!BN50*VLOOKUP('Données projet'!$B$11,Paramètres!$A$1:$I$89,3,0)*0.475*44/12</f>
        <v>10.80472562783331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58.845009813571039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62.092024889696553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9.3712500000000034</v>
      </c>
      <c r="BY50" s="12">
        <f>IF('Données projet'!$A$114&gt;35,BY49+BX50-CG49,IF(A50&lt;'Données projet'!$A$114,$BV$205^A50,IF(A50='Données projet'!$A$114,'Données projet'!$B$114,BY49+BX50-CG49)))</f>
        <v>166.90625000000011</v>
      </c>
      <c r="BZ50" s="13">
        <f>BY50*VLOOKUP('Données projet'!$B$12,Paramètres!$A$1:$I$89,3,0)*VLOOKUP('Données projet'!$B$12,Paramètres!$A$1:$I$89,5,0)</f>
        <v>169.24293750000012</v>
      </c>
      <c r="CA50" s="13">
        <f t="shared" si="39"/>
        <v>42.920422750313541</v>
      </c>
      <c r="CB50" s="20">
        <f t="shared" si="10"/>
        <v>369.51785243596299</v>
      </c>
      <c r="CC50" s="59">
        <f t="shared" si="11"/>
        <v>633.85527703151706</v>
      </c>
      <c r="CD50" s="59">
        <f ca="1">AVERAGE(OFFSET($CC$3,0,0,'Données projet'!$E$12+1,1))-AVERAGE(OFFSET($H$3,0,0,'Données projet'!$E$12+1,1))</f>
        <v>679.4570479719705</v>
      </c>
      <c r="CE50" s="59">
        <f t="shared" si="40"/>
        <v>310.8252119379963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5.6591962788324173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5.6591962788324173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62.092024889696553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>
        <f>CT50*VLOOKUP('Données projet'!$B$13,Paramètres!$A$1:$I$89,3,0)*VLOOKUP('Données projet'!$B$13,Paramètres!$A$1:$I$89,5,0)</f>
        <v>0</v>
      </c>
      <c r="CV50" s="13" t="e">
        <f t="shared" si="41"/>
        <v>#NUM!</v>
      </c>
      <c r="CW50" s="20" t="e">
        <f t="shared" si="13"/>
        <v>#NUM!</v>
      </c>
      <c r="CX50" s="59" t="e">
        <f t="shared" si="14"/>
        <v>#NUM!</v>
      </c>
      <c r="CY50" s="59">
        <f ca="1">AVERAGE(OFFSET($CX$3,0,0,'Données projet'!$E$13+1,1))-AVERAGE(OFFSET($H$3,0,0,'Données projet'!$E$13+1,1))</f>
        <v>146.95547268081216</v>
      </c>
      <c r="CZ50" s="59">
        <f t="shared" si="42"/>
        <v>343.21355872318065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44.945664652300643</v>
      </c>
      <c r="DG50" s="21">
        <f>EXP(-LN(2)/25)*DG49+(1-EXP(-LN(2)/25))/(LN(2)/25)*Calculateur!DB50*Calculateur!DD50*VLOOKUP('Données projet'!$B$13,Paramètres!$A$1:$I$89,3,0)*0.475*44/12</f>
        <v>10.108715694752021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55.054380347052664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62.092024889696553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62.092024889696553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62.092024889696553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62.092024889696553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62.092024889696553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3.5999999999999996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13.199999999999998</v>
      </c>
      <c r="H51" s="67">
        <f t="shared" si="1"/>
        <v>203.86666666666667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62.229210578276565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15.725555555555552</v>
      </c>
      <c r="N51" s="13">
        <f>IF('Données projet'!$A$36&gt;35,N50+M51-V50,IF(A51&lt;'Données projet'!$A$36,$K$205^A51,IF(A51='Données projet'!$A$36,'Données projet'!$B$36,N50+M51-V50)))</f>
        <v>338.48888888888905</v>
      </c>
      <c r="O51" s="13">
        <f>N51*VLOOKUP('Données projet'!$B$9,Paramètres!$A$1:$I$89,3,0)*VLOOKUP('Données projet'!$B$9,Paramètres!$A$1:$I$89,5,0)</f>
        <v>202.41635555555567</v>
      </c>
      <c r="P51" s="13">
        <f t="shared" si="33"/>
        <v>50.274837801805468</v>
      </c>
      <c r="Q51" s="20">
        <f t="shared" si="53"/>
        <v>440.10382843073722</v>
      </c>
      <c r="R51" s="59">
        <f t="shared" si="0"/>
        <v>704.9442672177513</v>
      </c>
      <c r="S51" s="59">
        <f ca="1">AVERAGE(OFFSET($R$3,0,0,'Données projet'!$E$9+1,1))-AVERAGE(OFFSET($H$3,0,0,'Données projet'!$E$9+1,1))</f>
        <v>366.78396742205962</v>
      </c>
      <c r="T51" s="59">
        <f t="shared" si="34"/>
        <v>271.89887525994988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12.745018638046101</v>
      </c>
      <c r="AA51" s="21">
        <f>EXP(-LN(2)/25)*AA50+(1-EXP(-LN(2)/25))/(LN(2)/25)*Calculateur!V51*Calculateur!X51*VLOOKUP('Données projet'!$B$9,Paramètres!$A$1:$I$89,3,0)*0.475*44/12</f>
        <v>29.737953005805188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42.482971643851286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62.229210578276565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7.6601960784313725</v>
      </c>
      <c r="AI51" s="13">
        <f>IF('Données projet'!$A$62&gt;35,AI50+AH51-AQ50,IF(A51&lt;'Données projet'!$A$62,$AF$205^A51,IF(A51='Données projet'!$A$62,'Données projet'!$B$62,AI50+AH51-AQ50)))</f>
        <v>367.68941176470616</v>
      </c>
      <c r="AJ51" s="13">
        <f>AI51*VLOOKUP('Données projet'!$B$10,Paramètres!$A$1:$I$89,3,0)*VLOOKUP('Données projet'!$B$10,Paramètres!$A$1:$I$89,5,0)</f>
        <v>172.07864470588248</v>
      </c>
      <c r="AK51" s="13">
        <f t="shared" si="35"/>
        <v>43.555241052296047</v>
      </c>
      <c r="AL51" s="20">
        <f t="shared" si="4"/>
        <v>375.56235102882761</v>
      </c>
      <c r="AM51" s="59">
        <f t="shared" si="5"/>
        <v>640.40278981584174</v>
      </c>
      <c r="AN51" s="59">
        <f ca="1">AVERAGE(OFFSET($AM$3,0,0,'Données projet'!$E$10+1,1))-AVERAGE(OFFSET($H$3,0,0,'Données projet'!$E$10+1,1))</f>
        <v>360.04137410460385</v>
      </c>
      <c r="AO51" s="59">
        <f t="shared" si="36"/>
        <v>287.81656468701829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62.229210578276565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155.76430449447392</v>
      </c>
      <c r="BJ51" s="59">
        <f t="shared" si="38"/>
        <v>363.39275685992129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47.098243514535469</v>
      </c>
      <c r="BQ51" s="21">
        <f>EXP(-LN(2)/25)*BQ50+(1-EXP(-LN(2)/25))/(LN(2)/25)*Calculateur!BL51*Calculateur!BN51*VLOOKUP('Données projet'!$B$11,Paramètres!$A$1:$I$89,3,0)*0.475*44/12</f>
        <v>10.509269837344382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57.607513351879852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62.229210578276565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9.3712500000000034</v>
      </c>
      <c r="BY51" s="12">
        <f>IF('Données projet'!$A$114&gt;35,BY50+BX51-CG50,IF(A51&lt;'Données projet'!$A$114,$BV$205^A51,IF(A51='Données projet'!$A$114,'Données projet'!$B$114,BY50+BX51-CG50)))</f>
        <v>176.27750000000012</v>
      </c>
      <c r="BZ51" s="13">
        <f>BY51*VLOOKUP('Données projet'!$B$12,Paramètres!$A$1:$I$89,3,0)*VLOOKUP('Données projet'!$B$12,Paramètres!$A$1:$I$89,5,0)</f>
        <v>178.74538500000011</v>
      </c>
      <c r="CA51" s="13">
        <f t="shared" si="39"/>
        <v>45.042943918150705</v>
      </c>
      <c r="CB51" s="20">
        <f t="shared" si="10"/>
        <v>389.76467286577935</v>
      </c>
      <c r="CC51" s="59">
        <f t="shared" si="11"/>
        <v>654.60511165279343</v>
      </c>
      <c r="CD51" s="59">
        <f ca="1">AVERAGE(OFFSET($CC$3,0,0,'Données projet'!$E$12+1,1))-AVERAGE(OFFSET($H$3,0,0,'Données projet'!$E$12+1,1))</f>
        <v>679.4570479719705</v>
      </c>
      <c r="CE51" s="59">
        <f t="shared" si="40"/>
        <v>310.8252119379963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5.5482228915734098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5.5482228915734098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62.229210578276565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>
        <f>CT51*VLOOKUP('Données projet'!$B$13,Paramètres!$A$1:$I$89,3,0)*VLOOKUP('Données projet'!$B$13,Paramètres!$A$1:$I$89,5,0)</f>
        <v>0</v>
      </c>
      <c r="CV51" s="13" t="e">
        <f t="shared" si="41"/>
        <v>#NUM!</v>
      </c>
      <c r="CW51" s="20" t="e">
        <f t="shared" si="13"/>
        <v>#NUM!</v>
      </c>
      <c r="CX51" s="59" t="e">
        <f t="shared" si="14"/>
        <v>#NUM!</v>
      </c>
      <c r="CY51" s="59">
        <f ca="1">AVERAGE(OFFSET($CX$3,0,0,'Données projet'!$E$13+1,1))-AVERAGE(OFFSET($H$3,0,0,'Données projet'!$E$13+1,1))</f>
        <v>146.95547268081216</v>
      </c>
      <c r="CZ51" s="59">
        <f t="shared" si="42"/>
        <v>343.21355872318065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44.064307582617545</v>
      </c>
      <c r="DG51" s="21">
        <f>EXP(-LN(2)/25)*DG50+(1-EXP(-LN(2)/25))/(LN(2)/25)*Calculateur!DB51*Calculateur!DD51*VLOOKUP('Données projet'!$B$13,Paramètres!$A$1:$I$89,3,0)*0.475*44/12</f>
        <v>9.8322923324847729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53.896599915102314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62.229210578276565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62.229210578276565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62.229210578276565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62.229210578276565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62.229210578276565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3.5999999999999996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13.199999999999998</v>
      </c>
      <c r="H52" s="67">
        <f t="shared" si="1"/>
        <v>203.86666666666667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62.364016401860965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15.725555555555552</v>
      </c>
      <c r="N52" s="13">
        <f>IF('Données projet'!$A$36&gt;35,N51+M52-V51,IF(A52&lt;'Données projet'!$A$36,$K$205^A52,IF(A52='Données projet'!$A$36,'Données projet'!$B$36,N51+M52-V51)))</f>
        <v>354.21444444444461</v>
      </c>
      <c r="O52" s="13">
        <f>N52*VLOOKUP('Données projet'!$B$9,Paramètres!$A$1:$I$89,3,0)*VLOOKUP('Données projet'!$B$9,Paramètres!$A$1:$I$89,5,0)</f>
        <v>211.82023777777789</v>
      </c>
      <c r="P52" s="13">
        <f t="shared" si="33"/>
        <v>52.333153433287507</v>
      </c>
      <c r="Q52" s="20">
        <f t="shared" si="53"/>
        <v>460.06715635927225</v>
      </c>
      <c r="R52" s="59">
        <f t="shared" si="0"/>
        <v>725.40188316609579</v>
      </c>
      <c r="S52" s="59">
        <f ca="1">AVERAGE(OFFSET($R$3,0,0,'Données projet'!$E$9+1,1))-AVERAGE(OFFSET($H$3,0,0,'Données projet'!$E$9+1,1))</f>
        <v>366.78396742205962</v>
      </c>
      <c r="T52" s="59">
        <f t="shared" si="34"/>
        <v>271.89887525994988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12.495096596247798</v>
      </c>
      <c r="AA52" s="21">
        <f>EXP(-LN(2)/25)*AA51+(1-EXP(-LN(2)/25))/(LN(2)/25)*Calculateur!V52*Calculateur!X52*VLOOKUP('Données projet'!$B$9,Paramètres!$A$1:$I$89,3,0)*0.475*44/12</f>
        <v>28.924767117010465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41.419863713258266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62.364016401860965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7.6601960784313725</v>
      </c>
      <c r="AI52" s="13">
        <f>IF('Données projet'!$A$62&gt;35,AI51+AH52-AQ51,IF(A52&lt;'Données projet'!$A$62,$AF$205^A52,IF(A52='Données projet'!$A$62,'Données projet'!$B$62,AI51+AH52-AQ51)))</f>
        <v>375.34960784313756</v>
      </c>
      <c r="AJ52" s="13">
        <f>AI52*VLOOKUP('Données projet'!$B$10,Paramètres!$A$1:$I$89,3,0)*VLOOKUP('Données projet'!$B$10,Paramètres!$A$1:$I$89,5,0)</f>
        <v>175.66361647058838</v>
      </c>
      <c r="AK52" s="13">
        <f t="shared" si="35"/>
        <v>44.356055745389057</v>
      </c>
      <c r="AL52" s="20">
        <f t="shared" si="4"/>
        <v>383.20092910949398</v>
      </c>
      <c r="AM52" s="59">
        <f t="shared" si="5"/>
        <v>648.53565591631752</v>
      </c>
      <c r="AN52" s="59">
        <f ca="1">AVERAGE(OFFSET($AM$3,0,0,'Données projet'!$E$10+1,1))-AVERAGE(OFFSET($H$3,0,0,'Données projet'!$E$10+1,1))</f>
        <v>360.04137410460385</v>
      </c>
      <c r="AO52" s="59">
        <f t="shared" si="36"/>
        <v>287.81656468701829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62.364016401860965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155.76430449447392</v>
      </c>
      <c r="BJ52" s="59">
        <f t="shared" si="38"/>
        <v>363.39275685992129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46.17467568630741</v>
      </c>
      <c r="BQ52" s="21">
        <f>EXP(-LN(2)/25)*BQ51+(1-EXP(-LN(2)/25))/(LN(2)/25)*Calculateur!BL52*Calculateur!BN52*VLOOKUP('Données projet'!$B$11,Paramètres!$A$1:$I$89,3,0)*0.475*44/12</f>
        <v>10.221893300983718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56.396568987291126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62.364016401860965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9.3712500000000034</v>
      </c>
      <c r="BY52" s="12">
        <f>IF('Données projet'!$A$114&gt;35,BY51+BX52-CG51,IF(A52&lt;'Données projet'!$A$114,$BV$205^A52,IF(A52='Données projet'!$A$114,'Données projet'!$B$114,BY51+BX52-CG51)))</f>
        <v>185.64875000000012</v>
      </c>
      <c r="BZ52" s="13">
        <f>BY52*VLOOKUP('Données projet'!$B$12,Paramètres!$A$1:$I$89,3,0)*VLOOKUP('Données projet'!$B$12,Paramètres!$A$1:$I$89,5,0)</f>
        <v>188.24783250000013</v>
      </c>
      <c r="CA52" s="13">
        <f t="shared" si="39"/>
        <v>47.152364864692288</v>
      </c>
      <c r="CB52" s="20">
        <f t="shared" si="10"/>
        <v>409.98867707683922</v>
      </c>
      <c r="CC52" s="59">
        <f t="shared" si="11"/>
        <v>675.32340388366276</v>
      </c>
      <c r="CD52" s="59">
        <f ca="1">AVERAGE(OFFSET($CC$3,0,0,'Données projet'!$E$12+1,1))-AVERAGE(OFFSET($H$3,0,0,'Données projet'!$E$12+1,1))</f>
        <v>679.4570479719705</v>
      </c>
      <c r="CE52" s="59">
        <f t="shared" si="40"/>
        <v>310.8252119379963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5.4394256247514683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5.4394256247514683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62.364016401860965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>
        <f>CT52*VLOOKUP('Données projet'!$B$13,Paramètres!$A$1:$I$89,3,0)*VLOOKUP('Données projet'!$B$13,Paramètres!$A$1:$I$89,5,0)</f>
        <v>0</v>
      </c>
      <c r="CV52" s="13" t="e">
        <f t="shared" si="41"/>
        <v>#NUM!</v>
      </c>
      <c r="CW52" s="20" t="e">
        <f t="shared" si="13"/>
        <v>#NUM!</v>
      </c>
      <c r="CX52" s="59" t="e">
        <f t="shared" si="14"/>
        <v>#NUM!</v>
      </c>
      <c r="CY52" s="59">
        <f ca="1">AVERAGE(OFFSET($CX$3,0,0,'Données projet'!$E$13+1,1))-AVERAGE(OFFSET($H$3,0,0,'Données projet'!$E$13+1,1))</f>
        <v>146.95547268081216</v>
      </c>
      <c r="CZ52" s="59">
        <f t="shared" si="42"/>
        <v>343.21355872318065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43.200233387496198</v>
      </c>
      <c r="DG52" s="21">
        <f>EXP(-LN(2)/25)*DG51+(1-EXP(-LN(2)/25))/(LN(2)/25)*Calculateur!DB52*Calculateur!DD52*VLOOKUP('Données projet'!$B$13,Paramètres!$A$1:$I$89,3,0)*0.475*44/12</f>
        <v>9.5634277815951947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52.763661169091392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62.364016401860965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62.364016401860965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62.364016401860965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62.364016401860965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62.364016401860965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3.5999999999999996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13.199999999999998</v>
      </c>
      <c r="H53" s="67">
        <f t="shared" si="1"/>
        <v>203.86666666666667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62.496483645786853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369.94</v>
      </c>
      <c r="L53" s="12">
        <f>VLOOKUP(A53,'Données projet'!$A$35:$I$55,9,0)</f>
        <v>15.725555555555552</v>
      </c>
      <c r="M53" s="12">
        <f t="array" ref="M53">INDEX(L:L,MIN(IF(ISNUMBER(L53:L249),ROW(L53:L249),"")))</f>
        <v>15.725555555555552</v>
      </c>
      <c r="N53" s="13">
        <f>IF('Données projet'!$A$36&gt;35,N52+M53-V52,IF(A53&lt;'Données projet'!$A$36,$K$205^A53,IF(A53='Données projet'!$A$36,'Données projet'!$B$36,N52+M53-V52)))</f>
        <v>369.94000000000017</v>
      </c>
      <c r="O53" s="13">
        <f>N53*VLOOKUP('Données projet'!$B$9,Paramètres!$A$1:$I$89,3,0)*VLOOKUP('Données projet'!$B$9,Paramètres!$A$1:$I$89,5,0)</f>
        <v>221.22412000000014</v>
      </c>
      <c r="P53" s="13">
        <f t="shared" si="33"/>
        <v>54.380856173847832</v>
      </c>
      <c r="Q53" s="20">
        <f t="shared" si="53"/>
        <v>480.01200016945177</v>
      </c>
      <c r="R53" s="59">
        <f t="shared" si="0"/>
        <v>745.83244020400355</v>
      </c>
      <c r="S53" s="59">
        <f ca="1">AVERAGE(OFFSET($R$3,0,0,'Données projet'!$E$9+1,1))-AVERAGE(OFFSET($H$3,0,0,'Données projet'!$E$9+1,1))</f>
        <v>366.78396742205962</v>
      </c>
      <c r="T53" s="59">
        <f t="shared" si="34"/>
        <v>271.89887525994988</v>
      </c>
      <c r="U53" s="15">
        <f>IF(ISNA(VLOOKUP(A53,'Données projet'!$A$35:$I$55,3,0)),0,VLOOKUP(A53,'Données projet'!$A$35:$I$55,3,0))</f>
        <v>5</v>
      </c>
      <c r="V53" s="15">
        <f>IF(ISNA(VLOOKUP(A53,'Données projet'!$A$35:$I$55,4,0)),0,VLOOKUP(A53,'Données projet'!$A$35:$I$55,4,0))</f>
        <v>70.2</v>
      </c>
      <c r="W53" s="16">
        <f>IF(ISNA(VLOOKUP(A53,'Données projet'!$A$35:$I$55,5,0)),0%,VLOOKUP(A53,'Données projet'!$A$35:$I$55,5,0)*VLOOKUP('Données projet'!$B$9,Paramètres!$A$1:$I$89,7,0))</f>
        <v>0.13500000000000001</v>
      </c>
      <c r="X53" s="16">
        <f>IF(ISNA(VLOOKUP(A53,'Données projet'!$A$35:$I$55,6,0)),0%,VLOOKUP(A53,'Données projet'!$A$35:$I$55,6,0)*VLOOKUP('Données projet'!$B$9,Paramètres!$A$1:$I$89,7,0))</f>
        <v>0.22500000000000001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19.768042477083679</v>
      </c>
      <c r="AA53" s="21">
        <f>EXP(-LN(2)/25)*AA52+(1-EXP(-LN(2)/25))/(LN(2)/25)*Calculateur!V53*Calculateur!X53*VLOOKUP('Données projet'!$B$9,Paramètres!$A$1:$I$89,3,0)*0.475*44/12</f>
        <v>40.614427843731889</v>
      </c>
      <c r="AB53" s="21">
        <f>EXP(-LN(2)/2)*AB52+(1-EXP(-LN(2)/2))/(LN(2)/2)*V53*Y53*VLOOKUP('Données projet'!$B$9,Paramètres!$A$1:$I$89,3,0)*0.475*44/12</f>
        <v>0</v>
      </c>
      <c r="AC53" s="22">
        <f t="shared" si="3"/>
        <v>60.382470320815571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62.496483645786853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7.6601960784313725</v>
      </c>
      <c r="AI53" s="13">
        <f>IF('Données projet'!$A$62&gt;35,AI52+AH53-AQ52,IF(A53&lt;'Données projet'!$A$62,$AF$205^A53,IF(A53='Données projet'!$A$62,'Données projet'!$B$62,AI52+AH53-AQ52)))</f>
        <v>383.00980392156896</v>
      </c>
      <c r="AJ53" s="13">
        <f>AI53*VLOOKUP('Données projet'!$B$10,Paramètres!$A$1:$I$89,3,0)*VLOOKUP('Données projet'!$B$10,Paramètres!$A$1:$I$89,5,0)</f>
        <v>179.24858823529425</v>
      </c>
      <c r="AK53" s="13">
        <f t="shared" si="35"/>
        <v>45.154970213306711</v>
      </c>
      <c r="AL53" s="20">
        <f t="shared" si="4"/>
        <v>390.83619763131333</v>
      </c>
      <c r="AM53" s="59">
        <f t="shared" si="5"/>
        <v>656.65663766586511</v>
      </c>
      <c r="AN53" s="59">
        <f ca="1">AVERAGE(OFFSET($AM$3,0,0,'Données projet'!$E$10+1,1))-AVERAGE(OFFSET($H$3,0,0,'Données projet'!$E$10+1,1))</f>
        <v>360.04137410460385</v>
      </c>
      <c r="AO53" s="59">
        <f t="shared" si="36"/>
        <v>287.81656468701829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62.496483645786853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155.76430449447392</v>
      </c>
      <c r="BJ53" s="59">
        <f t="shared" si="38"/>
        <v>363.39275685992129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45.269218459870146</v>
      </c>
      <c r="BQ53" s="21">
        <f>EXP(-LN(2)/25)*BQ52+(1-EXP(-LN(2)/25))/(LN(2)/25)*Calculateur!BL53*Calculateur!BN53*VLOOKUP('Données projet'!$B$11,Paramètres!$A$1:$I$89,3,0)*0.475*44/12</f>
        <v>9.9423750911223117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55.211593550992461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62.496483645786853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195.02</v>
      </c>
      <c r="BW53" s="12">
        <f>VLOOKUP(A53,'Données projet'!$A$113:$I$133,9,0)</f>
        <v>9.3712500000000034</v>
      </c>
      <c r="BX53" s="12">
        <f t="array" ref="BX53">INDEX(BW:BW,MIN(IF(ISNUMBER(BW53:BW249),ROW(BW53:BW249),"")))</f>
        <v>9.3712500000000034</v>
      </c>
      <c r="BY53" s="12">
        <f>IF('Données projet'!$A$114&gt;35,BY52+BX53-CG52,IF(A53&lt;'Données projet'!$A$114,$BV$205^A53,IF(A53='Données projet'!$A$114,'Données projet'!$B$114,BY52+BX53-CG52)))</f>
        <v>195.02000000000012</v>
      </c>
      <c r="BZ53" s="13">
        <f>BY53*VLOOKUP('Données projet'!$B$12,Paramètres!$A$1:$I$89,3,0)*VLOOKUP('Données projet'!$B$12,Paramètres!$A$1:$I$89,5,0)</f>
        <v>197.75028000000015</v>
      </c>
      <c r="CA53" s="13">
        <f t="shared" si="39"/>
        <v>49.24942231714175</v>
      </c>
      <c r="CB53" s="20">
        <f t="shared" si="10"/>
        <v>430.19114820235546</v>
      </c>
      <c r="CC53" s="59">
        <f t="shared" si="11"/>
        <v>696.0115882369073</v>
      </c>
      <c r="CD53" s="59">
        <f ca="1">AVERAGE(OFFSET($CC$3,0,0,'Données projet'!$E$12+1,1))-AVERAGE(OFFSET($H$3,0,0,'Données projet'!$E$12+1,1))</f>
        <v>679.4570479719705</v>
      </c>
      <c r="CE53" s="59">
        <f t="shared" si="40"/>
        <v>310.8252119379963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35.58</v>
      </c>
      <c r="CH53" s="16">
        <f>IF(ISNA(VLOOKUP(A53,'Données projet'!$A$113:$I$133,5,0)),0%,VLOOKUP(A53,'Données projet'!$A$113:$I$133,5,0)*VLOOKUP('Données projet'!$B$12,Paramètres!$A$1:$I$89,7,0))</f>
        <v>0.129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10.477706604163481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10.477706604163481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62.496483645786853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>
        <f>CT53*VLOOKUP('Données projet'!$B$13,Paramètres!$A$1:$I$89,3,0)*VLOOKUP('Données projet'!$B$13,Paramètres!$A$1:$I$89,5,0)</f>
        <v>0</v>
      </c>
      <c r="CV53" s="13" t="e">
        <f t="shared" si="41"/>
        <v>#NUM!</v>
      </c>
      <c r="CW53" s="20" t="e">
        <f t="shared" si="13"/>
        <v>#NUM!</v>
      </c>
      <c r="CX53" s="59" t="e">
        <f t="shared" si="14"/>
        <v>#NUM!</v>
      </c>
      <c r="CY53" s="59">
        <f ca="1">AVERAGE(OFFSET($CX$3,0,0,'Données projet'!$E$13+1,1))-AVERAGE(OFFSET($H$3,0,0,'Données projet'!$E$13+1,1))</f>
        <v>146.95547268081216</v>
      </c>
      <c r="CZ53" s="59">
        <f t="shared" si="42"/>
        <v>343.21355872318065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42.35310316030796</v>
      </c>
      <c r="DG53" s="21">
        <f>EXP(-LN(2)/25)*DG52+(1-EXP(-LN(2)/25))/(LN(2)/25)*Calculateur!DB53*Calculateur!DD53*VLOOKUP('Données projet'!$B$13,Paramètres!$A$1:$I$89,3,0)*0.475*44/12</f>
        <v>9.3019153459886645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51.655018506296628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62.496483645786853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62.496483645786853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62.496483645786853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62.496483645786853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62.496483645786853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3.5999999999999996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13.199999999999998</v>
      </c>
      <c r="H54" s="67">
        <f t="shared" si="1"/>
        <v>203.86666666666667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62.626652879183013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14.12</v>
      </c>
      <c r="N54" s="13">
        <f>IF('Données projet'!$A$36&gt;35,N53+M54-V53,IF(A54&lt;'Données projet'!$A$36,$K$205^A54,IF(A54='Données projet'!$A$36,'Données projet'!$B$36,N53+M54-V53)))</f>
        <v>313.86000000000018</v>
      </c>
      <c r="O54" s="13">
        <f>N54*VLOOKUP('Données projet'!$B$9,Paramètres!$A$1:$I$89,3,0)*VLOOKUP('Données projet'!$B$9,Paramètres!$A$1:$I$89,5,0)</f>
        <v>187.68828000000013</v>
      </c>
      <c r="P54" s="13">
        <f t="shared" si="33"/>
        <v>47.028500822168901</v>
      </c>
      <c r="Q54" s="20">
        <f t="shared" si="53"/>
        <v>408.79839326527775</v>
      </c>
      <c r="R54" s="59">
        <f t="shared" si="0"/>
        <v>675.09612048894883</v>
      </c>
      <c r="S54" s="59">
        <f ca="1">AVERAGE(OFFSET($R$3,0,0,'Données projet'!$E$9+1,1))-AVERAGE(OFFSET($H$3,0,0,'Données projet'!$E$9+1,1))</f>
        <v>366.78396742205962</v>
      </c>
      <c r="T54" s="59">
        <f t="shared" si="34"/>
        <v>271.89887525994988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19.380403221423418</v>
      </c>
      <c r="AA54" s="21">
        <f>EXP(-LN(2)/25)*AA53+(1-EXP(-LN(2)/25))/(LN(2)/25)*Calculateur!V54*Calculateur!X54*VLOOKUP('Données projet'!$B$9,Paramètres!$A$1:$I$89,3,0)*0.475*44/12</f>
        <v>39.503824178525107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58.884227399948529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62.626652879183013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390.67</v>
      </c>
      <c r="AG54" s="12">
        <f>VLOOKUP(A54,'Données projet'!$A$61:$I$81,9,0)</f>
        <v>7.6601960784313725</v>
      </c>
      <c r="AH54" s="12">
        <f t="array" ref="AH54">INDEX(AG:AG,MIN(IF(ISNUMBER(AG54:AG250),ROW(AG54:AG250),"")))</f>
        <v>7.6601960784313725</v>
      </c>
      <c r="AI54" s="13">
        <f>IF('Données projet'!$A$62&gt;35,AI53+AH54-AQ53,IF(A54&lt;'Données projet'!$A$62,$AF$205^A54,IF(A54='Données projet'!$A$62,'Données projet'!$B$62,AI53+AH54-AQ53)))</f>
        <v>390.67000000000036</v>
      </c>
      <c r="AJ54" s="13">
        <f>AI54*VLOOKUP('Données projet'!$B$10,Paramètres!$A$1:$I$89,3,0)*VLOOKUP('Données projet'!$B$10,Paramètres!$A$1:$I$89,5,0)</f>
        <v>182.83356000000015</v>
      </c>
      <c r="AK54" s="13">
        <f t="shared" si="35"/>
        <v>45.95202684063149</v>
      </c>
      <c r="AL54" s="20">
        <f t="shared" si="4"/>
        <v>398.46823041410011</v>
      </c>
      <c r="AM54" s="59">
        <f t="shared" si="5"/>
        <v>664.76595763777118</v>
      </c>
      <c r="AN54" s="59">
        <f ca="1">AVERAGE(OFFSET($AM$3,0,0,'Données projet'!$E$10+1,1))-AVERAGE(OFFSET($H$3,0,0,'Données projet'!$E$10+1,1))</f>
        <v>360.04137410460385</v>
      </c>
      <c r="AO54" s="59">
        <f t="shared" si="36"/>
        <v>287.81656468701829</v>
      </c>
      <c r="AP54" s="15">
        <f>IF(ISNA(VLOOKUP(A54,'Données projet'!$A$61:$I$81,3,0)),0,VLOOKUP(A54,'Données projet'!$A$61:$I$81,3,0))</f>
        <v>1</v>
      </c>
      <c r="AQ54" s="15">
        <f>IF(ISNA(VLOOKUP(A54,'Données projet'!$A$61:$I$81,4,0)),0,VLOOKUP(A54,'Données projet'!$A$61:$I$81,4,0))</f>
        <v>171.3</v>
      </c>
      <c r="AR54" s="16">
        <f>IF(ISNA(VLOOKUP(A54,'Données projet'!$A$61:$I$81,5,0)),0%,VLOOKUP(A54,'Données projet'!$A$61:$I$81,5,0)*VLOOKUP('Données projet'!$B$10,Paramètres!$A$1:$I$89,7,0))</f>
        <v>0.38500000000000001</v>
      </c>
      <c r="AS54" s="16">
        <f>IF(ISNA(VLOOKUP(A54,'Données projet'!$A$61:$I$81,6,0)),0%,VLOOKUP(A54,'Données projet'!$A$61:$I$81,6,0)*VLOOKUP('Données projet'!$B$10,Paramètres!$A$1:$I$89,7,0))</f>
        <v>0.16500000000000001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40.944191707441796</v>
      </c>
      <c r="AV54" s="21">
        <f>EXP(-LN(2)/25)*AV53+(1-EXP(-LN(2)/25))/(LN(2)/25)*Calculateur!AQ54*Calculateur!AS54*VLOOKUP('Données projet'!$B$10,Paramètres!$A$1:$I$89,3,0)*0.475*44/12</f>
        <v>17.478419495884058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58.422611203325857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62.626652879183013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155.76430449447392</v>
      </c>
      <c r="BJ54" s="59">
        <f t="shared" si="38"/>
        <v>363.39275685992129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44.381516697368944</v>
      </c>
      <c r="BQ54" s="21">
        <f>EXP(-LN(2)/25)*BQ53+(1-EXP(-LN(2)/25))/(LN(2)/25)*Calculateur!BL54*Calculateur!BN54*VLOOKUP('Données projet'!$B$11,Paramètres!$A$1:$I$89,3,0)*0.475*44/12</f>
        <v>9.6705003214087899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54.052017018777732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62.626652879183013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9.5537500000000009</v>
      </c>
      <c r="BY54" s="12">
        <f>IF('Données projet'!$A$114&gt;35,BY53+BX54-CG53,IF(A54&lt;'Données projet'!$A$114,$BV$205^A54,IF(A54='Données projet'!$A$114,'Données projet'!$B$114,BY53+BX54-CG53)))</f>
        <v>168.99375000000015</v>
      </c>
      <c r="BZ54" s="13">
        <f>BY54*VLOOKUP('Données projet'!$B$12,Paramètres!$A$1:$I$89,3,0)*VLOOKUP('Données projet'!$B$12,Paramètres!$A$1:$I$89,5,0)</f>
        <v>171.35966250000016</v>
      </c>
      <c r="CA54" s="13">
        <f t="shared" si="39"/>
        <v>43.39440142643388</v>
      </c>
      <c r="CB54" s="20">
        <f t="shared" si="10"/>
        <v>374.0299946718726</v>
      </c>
      <c r="CC54" s="59">
        <f t="shared" si="11"/>
        <v>640.32772189554362</v>
      </c>
      <c r="CD54" s="59">
        <f ca="1">AVERAGE(OFFSET($CC$3,0,0,'Données projet'!$E$12+1,1))-AVERAGE(OFFSET($H$3,0,0,'Données projet'!$E$12+1,1))</f>
        <v>679.4570479719705</v>
      </c>
      <c r="CE54" s="59">
        <f t="shared" si="40"/>
        <v>310.8252119379963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10.272245168425828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10.272245168425828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62.626652879183013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>
        <f>CT54*VLOOKUP('Données projet'!$B$13,Paramètres!$A$1:$I$89,3,0)*VLOOKUP('Données projet'!$B$13,Paramètres!$A$1:$I$89,5,0)</f>
        <v>0</v>
      </c>
      <c r="CV54" s="13" t="e">
        <f t="shared" si="41"/>
        <v>#NUM!</v>
      </c>
      <c r="CW54" s="20" t="e">
        <f t="shared" si="13"/>
        <v>#NUM!</v>
      </c>
      <c r="CX54" s="59" t="e">
        <f t="shared" si="14"/>
        <v>#NUM!</v>
      </c>
      <c r="CY54" s="59">
        <f ca="1">AVERAGE(OFFSET($CX$3,0,0,'Données projet'!$E$13+1,1))-AVERAGE(OFFSET($H$3,0,0,'Données projet'!$E$13+1,1))</f>
        <v>146.95547268081216</v>
      </c>
      <c r="CZ54" s="59">
        <f t="shared" si="42"/>
        <v>343.21355872318065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41.522584640176468</v>
      </c>
      <c r="DG54" s="21">
        <f>EXP(-LN(2)/25)*DG53+(1-EXP(-LN(2)/25))/(LN(2)/25)*Calculateur!DB54*Calculateur!DD54*VLOOKUP('Données projet'!$B$13,Paramètres!$A$1:$I$89,3,0)*0.475*44/12</f>
        <v>9.0475539816861357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50.570138621862604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62.626652879183013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62.626652879183013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62.626652879183013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62.626652879183013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62.626652879183013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3.5999999999999996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13.199999999999998</v>
      </c>
      <c r="H55" s="67">
        <f t="shared" si="1"/>
        <v>203.86666666666667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62.754563967394553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14.12</v>
      </c>
      <c r="N55" s="13">
        <f>IF('Données projet'!$A$36&gt;35,N54+M55-V54,IF(A55&lt;'Données projet'!$A$36,$K$205^A55,IF(A55='Données projet'!$A$36,'Données projet'!$B$36,N54+M55-V54)))</f>
        <v>327.98000000000019</v>
      </c>
      <c r="O55" s="13">
        <f>N55*VLOOKUP('Données projet'!$B$9,Paramètres!$A$1:$I$89,3,0)*VLOOKUP('Données projet'!$B$9,Paramètres!$A$1:$I$89,5,0)</f>
        <v>196.13204000000013</v>
      </c>
      <c r="P55" s="13">
        <f t="shared" si="33"/>
        <v>48.893143423385645</v>
      </c>
      <c r="Q55" s="20">
        <f t="shared" si="53"/>
        <v>426.75219446239686</v>
      </c>
      <c r="R55" s="59">
        <f t="shared" si="0"/>
        <v>693.5189290095102</v>
      </c>
      <c r="S55" s="59">
        <f ca="1">AVERAGE(OFFSET($R$3,0,0,'Données projet'!$E$9+1,1))-AVERAGE(OFFSET($H$3,0,0,'Données projet'!$E$9+1,1))</f>
        <v>366.78396742205962</v>
      </c>
      <c r="T55" s="59">
        <f t="shared" si="34"/>
        <v>271.89887525994988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19.000365335130056</v>
      </c>
      <c r="AA55" s="21">
        <f>EXP(-LN(2)/25)*AA54+(1-EXP(-LN(2)/25))/(LN(2)/25)*Calculateur!V55*Calculateur!X55*VLOOKUP('Données projet'!$B$9,Paramètres!$A$1:$I$89,3,0)*0.475*44/12</f>
        <v>38.423590028947515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57.423955364077571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62.754563967394553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12.883999999999997</v>
      </c>
      <c r="AI55" s="13">
        <f>IF('Données projet'!$A$62&gt;35,AI54+AH55-AQ54,IF(A55&lt;'Données projet'!$A$62,$AF$205^A55,IF(A55='Données projet'!$A$62,'Données projet'!$B$62,AI54+AH55-AQ54)))</f>
        <v>232.25400000000036</v>
      </c>
      <c r="AJ55" s="13">
        <f>AI55*VLOOKUP('Données projet'!$B$10,Paramètres!$A$1:$I$89,3,0)*VLOOKUP('Données projet'!$B$10,Paramètres!$A$1:$I$89,5,0)</f>
        <v>108.69487200000017</v>
      </c>
      <c r="AK55" s="13">
        <f t="shared" si="35"/>
        <v>29.023272955432798</v>
      </c>
      <c r="AL55" s="20">
        <f t="shared" si="4"/>
        <v>239.85910246404572</v>
      </c>
      <c r="AM55" s="59">
        <f t="shared" si="5"/>
        <v>506.62583701115909</v>
      </c>
      <c r="AN55" s="59">
        <f ca="1">AVERAGE(OFFSET($AM$3,0,0,'Données projet'!$E$10+1,1))-AVERAGE(OFFSET($H$3,0,0,'Données projet'!$E$10+1,1))</f>
        <v>360.04137410460385</v>
      </c>
      <c r="AO55" s="59">
        <f t="shared" si="36"/>
        <v>287.81656468701829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40.141301081549877</v>
      </c>
      <c r="AV55" s="21">
        <f>EXP(-LN(2)/25)*AV54+(1-EXP(-LN(2)/25))/(LN(2)/25)*Calculateur!AQ55*Calculateur!AS55*VLOOKUP('Données projet'!$B$10,Paramètres!$A$1:$I$89,3,0)*0.475*44/12</f>
        <v>17.000471195618974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57.141772277168855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62.754563967394553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155.76430449447392</v>
      </c>
      <c r="BJ55" s="59">
        <f t="shared" si="38"/>
        <v>363.39275685992129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43.511222224985779</v>
      </c>
      <c r="BQ55" s="21">
        <f>EXP(-LN(2)/25)*BQ54+(1-EXP(-LN(2)/25))/(LN(2)/25)*Calculateur!BL55*Calculateur!BN55*VLOOKUP('Données projet'!$B$11,Paramètres!$A$1:$I$89,3,0)*0.475*44/12</f>
        <v>9.4060599815703565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52.917282206556138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62.754563967394553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9.5537500000000009</v>
      </c>
      <c r="BY55" s="12">
        <f>IF('Données projet'!$A$114&gt;35,BY54+BX55-CG54,IF(A55&lt;'Données projet'!$A$114,$BV$205^A55,IF(A55='Données projet'!$A$114,'Données projet'!$B$114,BY54+BX55-CG54)))</f>
        <v>178.54750000000016</v>
      </c>
      <c r="BZ55" s="13">
        <f>BY55*VLOOKUP('Données projet'!$B$12,Paramètres!$A$1:$I$89,3,0)*VLOOKUP('Données projet'!$B$12,Paramètres!$A$1:$I$89,5,0)</f>
        <v>181.04716500000015</v>
      </c>
      <c r="CA55" s="13">
        <f t="shared" si="39"/>
        <v>45.55508237501288</v>
      </c>
      <c r="CB55" s="20">
        <f t="shared" si="10"/>
        <v>394.66558084481431</v>
      </c>
      <c r="CC55" s="59">
        <f t="shared" si="11"/>
        <v>661.43231539192766</v>
      </c>
      <c r="CD55" s="59">
        <f ca="1">AVERAGE(OFFSET($CC$3,0,0,'Données projet'!$E$12+1,1))-AVERAGE(OFFSET($H$3,0,0,'Données projet'!$E$12+1,1))</f>
        <v>679.4570479719705</v>
      </c>
      <c r="CE55" s="59">
        <f t="shared" si="40"/>
        <v>310.8252119379963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10.070812706123888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10.070812706123888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62.754563967394553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>
        <f>CT55*VLOOKUP('Données projet'!$B$13,Paramètres!$A$1:$I$89,3,0)*VLOOKUP('Données projet'!$B$13,Paramètres!$A$1:$I$89,5,0)</f>
        <v>0</v>
      </c>
      <c r="CV55" s="13" t="e">
        <f t="shared" si="41"/>
        <v>#NUM!</v>
      </c>
      <c r="CW55" s="20" t="e">
        <f t="shared" si="13"/>
        <v>#NUM!</v>
      </c>
      <c r="CX55" s="59" t="e">
        <f t="shared" si="14"/>
        <v>#NUM!</v>
      </c>
      <c r="CY55" s="59">
        <f ca="1">AVERAGE(OFFSET($CX$3,0,0,'Données projet'!$E$13+1,1))-AVERAGE(OFFSET($H$3,0,0,'Données projet'!$E$13+1,1))</f>
        <v>146.95547268081216</v>
      </c>
      <c r="CZ55" s="59">
        <f t="shared" si="42"/>
        <v>343.21355872318065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40.708352081658475</v>
      </c>
      <c r="DG55" s="21">
        <f>EXP(-LN(2)/25)*DG54+(1-EXP(-LN(2)/25))/(LN(2)/25)*Calculateur!DB55*Calculateur!DD55*VLOOKUP('Données projet'!$B$13,Paramètres!$A$1:$I$89,3,0)*0.475*44/12</f>
        <v>8.8001481422667425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49.508500223925218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62.754563967394553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62.754563967394553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62.754563967394553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62.754563967394553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62.754563967394553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3.5999999999999996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13.199999999999998</v>
      </c>
      <c r="H56" s="67">
        <f t="shared" si="1"/>
        <v>203.86666666666667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62.880256084191977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14.12</v>
      </c>
      <c r="N56" s="13">
        <f>IF('Données projet'!$A$36&gt;35,N55+M56-V55,IF(A56&lt;'Données projet'!$A$36,$K$205^A56,IF(A56='Données projet'!$A$36,'Données projet'!$B$36,N55+M56-V55)))</f>
        <v>342.10000000000019</v>
      </c>
      <c r="O56" s="13">
        <f>N56*VLOOKUP('Données projet'!$B$9,Paramètres!$A$1:$I$89,3,0)*VLOOKUP('Données projet'!$B$9,Paramètres!$A$1:$I$89,5,0)</f>
        <v>204.57580000000013</v>
      </c>
      <c r="P56" s="13">
        <f t="shared" si="33"/>
        <v>50.748462290021173</v>
      </c>
      <c r="Q56" s="20">
        <f t="shared" si="53"/>
        <v>444.68975682178706</v>
      </c>
      <c r="R56" s="59">
        <f t="shared" si="0"/>
        <v>711.91736246382436</v>
      </c>
      <c r="S56" s="59">
        <f ca="1">AVERAGE(OFFSET($R$3,0,0,'Données projet'!$E$9+1,1))-AVERAGE(OFFSET($H$3,0,0,'Données projet'!$E$9+1,1))</f>
        <v>366.78396742205962</v>
      </c>
      <c r="T56" s="59">
        <f t="shared" si="34"/>
        <v>271.89887525994988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18.627779759986684</v>
      </c>
      <c r="AA56" s="21">
        <f>EXP(-LN(2)/25)*AA55+(1-EXP(-LN(2)/25))/(LN(2)/25)*Calculateur!V56*Calculateur!X56*VLOOKUP('Données projet'!$B$9,Paramètres!$A$1:$I$89,3,0)*0.475*44/12</f>
        <v>37.372894938997163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56.000674698983843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62.880256084191977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12.883999999999997</v>
      </c>
      <c r="AI56" s="13">
        <f>IF('Données projet'!$A$62&gt;35,AI55+AH56-AQ55,IF(A56&lt;'Données projet'!$A$62,$AF$205^A56,IF(A56='Données projet'!$A$62,'Données projet'!$B$62,AI55+AH56-AQ55)))</f>
        <v>245.13800000000035</v>
      </c>
      <c r="AJ56" s="13">
        <f>AI56*VLOOKUP('Données projet'!$B$10,Paramètres!$A$1:$I$89,3,0)*VLOOKUP('Données projet'!$B$10,Paramètres!$A$1:$I$89,5,0)</f>
        <v>114.72458400000016</v>
      </c>
      <c r="AK56" s="13">
        <f t="shared" si="35"/>
        <v>30.441394327495473</v>
      </c>
      <c r="AL56" s="20">
        <f t="shared" si="4"/>
        <v>252.83074558705485</v>
      </c>
      <c r="AM56" s="59">
        <f t="shared" si="5"/>
        <v>520.05835122909218</v>
      </c>
      <c r="AN56" s="59">
        <f ca="1">AVERAGE(OFFSET($AM$3,0,0,'Données projet'!$E$10+1,1))-AVERAGE(OFFSET($H$3,0,0,'Données projet'!$E$10+1,1))</f>
        <v>360.04137410460385</v>
      </c>
      <c r="AO56" s="59">
        <f t="shared" si="36"/>
        <v>287.81656468701829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39.354154651116772</v>
      </c>
      <c r="AV56" s="21">
        <f>EXP(-LN(2)/25)*AV55+(1-EXP(-LN(2)/25))/(LN(2)/25)*Calculateur!AQ56*Calculateur!AS56*VLOOKUP('Données projet'!$B$10,Paramètres!$A$1:$I$89,3,0)*0.475*44/12</f>
        <v>16.535592416758849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55.889747067875618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62.880256084191977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155.76430449447392</v>
      </c>
      <c r="BJ56" s="59">
        <f t="shared" si="38"/>
        <v>363.39275685992129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42.657993696378831</v>
      </c>
      <c r="BQ56" s="21">
        <f>EXP(-LN(2)/25)*BQ55+(1-EXP(-LN(2)/25))/(LN(2)/25)*Calculateur!BL56*Calculateur!BN56*VLOOKUP('Données projet'!$B$11,Paramètres!$A$1:$I$89,3,0)*0.475*44/12</f>
        <v>9.148850776731118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51.806844473109948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62.880256084191977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9.5537500000000009</v>
      </c>
      <c r="BY56" s="12">
        <f>IF('Données projet'!$A$114&gt;35,BY55+BX56-CG55,IF(A56&lt;'Données projet'!$A$114,$BV$205^A56,IF(A56='Données projet'!$A$114,'Données projet'!$B$114,BY55+BX56-CG55)))</f>
        <v>188.10125000000016</v>
      </c>
      <c r="BZ56" s="13">
        <f>BY56*VLOOKUP('Données projet'!$B$12,Paramètres!$A$1:$I$89,3,0)*VLOOKUP('Données projet'!$B$12,Paramètres!$A$1:$I$89,5,0)</f>
        <v>190.73466750000017</v>
      </c>
      <c r="CA56" s="13">
        <f t="shared" si="39"/>
        <v>47.70234090493684</v>
      </c>
      <c r="CB56" s="20">
        <f t="shared" si="10"/>
        <v>415.27778963859856</v>
      </c>
      <c r="CC56" s="59">
        <f t="shared" si="11"/>
        <v>682.50539528063587</v>
      </c>
      <c r="CD56" s="59">
        <f ca="1">AVERAGE(OFFSET($CC$3,0,0,'Données projet'!$E$12+1,1))-AVERAGE(OFFSET($H$3,0,0,'Données projet'!$E$12+1,1))</f>
        <v>679.4570479719705</v>
      </c>
      <c r="CE56" s="59">
        <f t="shared" si="40"/>
        <v>310.8252119379963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9.8733302115460191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9.8733302115460191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62.880256084191977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>
        <f>CT56*VLOOKUP('Données projet'!$B$13,Paramètres!$A$1:$I$89,3,0)*VLOOKUP('Données projet'!$B$13,Paramètres!$A$1:$I$89,5,0)</f>
        <v>0</v>
      </c>
      <c r="CV56" s="13" t="e">
        <f t="shared" si="41"/>
        <v>#NUM!</v>
      </c>
      <c r="CW56" s="20" t="e">
        <f t="shared" si="13"/>
        <v>#NUM!</v>
      </c>
      <c r="CX56" s="59" t="e">
        <f t="shared" si="14"/>
        <v>#NUM!</v>
      </c>
      <c r="CY56" s="59">
        <f ca="1">AVERAGE(OFFSET($CX$3,0,0,'Données projet'!$E$13+1,1))-AVERAGE(OFFSET($H$3,0,0,'Données projet'!$E$13+1,1))</f>
        <v>146.95547268081216</v>
      </c>
      <c r="CZ56" s="59">
        <f t="shared" si="42"/>
        <v>343.21355872318065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39.910086126980197</v>
      </c>
      <c r="DG56" s="21">
        <f>EXP(-LN(2)/25)*DG55+(1-EXP(-LN(2)/25))/(LN(2)/25)*Calculateur!DB56*Calculateur!DD56*VLOOKUP('Données projet'!$B$13,Paramètres!$A$1:$I$89,3,0)*0.475*44/12</f>
        <v>8.5595076285367799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48.469593755516975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62.880256084191977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62.880256084191977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62.880256084191977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62.880256084191977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62.880256084191977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3.5999999999999996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13.199999999999998</v>
      </c>
      <c r="H57" s="67">
        <f t="shared" si="1"/>
        <v>203.86666666666667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63.003767723768441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14.12</v>
      </c>
      <c r="N57" s="13">
        <f>IF('Données projet'!$A$36&gt;35,N56+M57-V56,IF(A57&lt;'Données projet'!$A$36,$K$205^A57,IF(A57='Données projet'!$A$36,'Données projet'!$B$36,N56+M57-V56)))</f>
        <v>356.2200000000002</v>
      </c>
      <c r="O57" s="13">
        <f>N57*VLOOKUP('Données projet'!$B$9,Paramètres!$A$1:$I$89,3,0)*VLOOKUP('Données projet'!$B$9,Paramètres!$A$1:$I$89,5,0)</f>
        <v>213.01956000000015</v>
      </c>
      <c r="P57" s="13">
        <f t="shared" si="33"/>
        <v>52.594886266766075</v>
      </c>
      <c r="Q57" s="20">
        <f t="shared" si="53"/>
        <v>462.61182724795117</v>
      </c>
      <c r="R57" s="59">
        <f t="shared" si="0"/>
        <v>730.29230890176882</v>
      </c>
      <c r="S57" s="59">
        <f ca="1">AVERAGE(OFFSET($R$3,0,0,'Données projet'!$E$9+1,1))-AVERAGE(OFFSET($H$3,0,0,'Données projet'!$E$9+1,1))</f>
        <v>366.78396742205962</v>
      </c>
      <c r="T57" s="59">
        <f t="shared" si="34"/>
        <v>271.89887525994988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18.262500360717112</v>
      </c>
      <c r="AA57" s="21">
        <f>EXP(-LN(2)/25)*AA56+(1-EXP(-LN(2)/25))/(LN(2)/25)*Calculateur!V57*Calculateur!X57*VLOOKUP('Données projet'!$B$9,Paramètres!$A$1:$I$89,3,0)*0.475*44/12</f>
        <v>36.350931161535158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54.61343152225227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63.003767723768441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12.883999999999997</v>
      </c>
      <c r="AI57" s="13">
        <f>IF('Données projet'!$A$62&gt;35,AI56+AH57-AQ56,IF(A57&lt;'Données projet'!$A$62,$AF$205^A57,IF(A57='Données projet'!$A$62,'Données projet'!$B$62,AI56+AH57-AQ56)))</f>
        <v>258.02200000000033</v>
      </c>
      <c r="AJ57" s="13">
        <f>AI57*VLOOKUP('Données projet'!$B$10,Paramètres!$A$1:$I$89,3,0)*VLOOKUP('Données projet'!$B$10,Paramètres!$A$1:$I$89,5,0)</f>
        <v>120.75429600000017</v>
      </c>
      <c r="AK57" s="13">
        <f t="shared" si="35"/>
        <v>31.850862239168588</v>
      </c>
      <c r="AL57" s="20">
        <f t="shared" si="4"/>
        <v>265.78731726655224</v>
      </c>
      <c r="AM57" s="59">
        <f t="shared" si="5"/>
        <v>533.46779892036989</v>
      </c>
      <c r="AN57" s="59">
        <f ca="1">AVERAGE(OFFSET($AM$3,0,0,'Données projet'!$E$10+1,1))-AVERAGE(OFFSET($H$3,0,0,'Données projet'!$E$10+1,1))</f>
        <v>360.04137410460385</v>
      </c>
      <c r="AO57" s="59">
        <f t="shared" si="36"/>
        <v>287.81656468701829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38.582443682072544</v>
      </c>
      <c r="AV57" s="21">
        <f>EXP(-LN(2)/25)*AV56+(1-EXP(-LN(2)/25))/(LN(2)/25)*Calculateur!AQ57*Calculateur!AS57*VLOOKUP('Données projet'!$B$10,Paramètres!$A$1:$I$89,3,0)*0.475*44/12</f>
        <v>16.083425772553564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54.665869454626105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63.003767723768441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155.76430449447392</v>
      </c>
      <c r="BJ57" s="59">
        <f t="shared" si="38"/>
        <v>363.39275685992129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41.821496458799857</v>
      </c>
      <c r="BQ57" s="21">
        <f>EXP(-LN(2)/25)*BQ56+(1-EXP(-LN(2)/25))/(LN(2)/25)*Calculateur!BL57*Calculateur!BN57*VLOOKUP('Données projet'!$B$11,Paramètres!$A$1:$I$89,3,0)*0.475*44/12</f>
        <v>8.8986749711242528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50.720171429924108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63.003767723768441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9.5537500000000009</v>
      </c>
      <c r="BY57" s="12">
        <f>IF('Données projet'!$A$114&gt;35,BY56+BX57-CG56,IF(A57&lt;'Données projet'!$A$114,$BV$205^A57,IF(A57='Données projet'!$A$114,'Données projet'!$B$114,BY56+BX57-CG56)))</f>
        <v>197.65500000000017</v>
      </c>
      <c r="BZ57" s="13">
        <f>BY57*VLOOKUP('Données projet'!$B$12,Paramètres!$A$1:$I$89,3,0)*VLOOKUP('Données projet'!$B$12,Paramètres!$A$1:$I$89,5,0)</f>
        <v>200.42217000000019</v>
      </c>
      <c r="CA57" s="13">
        <f t="shared" si="39"/>
        <v>49.83693652432936</v>
      </c>
      <c r="CB57" s="20">
        <f t="shared" si="10"/>
        <v>435.8679438632073</v>
      </c>
      <c r="CC57" s="59">
        <f t="shared" si="11"/>
        <v>703.54842551702495</v>
      </c>
      <c r="CD57" s="59">
        <f ca="1">AVERAGE(OFFSET($CC$3,0,0,'Données projet'!$E$12+1,1))-AVERAGE(OFFSET($H$3,0,0,'Données projet'!$E$12+1,1))</f>
        <v>679.4570479719705</v>
      </c>
      <c r="CE57" s="59">
        <f t="shared" si="40"/>
        <v>310.8252119379963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9.6797202282343946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9.6797202282343946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63.003767723768441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>
        <f>CT57*VLOOKUP('Données projet'!$B$13,Paramètres!$A$1:$I$89,3,0)*VLOOKUP('Données projet'!$B$13,Paramètres!$A$1:$I$89,5,0)</f>
        <v>0</v>
      </c>
      <c r="CV57" s="13" t="e">
        <f t="shared" si="41"/>
        <v>#NUM!</v>
      </c>
      <c r="CW57" s="20" t="e">
        <f t="shared" si="13"/>
        <v>#NUM!</v>
      </c>
      <c r="CX57" s="59" t="e">
        <f t="shared" si="14"/>
        <v>#NUM!</v>
      </c>
      <c r="CY57" s="59">
        <f ca="1">AVERAGE(OFFSET($CX$3,0,0,'Données projet'!$E$13+1,1))-AVERAGE(OFFSET($H$3,0,0,'Données projet'!$E$13+1,1))</f>
        <v>146.95547268081216</v>
      </c>
      <c r="CZ57" s="59">
        <f t="shared" si="42"/>
        <v>343.21355872318065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39.127473680779005</v>
      </c>
      <c r="DG57" s="21">
        <f>EXP(-LN(2)/25)*DG56+(1-EXP(-LN(2)/25))/(LN(2)/25)*Calculateur!DB57*Calculateur!DD57*VLOOKUP('Données projet'!$B$13,Paramètres!$A$1:$I$89,3,0)*0.475*44/12</f>
        <v>8.325447442309498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47.452921123088501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63.003767723768441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63.003767723768441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63.003767723768441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63.003767723768441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63.003767723768441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3.5999999999999996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13.199999999999998</v>
      </c>
      <c r="H58" s="67">
        <f t="shared" si="1"/>
        <v>203.86666666666667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63.125136712528921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14.12</v>
      </c>
      <c r="N58" s="13">
        <f>IF('Données projet'!$A$36&gt;35,N57+M58-V57,IF(A58&lt;'Données projet'!$A$36,$K$205^A58,IF(A58='Données projet'!$A$36,'Données projet'!$B$36,N57+M58-V57)))</f>
        <v>370.3400000000002</v>
      </c>
      <c r="O58" s="13">
        <f>N58*VLOOKUP('Données projet'!$B$9,Paramètres!$A$1:$I$89,3,0)*VLOOKUP('Données projet'!$B$9,Paramètres!$A$1:$I$89,5,0)</f>
        <v>221.46332000000012</v>
      </c>
      <c r="P58" s="13">
        <f t="shared" si="33"/>
        <v>54.432808276273747</v>
      </c>
      <c r="Q58" s="20">
        <f t="shared" si="53"/>
        <v>480.51909008117696</v>
      </c>
      <c r="R58" s="59">
        <f t="shared" si="0"/>
        <v>748.64459136044968</v>
      </c>
      <c r="S58" s="59">
        <f ca="1">AVERAGE(OFFSET($R$3,0,0,'Données projet'!$E$9+1,1))-AVERAGE(OFFSET($H$3,0,0,'Données projet'!$E$9+1,1))</f>
        <v>366.78396742205962</v>
      </c>
      <c r="T58" s="59">
        <f t="shared" si="34"/>
        <v>271.89887525994988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17.904383867668784</v>
      </c>
      <c r="AA58" s="21">
        <f>EXP(-LN(2)/25)*AA57+(1-EXP(-LN(2)/25))/(LN(2)/25)*Calculateur!V58*Calculateur!X58*VLOOKUP('Données projet'!$B$9,Paramètres!$A$1:$I$89,3,0)*0.475*44/12</f>
        <v>35.356913037310591</v>
      </c>
      <c r="AB58" s="21">
        <f>EXP(-LN(2)/2)*AB57+(1-EXP(-LN(2)/2))/(LN(2)/2)*V58*Y58*VLOOKUP('Données projet'!$B$9,Paramètres!$A$1:$I$89,3,0)*0.475*44/12</f>
        <v>0</v>
      </c>
      <c r="AC58" s="22">
        <f t="shared" si="3"/>
        <v>53.261296904979375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63.125136712528921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12.883999999999997</v>
      </c>
      <c r="AI58" s="13">
        <f>IF('Données projet'!$A$62&gt;35,AI57+AH58-AQ57,IF(A58&lt;'Données projet'!$A$62,$AF$205^A58,IF(A58='Données projet'!$A$62,'Données projet'!$B$62,AI57+AH58-AQ57)))</f>
        <v>270.90600000000035</v>
      </c>
      <c r="AJ58" s="13">
        <f>AI58*VLOOKUP('Données projet'!$B$10,Paramètres!$A$1:$I$89,3,0)*VLOOKUP('Données projet'!$B$10,Paramètres!$A$1:$I$89,5,0)</f>
        <v>126.78400800000016</v>
      </c>
      <c r="AK58" s="13">
        <f t="shared" si="35"/>
        <v>33.252158096898668</v>
      </c>
      <c r="AL58" s="20">
        <f t="shared" si="4"/>
        <v>278.72965595209877</v>
      </c>
      <c r="AM58" s="59">
        <f t="shared" si="5"/>
        <v>546.85515723137155</v>
      </c>
      <c r="AN58" s="59">
        <f ca="1">AVERAGE(OFFSET($AM$3,0,0,'Données projet'!$E$10+1,1))-AVERAGE(OFFSET($H$3,0,0,'Données projet'!$E$10+1,1))</f>
        <v>360.04137410460385</v>
      </c>
      <c r="AO58" s="59">
        <f t="shared" si="36"/>
        <v>287.81656468701829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37.825865494434062</v>
      </c>
      <c r="AV58" s="21">
        <f>EXP(-LN(2)/25)*AV57+(1-EXP(-LN(2)/25))/(LN(2)/25)*Calculateur!AQ58*Calculateur!AS58*VLOOKUP('Données projet'!$B$10,Paramètres!$A$1:$I$89,3,0)*0.475*44/12</f>
        <v>15.643623649012484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53.469489143446545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63.125136712528921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155.76430449447392</v>
      </c>
      <c r="BJ58" s="59">
        <f t="shared" si="38"/>
        <v>363.39275685992129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41.001402421836865</v>
      </c>
      <c r="BQ58" s="21">
        <f>EXP(-LN(2)/25)*BQ57+(1-EXP(-LN(2)/25))/(LN(2)/25)*Calculateur!BL58*Calculateur!BN58*VLOOKUP('Données projet'!$B$11,Paramètres!$A$1:$I$89,3,0)*0.475*44/12</f>
        <v>8.6553402360778815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49.656742657914748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63.125136712528921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9.5537500000000009</v>
      </c>
      <c r="BY58" s="12">
        <f>IF('Données projet'!$A$114&gt;35,BY57+BX58-CG57,IF(A58&lt;'Données projet'!$A$114,$BV$205^A58,IF(A58='Données projet'!$A$114,'Données projet'!$B$114,BY57+BX58-CG57)))</f>
        <v>207.20875000000018</v>
      </c>
      <c r="BZ58" s="13">
        <f>BY58*VLOOKUP('Données projet'!$B$12,Paramètres!$A$1:$I$89,3,0)*VLOOKUP('Données projet'!$B$12,Paramètres!$A$1:$I$89,5,0)</f>
        <v>210.10967250000019</v>
      </c>
      <c r="CA58" s="13">
        <f t="shared" si="39"/>
        <v>51.959551170560943</v>
      </c>
      <c r="CB58" s="20">
        <f t="shared" si="10"/>
        <v>456.43723122622731</v>
      </c>
      <c r="CC58" s="59">
        <f t="shared" si="11"/>
        <v>724.56273250549998</v>
      </c>
      <c r="CD58" s="59">
        <f ca="1">AVERAGE(OFFSET($CC$3,0,0,'Données projet'!$E$12+1,1))-AVERAGE(OFFSET($H$3,0,0,'Données projet'!$E$12+1,1))</f>
        <v>679.4570479719705</v>
      </c>
      <c r="CE58" s="59">
        <f t="shared" si="40"/>
        <v>310.8252119379963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9.4899068186050819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9.4899068186050819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63.125136712528921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>
        <f>CT58*VLOOKUP('Données projet'!$B$13,Paramètres!$A$1:$I$89,3,0)*VLOOKUP('Données projet'!$B$13,Paramètres!$A$1:$I$89,5,0)</f>
        <v>0</v>
      </c>
      <c r="CV58" s="13" t="e">
        <f t="shared" si="41"/>
        <v>#NUM!</v>
      </c>
      <c r="CW58" s="20" t="e">
        <f t="shared" si="13"/>
        <v>#NUM!</v>
      </c>
      <c r="CX58" s="59" t="e">
        <f t="shared" si="14"/>
        <v>#NUM!</v>
      </c>
      <c r="CY58" s="59">
        <f ca="1">AVERAGE(OFFSET($CX$3,0,0,'Données projet'!$E$13+1,1))-AVERAGE(OFFSET($H$3,0,0,'Données projet'!$E$13+1,1))</f>
        <v>146.95547268081216</v>
      </c>
      <c r="CZ58" s="59">
        <f t="shared" si="42"/>
        <v>343.21355872318065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38.360207787301363</v>
      </c>
      <c r="DG58" s="21">
        <f>EXP(-LN(2)/25)*DG57+(1-EXP(-LN(2)/25))/(LN(2)/25)*Calculateur!DB58*Calculateur!DD58*VLOOKUP('Données projet'!$B$13,Paramètres!$A$1:$I$89,3,0)*0.475*44/12</f>
        <v>8.0977876441832919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46.457995431484655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63.125136712528921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63.125136712528921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63.125136712528921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63.125136712528921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63.125136712528921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3.5999999999999996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13.199999999999998</v>
      </c>
      <c r="H59" s="67">
        <f t="shared" si="1"/>
        <v>203.86666666666667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63.244400220674805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14.12</v>
      </c>
      <c r="N59" s="13">
        <f>IF('Données projet'!$A$36&gt;35,N58+M59-V58,IF(A59&lt;'Données projet'!$A$36,$K$205^A59,IF(A59='Données projet'!$A$36,'Données projet'!$B$36,N58+M59-V58)))</f>
        <v>384.46000000000021</v>
      </c>
      <c r="O59" s="13">
        <f>N59*VLOOKUP('Données projet'!$B$9,Paramètres!$A$1:$I$89,3,0)*VLOOKUP('Données projet'!$B$9,Paramètres!$A$1:$I$89,5,0)</f>
        <v>229.90708000000015</v>
      </c>
      <c r="P59" s="13">
        <f t="shared" si="33"/>
        <v>56.262589582193186</v>
      </c>
      <c r="Q59" s="20">
        <f t="shared" si="53"/>
        <v>498.41217452232013</v>
      </c>
      <c r="R59" s="59">
        <f t="shared" si="0"/>
        <v>766.97497533146111</v>
      </c>
      <c r="S59" s="59">
        <f ca="1">AVERAGE(OFFSET($R$3,0,0,'Données projet'!$E$9+1,1))-AVERAGE(OFFSET($H$3,0,0,'Données projet'!$E$9+1,1))</f>
        <v>366.78396742205962</v>
      </c>
      <c r="T59" s="59">
        <f t="shared" si="34"/>
        <v>271.89887525994988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17.553289820619639</v>
      </c>
      <c r="AA59" s="21">
        <f>EXP(-LN(2)/25)*AA58+(1-EXP(-LN(2)/25))/(LN(2)/25)*Calculateur!V59*Calculateur!X59*VLOOKUP('Données projet'!$B$9,Paramètres!$A$1:$I$89,3,0)*0.475*44/12</f>
        <v>34.390076390966087</v>
      </c>
      <c r="AB59" s="21">
        <f>EXP(-LN(2)/2)*AB58+(1-EXP(-LN(2)/2))/(LN(2)/2)*V59*Y59*VLOOKUP('Données projet'!$B$9,Paramètres!$A$1:$I$89,3,0)*0.475*44/12</f>
        <v>0</v>
      </c>
      <c r="AC59" s="22">
        <f t="shared" si="3"/>
        <v>51.943366211585726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63.244400220674805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12.883999999999997</v>
      </c>
      <c r="AI59" s="13">
        <f>IF('Données projet'!$A$62&gt;35,AI58+AH59-AQ58,IF(A59&lt;'Données projet'!$A$62,$AF$205^A59,IF(A59='Données projet'!$A$62,'Données projet'!$B$62,AI58+AH59-AQ58)))</f>
        <v>283.79000000000036</v>
      </c>
      <c r="AJ59" s="13">
        <f>AI59*VLOOKUP('Données projet'!$B$10,Paramètres!$A$1:$I$89,3,0)*VLOOKUP('Données projet'!$B$10,Paramètres!$A$1:$I$89,5,0)</f>
        <v>132.81372000000016</v>
      </c>
      <c r="AK59" s="13">
        <f t="shared" si="35"/>
        <v>34.645714929343931</v>
      </c>
      <c r="AL59" s="20">
        <f t="shared" si="4"/>
        <v>291.65851583527427</v>
      </c>
      <c r="AM59" s="59">
        <f t="shared" si="5"/>
        <v>560.2213166444152</v>
      </c>
      <c r="AN59" s="59">
        <f ca="1">AVERAGE(OFFSET($AM$3,0,0,'Données projet'!$E$10+1,1))-AVERAGE(OFFSET($H$3,0,0,'Données projet'!$E$10+1,1))</f>
        <v>360.04137410460385</v>
      </c>
      <c r="AO59" s="59">
        <f t="shared" si="36"/>
        <v>287.81656468701829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37.08412334358804</v>
      </c>
      <c r="AV59" s="21">
        <f>EXP(-LN(2)/25)*AV58+(1-EXP(-LN(2)/25))/(LN(2)/25)*Calculateur!AQ59*Calculateur!AS59*VLOOKUP('Données projet'!$B$10,Paramètres!$A$1:$I$89,3,0)*0.475*44/12</f>
        <v>15.215847937667824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52.299971281255864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63.244400220674805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155.76430449447392</v>
      </c>
      <c r="BJ59" s="59">
        <f t="shared" si="38"/>
        <v>363.39275685992129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40.19738992873075</v>
      </c>
      <c r="BQ59" s="21">
        <f>EXP(-LN(2)/25)*BQ58+(1-EXP(-LN(2)/25))/(LN(2)/25)*Calculateur!BL59*Calculateur!BN59*VLOOKUP('Données projet'!$B$11,Paramètres!$A$1:$I$89,3,0)*0.475*44/12</f>
        <v>8.4186595021577713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48.616049430888523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63.244400220674805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9.5537500000000009</v>
      </c>
      <c r="BY59" s="12">
        <f>IF('Données projet'!$A$114&gt;35,BY58+BX59-CG58,IF(A59&lt;'Données projet'!$A$114,$BV$205^A59,IF(A59='Données projet'!$A$114,'Données projet'!$B$114,BY58+BX59-CG58)))</f>
        <v>216.76250000000019</v>
      </c>
      <c r="BZ59" s="13">
        <f>BY59*VLOOKUP('Données projet'!$B$12,Paramètres!$A$1:$I$89,3,0)*VLOOKUP('Données projet'!$B$12,Paramètres!$A$1:$I$89,5,0)</f>
        <v>219.79717500000021</v>
      </c>
      <c r="CA59" s="13">
        <f t="shared" si="39"/>
        <v>54.070800342815986</v>
      </c>
      <c r="CB59" s="20">
        <f t="shared" si="10"/>
        <v>476.98672372207147</v>
      </c>
      <c r="CC59" s="59">
        <f t="shared" si="11"/>
        <v>745.54952453121246</v>
      </c>
      <c r="CD59" s="59">
        <f ca="1">AVERAGE(OFFSET($CC$3,0,0,'Données projet'!$E$12+1,1))-AVERAGE(OFFSET($H$3,0,0,'Données projet'!$E$12+1,1))</f>
        <v>679.4570479719705</v>
      </c>
      <c r="CE59" s="59">
        <f t="shared" si="40"/>
        <v>310.8252119379963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9.3038155341638511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9.3038155341638511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63.244400220674805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>
        <f>CT59*VLOOKUP('Données projet'!$B$13,Paramètres!$A$1:$I$89,3,0)*VLOOKUP('Données projet'!$B$13,Paramètres!$A$1:$I$89,5,0)</f>
        <v>0</v>
      </c>
      <c r="CV59" s="13" t="e">
        <f t="shared" si="41"/>
        <v>#NUM!</v>
      </c>
      <c r="CW59" s="20" t="e">
        <f t="shared" si="13"/>
        <v>#NUM!</v>
      </c>
      <c r="CX59" s="59" t="e">
        <f t="shared" si="14"/>
        <v>#NUM!</v>
      </c>
      <c r="CY59" s="59">
        <f ca="1">AVERAGE(OFFSET($CX$3,0,0,'Données projet'!$E$13+1,1))-AVERAGE(OFFSET($H$3,0,0,'Données projet'!$E$13+1,1))</f>
        <v>146.95547268081216</v>
      </c>
      <c r="CZ59" s="59">
        <f t="shared" si="42"/>
        <v>343.21355872318065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37.607987510008833</v>
      </c>
      <c r="DG59" s="21">
        <f>EXP(-LN(2)/25)*DG58+(1-EXP(-LN(2)/25))/(LN(2)/25)*Calculateur!DB59*Calculateur!DD59*VLOOKUP('Données projet'!$B$13,Paramètres!$A$1:$I$89,3,0)*0.475*44/12</f>
        <v>7.8763532152089555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45.484340725217791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63.244400220674805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63.244400220674805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63.244400220674805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63.244400220674805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63.244400220674805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3.5999999999999996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13.199999999999998</v>
      </c>
      <c r="H60" s="67">
        <f t="shared" si="1"/>
        <v>203.86666666666667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63.361594773587619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14.12</v>
      </c>
      <c r="N60" s="13">
        <f>IF('Données projet'!$A$36&gt;35,N59+M60-V59,IF(A60&lt;'Données projet'!$A$36,$K$205^A60,IF(A60='Données projet'!$A$36,'Données projet'!$B$36,N59+M60-V59)))</f>
        <v>398.58000000000021</v>
      </c>
      <c r="O60" s="13">
        <f>N60*VLOOKUP('Données projet'!$B$9,Paramètres!$A$1:$I$89,3,0)*VLOOKUP('Données projet'!$B$9,Paramètres!$A$1:$I$89,5,0)</f>
        <v>238.35084000000015</v>
      </c>
      <c r="P60" s="13">
        <f t="shared" si="33"/>
        <v>58.084563408326787</v>
      </c>
      <c r="Q60" s="20">
        <f t="shared" si="53"/>
        <v>516.29166093616936</v>
      </c>
      <c r="R60" s="59">
        <f t="shared" si="0"/>
        <v>785.2841751059907</v>
      </c>
      <c r="S60" s="59">
        <f ca="1">AVERAGE(OFFSET($R$3,0,0,'Données projet'!$E$9+1,1))-AVERAGE(OFFSET($H$3,0,0,'Données projet'!$E$9+1,1))</f>
        <v>366.78396742205962</v>
      </c>
      <c r="T60" s="59">
        <f t="shared" si="34"/>
        <v>271.89887525994988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17.209080513686903</v>
      </c>
      <c r="AA60" s="21">
        <f>EXP(-LN(2)/25)*AA59+(1-EXP(-LN(2)/25))/(LN(2)/25)*Calculateur!V60*Calculateur!X60*VLOOKUP('Données projet'!$B$9,Paramètres!$A$1:$I$89,3,0)*0.475*44/12</f>
        <v>33.4496779435596</v>
      </c>
      <c r="AB60" s="21">
        <f>EXP(-LN(2)/2)*AB59+(1-EXP(-LN(2)/2))/(LN(2)/2)*V60*Y60*VLOOKUP('Données projet'!$B$9,Paramètres!$A$1:$I$89,3,0)*0.475*44/12</f>
        <v>0</v>
      </c>
      <c r="AC60" s="22">
        <f t="shared" si="3"/>
        <v>50.658758457246506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63.361594773587619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12.883999999999997</v>
      </c>
      <c r="AI60" s="13">
        <f>IF('Données projet'!$A$62&gt;35,AI59+AH60-AQ59,IF(A60&lt;'Données projet'!$A$62,$AF$205^A60,IF(A60='Données projet'!$A$62,'Données projet'!$B$62,AI59+AH60-AQ59)))</f>
        <v>296.67400000000038</v>
      </c>
      <c r="AJ60" s="13">
        <f>AI60*VLOOKUP('Données projet'!$B$10,Paramètres!$A$1:$I$89,3,0)*VLOOKUP('Données projet'!$B$10,Paramètres!$A$1:$I$89,5,0)</f>
        <v>138.84343200000018</v>
      </c>
      <c r="AK60" s="13">
        <f t="shared" si="35"/>
        <v>36.031924223793197</v>
      </c>
      <c r="AL60" s="20">
        <f t="shared" si="4"/>
        <v>304.57457875644008</v>
      </c>
      <c r="AM60" s="59">
        <f t="shared" si="5"/>
        <v>573.56709292626135</v>
      </c>
      <c r="AN60" s="59">
        <f ca="1">AVERAGE(OFFSET($AM$3,0,0,'Données projet'!$E$10+1,1))-AVERAGE(OFFSET($H$3,0,0,'Données projet'!$E$10+1,1))</f>
        <v>360.04137410460385</v>
      </c>
      <c r="AO60" s="59">
        <f t="shared" si="36"/>
        <v>287.81656468701829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36.356926303902071</v>
      </c>
      <c r="AV60" s="21">
        <f>EXP(-LN(2)/25)*AV59+(1-EXP(-LN(2)/25))/(LN(2)/25)*Calculateur!AQ60*Calculateur!AS60*VLOOKUP('Données projet'!$B$10,Paramètres!$A$1:$I$89,3,0)*0.475*44/12</f>
        <v>14.799769775645631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51.1566960795477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63.361594773587619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155.76430449447392</v>
      </c>
      <c r="BJ60" s="59">
        <f t="shared" si="38"/>
        <v>363.39275685992129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39.409143630215247</v>
      </c>
      <c r="BQ60" s="21">
        <f>EXP(-LN(2)/25)*BQ59+(1-EXP(-LN(2)/25))/(LN(2)/25)*Calculateur!BL60*Calculateur!BN60*VLOOKUP('Données projet'!$B$11,Paramètres!$A$1:$I$89,3,0)*0.475*44/12</f>
        <v>8.188450815353205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47.597594445568454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63.361594773587619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9.5537500000000009</v>
      </c>
      <c r="BY60" s="12">
        <f>IF('Données projet'!$A$114&gt;35,BY59+BX60-CG59,IF(A60&lt;'Données projet'!$A$114,$BV$205^A60,IF(A60='Données projet'!$A$114,'Données projet'!$B$114,BY59+BX60-CG59)))</f>
        <v>226.3162500000002</v>
      </c>
      <c r="BZ60" s="13">
        <f>BY60*VLOOKUP('Données projet'!$B$12,Paramètres!$A$1:$I$89,3,0)*VLOOKUP('Données projet'!$B$12,Paramètres!$A$1:$I$89,5,0)</f>
        <v>229.4846775000002</v>
      </c>
      <c r="CA60" s="13">
        <f t="shared" si="39"/>
        <v>56.171242216591338</v>
      </c>
      <c r="CB60" s="20">
        <f t="shared" si="10"/>
        <v>497.51739350639696</v>
      </c>
      <c r="CC60" s="59">
        <f t="shared" si="11"/>
        <v>766.50990767621829</v>
      </c>
      <c r="CD60" s="59">
        <f ca="1">AVERAGE(OFFSET($CC$3,0,0,'Données projet'!$E$12+1,1))-AVERAGE(OFFSET($H$3,0,0,'Données projet'!$E$12+1,1))</f>
        <v>679.4570479719705</v>
      </c>
      <c r="CE60" s="59">
        <f t="shared" si="40"/>
        <v>310.8252119379963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9.1213733863060362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9.1213733863060362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63.361594773587619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>
        <f>CT60*VLOOKUP('Données projet'!$B$13,Paramètres!$A$1:$I$89,3,0)*VLOOKUP('Données projet'!$B$13,Paramètres!$A$1:$I$89,5,0)</f>
        <v>0</v>
      </c>
      <c r="CV60" s="13" t="e">
        <f t="shared" si="41"/>
        <v>#NUM!</v>
      </c>
      <c r="CW60" s="20" t="e">
        <f t="shared" si="13"/>
        <v>#NUM!</v>
      </c>
      <c r="CX60" s="59" t="e">
        <f t="shared" si="14"/>
        <v>#NUM!</v>
      </c>
      <c r="CY60" s="59">
        <f ca="1">AVERAGE(OFFSET($CX$3,0,0,'Données projet'!$E$13+1,1))-AVERAGE(OFFSET($H$3,0,0,'Données projet'!$E$13+1,1))</f>
        <v>146.95547268081216</v>
      </c>
      <c r="CZ60" s="59">
        <f t="shared" si="42"/>
        <v>343.21355872318065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36.870517813544943</v>
      </c>
      <c r="DG60" s="21">
        <f>EXP(-LN(2)/25)*DG59+(1-EXP(-LN(2)/25))/(LN(2)/25)*Calculateur!DB60*Calculateur!DD60*VLOOKUP('Données projet'!$B$13,Paramètres!$A$1:$I$89,3,0)*0.475*44/12</f>
        <v>7.6609739223396529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44.531491735884593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63.361594773587619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63.361594773587619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63.361594773587619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63.361594773587619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63.361594773587619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3.5999999999999996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13.199999999999998</v>
      </c>
      <c r="H61" s="67">
        <f t="shared" si="1"/>
        <v>203.86666666666667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63.476756263015176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14.12</v>
      </c>
      <c r="N61" s="13">
        <f>IF('Données projet'!$A$36&gt;35,N60+M61-V60,IF(A61&lt;'Données projet'!$A$36,$K$205^A61,IF(A61='Données projet'!$A$36,'Données projet'!$B$36,N60+M61-V60)))</f>
        <v>412.70000000000022</v>
      </c>
      <c r="O61" s="13">
        <f>N61*VLOOKUP('Données projet'!$B$9,Paramètres!$A$1:$I$89,3,0)*VLOOKUP('Données projet'!$B$9,Paramètres!$A$1:$I$89,5,0)</f>
        <v>246.79460000000014</v>
      </c>
      <c r="P61" s="13">
        <f t="shared" si="33"/>
        <v>59.899038030532552</v>
      </c>
      <c r="Q61" s="20">
        <f t="shared" si="53"/>
        <v>534.15808623651117</v>
      </c>
      <c r="R61" s="59">
        <f t="shared" si="0"/>
        <v>803.57285920090021</v>
      </c>
      <c r="S61" s="59">
        <f ca="1">AVERAGE(OFFSET($R$3,0,0,'Données projet'!$E$9+1,1))-AVERAGE(OFFSET($H$3,0,0,'Données projet'!$E$9+1,1))</f>
        <v>366.78396742205962</v>
      </c>
      <c r="T61" s="59">
        <f t="shared" si="34"/>
        <v>271.89887525994988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16.871620941316174</v>
      </c>
      <c r="AA61" s="21">
        <f>EXP(-LN(2)/25)*AA60+(1-EXP(-LN(2)/25))/(LN(2)/25)*Calculateur!V61*Calculateur!X61*VLOOKUP('Données projet'!$B$9,Paramètres!$A$1:$I$89,3,0)*0.475*44/12</f>
        <v>32.534994741150847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49.40661568246702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63.476756263015176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12.883999999999997</v>
      </c>
      <c r="AI61" s="13">
        <f>IF('Données projet'!$A$62&gt;35,AI60+AH61-AQ60,IF(A61&lt;'Données projet'!$A$62,$AF$205^A61,IF(A61='Données projet'!$A$62,'Données projet'!$B$62,AI60+AH61-AQ60)))</f>
        <v>309.55800000000039</v>
      </c>
      <c r="AJ61" s="13">
        <f>AI61*VLOOKUP('Données projet'!$B$10,Paramètres!$A$1:$I$89,3,0)*VLOOKUP('Données projet'!$B$10,Paramètres!$A$1:$I$89,5,0)</f>
        <v>144.87314400000017</v>
      </c>
      <c r="AK61" s="13">
        <f t="shared" si="35"/>
        <v>37.411141541504648</v>
      </c>
      <c r="AL61" s="20">
        <f t="shared" si="4"/>
        <v>317.47846398478754</v>
      </c>
      <c r="AM61" s="59">
        <f t="shared" si="5"/>
        <v>586.89323694917653</v>
      </c>
      <c r="AN61" s="59">
        <f ca="1">AVERAGE(OFFSET($AM$3,0,0,'Données projet'!$E$10+1,1))-AVERAGE(OFFSET($H$3,0,0,'Données projet'!$E$10+1,1))</f>
        <v>360.04137410460385</v>
      </c>
      <c r="AO61" s="59">
        <f t="shared" si="36"/>
        <v>287.81656468701829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35.643989154617948</v>
      </c>
      <c r="AV61" s="21">
        <f>EXP(-LN(2)/25)*AV60+(1-EXP(-LN(2)/25))/(LN(2)/25)*Calculateur!AQ61*Calculateur!AS61*VLOOKUP('Données projet'!$B$10,Paramètres!$A$1:$I$89,3,0)*0.475*44/12</f>
        <v>14.395069292844534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50.03905844746248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63.476756263015176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155.76430449447392</v>
      </c>
      <c r="BJ61" s="59">
        <f t="shared" si="38"/>
        <v>363.39275685992129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38.636354360830865</v>
      </c>
      <c r="BQ61" s="21">
        <f>EXP(-LN(2)/25)*BQ60+(1-EXP(-LN(2)/25))/(LN(2)/25)*Calculateur!BL61*Calculateur!BN61*VLOOKUP('Données projet'!$B$11,Paramètres!$A$1:$I$89,3,0)*0.475*44/12</f>
        <v>7.9645371971954582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46.600891558026319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63.476756263015176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235.87</v>
      </c>
      <c r="BW61" s="12">
        <f>VLOOKUP(A61,'Données projet'!$A$113:$I$133,9,0)</f>
        <v>9.5537500000000009</v>
      </c>
      <c r="BX61" s="12">
        <f t="array" ref="BX61">INDEX(BW:BW,MIN(IF(ISNUMBER(BW61:BW257),ROW(BW61:BW257),"")))</f>
        <v>9.5537500000000009</v>
      </c>
      <c r="BY61" s="12">
        <f>IF('Données projet'!$A$114&gt;35,BY60+BX61-CG60,IF(A61&lt;'Données projet'!$A$114,$BV$205^A61,IF(A61='Données projet'!$A$114,'Données projet'!$B$114,BY60+BX61-CG60)))</f>
        <v>235.8700000000002</v>
      </c>
      <c r="BZ61" s="13">
        <f>BY61*VLOOKUP('Données projet'!$B$12,Paramètres!$A$1:$I$89,3,0)*VLOOKUP('Données projet'!$B$12,Paramètres!$A$1:$I$89,5,0)</f>
        <v>239.1721800000002</v>
      </c>
      <c r="CA61" s="13">
        <f t="shared" si="39"/>
        <v>58.261385175767472</v>
      </c>
      <c r="CB61" s="20">
        <f t="shared" si="10"/>
        <v>518.0301260144621</v>
      </c>
      <c r="CC61" s="59">
        <f t="shared" si="11"/>
        <v>787.44489897885114</v>
      </c>
      <c r="CD61" s="59">
        <f ca="1">AVERAGE(OFFSET($CC$3,0,0,'Données projet'!$E$12+1,1))-AVERAGE(OFFSET($H$3,0,0,'Données projet'!$E$12+1,1))</f>
        <v>679.4570479719705</v>
      </c>
      <c r="CE61" s="59">
        <f t="shared" si="40"/>
        <v>310.8252119379963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44.93</v>
      </c>
      <c r="CH61" s="16">
        <f>IF(ISNA(VLOOKUP(A61,'Données projet'!$A$113:$I$133,5,0)),0%,VLOOKUP(A61,'Données projet'!$A$113:$I$133,5,0)*VLOOKUP('Données projet'!$B$12,Paramètres!$A$1:$I$89,7,0))</f>
        <v>0.129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15.439483797529846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15.439483797529846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63.476756263015176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>
        <f>CT61*VLOOKUP('Données projet'!$B$13,Paramètres!$A$1:$I$89,3,0)*VLOOKUP('Données projet'!$B$13,Paramètres!$A$1:$I$89,5,0)</f>
        <v>0</v>
      </c>
      <c r="CV61" s="13" t="e">
        <f t="shared" si="41"/>
        <v>#NUM!</v>
      </c>
      <c r="CW61" s="20" t="e">
        <f t="shared" si="13"/>
        <v>#NUM!</v>
      </c>
      <c r="CX61" s="59" t="e">
        <f t="shared" si="14"/>
        <v>#NUM!</v>
      </c>
      <c r="CY61" s="59">
        <f ca="1">AVERAGE(OFFSET($CX$3,0,0,'Données projet'!$E$13+1,1))-AVERAGE(OFFSET($H$3,0,0,'Données projet'!$E$13+1,1))</f>
        <v>146.95547268081216</v>
      </c>
      <c r="CZ61" s="59">
        <f t="shared" si="42"/>
        <v>343.21355872318065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36.147509448016606</v>
      </c>
      <c r="DG61" s="21">
        <f>EXP(-LN(2)/25)*DG60+(1-EXP(-LN(2)/25))/(LN(2)/25)*Calculateur!DB61*Calculateur!DD61*VLOOKUP('Données projet'!$B$13,Paramètres!$A$1:$I$89,3,0)*0.475*44/12</f>
        <v>7.4514841875601663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43.598993635576775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63.476756263015176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63.476756263015176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63.476756263015176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63.476756263015176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63.476756263015176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3.5999999999999996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13.199999999999998</v>
      </c>
      <c r="H62" s="67">
        <f t="shared" si="1"/>
        <v>203.86666666666667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63.589919958063675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14.12</v>
      </c>
      <c r="N62" s="13">
        <f>IF('Données projet'!$A$36&gt;35,N61+M62-V61,IF(A62&lt;'Données projet'!$A$36,$K$205^A62,IF(A62='Données projet'!$A$36,'Données projet'!$B$36,N61+M62-V61)))</f>
        <v>426.82000000000022</v>
      </c>
      <c r="O62" s="13">
        <f>N62*VLOOKUP('Données projet'!$B$9,Paramètres!$A$1:$I$89,3,0)*VLOOKUP('Données projet'!$B$9,Paramètres!$A$1:$I$89,5,0)</f>
        <v>255.23836000000014</v>
      </c>
      <c r="P62" s="13">
        <f t="shared" si="33"/>
        <v>61.706299433596136</v>
      </c>
      <c r="Q62" s="20">
        <f t="shared" si="53"/>
        <v>552.0119485135134</v>
      </c>
      <c r="R62" s="59">
        <f t="shared" si="0"/>
        <v>821.84165502641349</v>
      </c>
      <c r="S62" s="59">
        <f ca="1">AVERAGE(OFFSET($R$3,0,0,'Données projet'!$E$9+1,1))-AVERAGE(OFFSET($H$3,0,0,'Données projet'!$E$9+1,1))</f>
        <v>366.78396742205962</v>
      </c>
      <c r="T62" s="59">
        <f t="shared" si="34"/>
        <v>271.89887525994988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16.540778745329618</v>
      </c>
      <c r="AA62" s="21">
        <f>EXP(-LN(2)/25)*AA61+(1-EXP(-LN(2)/25))/(LN(2)/25)*Calculateur!V62*Calculateur!X62*VLOOKUP('Données projet'!$B$9,Paramètres!$A$1:$I$89,3,0)*0.475*44/12</f>
        <v>31.645323599013064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48.186102344342686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63.589919958063675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12.883999999999997</v>
      </c>
      <c r="AI62" s="13">
        <f>IF('Données projet'!$A$62&gt;35,AI61+AH62-AQ61,IF(A62&lt;'Données projet'!$A$62,$AF$205^A62,IF(A62='Données projet'!$A$62,'Données projet'!$B$62,AI61+AH62-AQ61)))</f>
        <v>322.44200000000041</v>
      </c>
      <c r="AJ62" s="13">
        <f>AI62*VLOOKUP('Données projet'!$B$10,Paramètres!$A$1:$I$89,3,0)*VLOOKUP('Données projet'!$B$10,Paramètres!$A$1:$I$89,5,0)</f>
        <v>150.90285600000018</v>
      </c>
      <c r="AK62" s="13">
        <f t="shared" si="35"/>
        <v>38.783691171847273</v>
      </c>
      <c r="AL62" s="20">
        <f t="shared" si="4"/>
        <v>330.37073632430099</v>
      </c>
      <c r="AM62" s="59">
        <f t="shared" si="5"/>
        <v>600.20044283720108</v>
      </c>
      <c r="AN62" s="59">
        <f ca="1">AVERAGE(OFFSET($AM$3,0,0,'Données projet'!$E$10+1,1))-AVERAGE(OFFSET($H$3,0,0,'Données projet'!$E$10+1,1))</f>
        <v>360.04137410460385</v>
      </c>
      <c r="AO62" s="59">
        <f t="shared" si="36"/>
        <v>287.81656468701829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34.945032267982562</v>
      </c>
      <c r="AV62" s="21">
        <f>EXP(-LN(2)/25)*AV61+(1-EXP(-LN(2)/25))/(LN(2)/25)*Calculateur!AQ62*Calculateur!AS62*VLOOKUP('Données projet'!$B$10,Paramètres!$A$1:$I$89,3,0)*0.475*44/12</f>
        <v>14.001435366027906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48.946467634010467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63.589919958063675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155.76430449447392</v>
      </c>
      <c r="BJ62" s="59">
        <f t="shared" si="38"/>
        <v>363.39275685992129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37.878719017664196</v>
      </c>
      <c r="BQ62" s="21">
        <f>EXP(-LN(2)/25)*BQ61+(1-EXP(-LN(2)/25))/(LN(2)/25)*Calculateur!BL62*Calculateur!BN62*VLOOKUP('Données projet'!$B$11,Paramètres!$A$1:$I$89,3,0)*0.475*44/12</f>
        <v>7.7467465087013405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45.625465526365538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63.589919958063675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9.2524999999999977</v>
      </c>
      <c r="BY62" s="12">
        <f>IF('Données projet'!$A$114&gt;35,BY61+BX62-CG61,IF(A62&lt;'Données projet'!$A$114,$BV$205^A62,IF(A62='Données projet'!$A$114,'Données projet'!$B$114,BY61+BX62-CG61)))</f>
        <v>200.19250000000019</v>
      </c>
      <c r="BZ62" s="13">
        <f>BY62*VLOOKUP('Données projet'!$B$12,Paramètres!$A$1:$I$89,3,0)*VLOOKUP('Données projet'!$B$12,Paramètres!$A$1:$I$89,5,0)</f>
        <v>202.99519500000022</v>
      </c>
      <c r="CA62" s="13">
        <f t="shared" si="39"/>
        <v>50.40185036856122</v>
      </c>
      <c r="CB62" s="20">
        <f t="shared" si="10"/>
        <v>441.33318735024449</v>
      </c>
      <c r="CC62" s="59">
        <f t="shared" si="11"/>
        <v>711.16289386314463</v>
      </c>
      <c r="CD62" s="59">
        <f ca="1">AVERAGE(OFFSET($CC$3,0,0,'Données projet'!$E$12+1,1))-AVERAGE(OFFSET($H$3,0,0,'Données projet'!$E$12+1,1))</f>
        <v>679.4570479719705</v>
      </c>
      <c r="CE62" s="59">
        <f t="shared" si="40"/>
        <v>310.8252119379963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15.136724937415535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15.136724937415535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63.589919958063675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>
        <f>CT62*VLOOKUP('Données projet'!$B$13,Paramètres!$A$1:$I$89,3,0)*VLOOKUP('Données projet'!$B$13,Paramètres!$A$1:$I$89,5,0)</f>
        <v>0</v>
      </c>
      <c r="CV62" s="13" t="e">
        <f t="shared" si="41"/>
        <v>#NUM!</v>
      </c>
      <c r="CW62" s="20" t="e">
        <f t="shared" si="13"/>
        <v>#NUM!</v>
      </c>
      <c r="CX62" s="59" t="e">
        <f t="shared" si="14"/>
        <v>#NUM!</v>
      </c>
      <c r="CY62" s="59">
        <f ca="1">AVERAGE(OFFSET($CX$3,0,0,'Données projet'!$E$13+1,1))-AVERAGE(OFFSET($H$3,0,0,'Données projet'!$E$13+1,1))</f>
        <v>146.95547268081216</v>
      </c>
      <c r="CZ62" s="59">
        <f t="shared" si="42"/>
        <v>343.21355872318065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35.438678835544721</v>
      </c>
      <c r="DG62" s="21">
        <f>EXP(-LN(2)/25)*DG61+(1-EXP(-LN(2)/25))/(LN(2)/25)*Calculateur!DB62*Calculateur!DD62*VLOOKUP('Données projet'!$B$13,Paramètres!$A$1:$I$89,3,0)*0.475*44/12</f>
        <v>7.2477229605948104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42.686401796139535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63.589919958063675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63.589919958063675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63.589919958063675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63.589919958063675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63.589919958063675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3.5999999999999996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13.199999999999998</v>
      </c>
      <c r="H63" s="67">
        <f t="shared" si="1"/>
        <v>203.86666666666667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63.701120515999207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440.94</v>
      </c>
      <c r="L63" s="12">
        <f>VLOOKUP(A63,'Données projet'!$A$35:$I$55,9,0)</f>
        <v>14.12</v>
      </c>
      <c r="M63" s="12">
        <f t="array" ref="M63">INDEX(L:L,MIN(IF(ISNUMBER(L63:L259),ROW(L63:L259),"")))</f>
        <v>14.12</v>
      </c>
      <c r="N63" s="13">
        <f>IF('Données projet'!$A$36&gt;35,N62+M63-V62,IF(A63&lt;'Données projet'!$A$36,$K$205^A63,IF(A63='Données projet'!$A$36,'Données projet'!$B$36,N62+M63-V62)))</f>
        <v>440.94000000000023</v>
      </c>
      <c r="O63" s="13">
        <f>N63*VLOOKUP('Données projet'!$B$9,Paramètres!$A$1:$I$89,3,0)*VLOOKUP('Données projet'!$B$9,Paramètres!$A$1:$I$89,5,0)</f>
        <v>263.68212000000017</v>
      </c>
      <c r="P63" s="13">
        <f t="shared" si="33"/>
        <v>63.506613606650063</v>
      </c>
      <c r="Q63" s="20">
        <f t="shared" si="53"/>
        <v>569.85371103158241</v>
      </c>
      <c r="R63" s="59">
        <f t="shared" si="0"/>
        <v>840.09115292357956</v>
      </c>
      <c r="S63" s="59">
        <f ca="1">AVERAGE(OFFSET($R$3,0,0,'Données projet'!$E$9+1,1))-AVERAGE(OFFSET($H$3,0,0,'Données projet'!$E$9+1,1))</f>
        <v>366.78396742205962</v>
      </c>
      <c r="T63" s="59">
        <f t="shared" si="34"/>
        <v>271.89887525994988</v>
      </c>
      <c r="U63" s="15">
        <f>IF(ISNA(VLOOKUP(A63,'Données projet'!$A$35:$I$55,3,0)),0,VLOOKUP(A63,'Données projet'!$A$35:$I$55,3,0))</f>
        <v>6</v>
      </c>
      <c r="V63" s="15">
        <f>IF(ISNA(VLOOKUP(A63,'Données projet'!$A$35:$I$55,4,0)),0,VLOOKUP(A63,'Données projet'!$A$35:$I$55,4,0))</f>
        <v>69.849999999999994</v>
      </c>
      <c r="W63" s="16">
        <f>IF(ISNA(VLOOKUP(A63,'Données projet'!$A$35:$I$55,5,0)),0%,VLOOKUP(A63,'Données projet'!$A$35:$I$55,5,0)*VLOOKUP('Données projet'!$B$9,Paramètres!$A$1:$I$89,7,0))</f>
        <v>0.315</v>
      </c>
      <c r="X63" s="16">
        <f>IF(ISNA(VLOOKUP(A63,'Données projet'!$A$35:$I$55,6,0)),0%,VLOOKUP(A63,'Données projet'!$A$35:$I$55,6,0)*VLOOKUP('Données projet'!$B$9,Paramètres!$A$1:$I$89,7,0))</f>
        <v>0.13500000000000001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33.670887674022104</v>
      </c>
      <c r="AA63" s="21">
        <f>EXP(-LN(2)/25)*AA62+(1-EXP(-LN(2)/25))/(LN(2)/25)*Calculateur!V63*Calculateur!X63*VLOOKUP('Données projet'!$B$9,Paramètres!$A$1:$I$89,3,0)*0.475*44/12</f>
        <v>38.231011405683404</v>
      </c>
      <c r="AB63" s="21">
        <f>EXP(-LN(2)/2)*AB62+(1-EXP(-LN(2)/2))/(LN(2)/2)*V63*Y63*VLOOKUP('Données projet'!$B$9,Paramètres!$A$1:$I$89,3,0)*0.475*44/12</f>
        <v>0</v>
      </c>
      <c r="AC63" s="22">
        <f t="shared" si="3"/>
        <v>71.901899079705515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63.701120515999207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12.883999999999997</v>
      </c>
      <c r="AI63" s="13">
        <f>IF('Données projet'!$A$62&gt;35,AI62+AH63-AQ62,IF(A63&lt;'Données projet'!$A$62,$AF$205^A63,IF(A63='Données projet'!$A$62,'Données projet'!$B$62,AI62+AH63-AQ62)))</f>
        <v>335.32600000000042</v>
      </c>
      <c r="AJ63" s="13">
        <f>AI63*VLOOKUP('Données projet'!$B$10,Paramètres!$A$1:$I$89,3,0)*VLOOKUP('Données projet'!$B$10,Paramètres!$A$1:$I$89,5,0)</f>
        <v>156.9325680000002</v>
      </c>
      <c r="AK63" s="13">
        <f t="shared" si="35"/>
        <v>40.149870021630669</v>
      </c>
      <c r="AL63" s="20">
        <f t="shared" si="4"/>
        <v>343.25191288767377</v>
      </c>
      <c r="AM63" s="59">
        <f t="shared" si="5"/>
        <v>613.48935477967086</v>
      </c>
      <c r="AN63" s="59">
        <f ca="1">AVERAGE(OFFSET($AM$3,0,0,'Données projet'!$E$10+1,1))-AVERAGE(OFFSET($H$3,0,0,'Données projet'!$E$10+1,1))</f>
        <v>360.04137410460385</v>
      </c>
      <c r="AO63" s="59">
        <f t="shared" si="36"/>
        <v>287.81656468701829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34.25978149957249</v>
      </c>
      <c r="AV63" s="21">
        <f>EXP(-LN(2)/25)*AV62+(1-EXP(-LN(2)/25))/(LN(2)/25)*Calculateur!AQ63*Calculateur!AS63*VLOOKUP('Données projet'!$B$10,Paramètres!$A$1:$I$89,3,0)*0.475*44/12</f>
        <v>13.618565379640387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47.878346879212877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63.701120515999207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155.76430449447392</v>
      </c>
      <c r="BJ63" s="59">
        <f t="shared" si="38"/>
        <v>363.39275685992129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37.135940441465095</v>
      </c>
      <c r="BQ63" s="21">
        <f>EXP(-LN(2)/25)*BQ62+(1-EXP(-LN(2)/25))/(LN(2)/25)*Calculateur!BL63*Calculateur!BN63*VLOOKUP('Données projet'!$B$11,Paramètres!$A$1:$I$89,3,0)*0.475*44/12</f>
        <v>7.5349113180372091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44.670851759502305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63.701120515999207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9.2524999999999977</v>
      </c>
      <c r="BY63" s="12">
        <f>IF('Données projet'!$A$114&gt;35,BY62+BX63-CG62,IF(A63&lt;'Données projet'!$A$114,$BV$205^A63,IF(A63='Données projet'!$A$114,'Données projet'!$B$114,BY62+BX63-CG62)))</f>
        <v>209.44500000000019</v>
      </c>
      <c r="BZ63" s="13">
        <f>BY63*VLOOKUP('Données projet'!$B$12,Paramètres!$A$1:$I$89,3,0)*VLOOKUP('Données projet'!$B$12,Paramètres!$A$1:$I$89,5,0)</f>
        <v>212.3772300000002</v>
      </c>
      <c r="CA63" s="13">
        <f t="shared" si="39"/>
        <v>52.454729443519689</v>
      </c>
      <c r="CB63" s="20">
        <f t="shared" si="10"/>
        <v>461.24899603079712</v>
      </c>
      <c r="CC63" s="59">
        <f t="shared" si="11"/>
        <v>731.48643792279427</v>
      </c>
      <c r="CD63" s="59">
        <f ca="1">AVERAGE(OFFSET($CC$3,0,0,'Données projet'!$E$12+1,1))-AVERAGE(OFFSET($H$3,0,0,'Données projet'!$E$12+1,1))</f>
        <v>679.4570479719705</v>
      </c>
      <c r="CE63" s="59">
        <f t="shared" si="40"/>
        <v>310.8252119379963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14.839902993883396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14.839902993883396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63.701120515999207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>
        <f>CT63*VLOOKUP('Données projet'!$B$13,Paramètres!$A$1:$I$89,3,0)*VLOOKUP('Données projet'!$B$13,Paramètres!$A$1:$I$89,5,0)</f>
        <v>0</v>
      </c>
      <c r="CV63" s="13" t="e">
        <f t="shared" si="41"/>
        <v>#NUM!</v>
      </c>
      <c r="CW63" s="20" t="e">
        <f t="shared" si="13"/>
        <v>#NUM!</v>
      </c>
      <c r="CX63" s="59" t="e">
        <f t="shared" si="14"/>
        <v>#NUM!</v>
      </c>
      <c r="CY63" s="59">
        <f ca="1">AVERAGE(OFFSET($CX$3,0,0,'Données projet'!$E$13+1,1))-AVERAGE(OFFSET($H$3,0,0,'Données projet'!$E$13+1,1))</f>
        <v>146.95547268081216</v>
      </c>
      <c r="CZ63" s="59">
        <f t="shared" si="42"/>
        <v>343.21355872318065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34.743747959039432</v>
      </c>
      <c r="DG63" s="21">
        <f>EXP(-LN(2)/25)*DG62+(1-EXP(-LN(2)/25))/(LN(2)/25)*Calculateur!DB63*Calculateur!DD63*VLOOKUP('Données projet'!$B$13,Paramètres!$A$1:$I$89,3,0)*0.475*44/12</f>
        <v>7.0495335950961593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41.793281554135589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63.701120515999207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63.701120515999207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63.701120515999207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63.701120515999207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63.701120515999207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3.5999999999999996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13.199999999999998</v>
      </c>
      <c r="H64" s="67">
        <f t="shared" si="1"/>
        <v>203.86666666666667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63.81039199286176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11.896999999999997</v>
      </c>
      <c r="N64" s="13">
        <f>IF('Données projet'!$A$36&gt;35,N63+M64-V63,IF(A64&lt;'Données projet'!$A$36,$K$205^A64,IF(A64='Données projet'!$A$36,'Données projet'!$B$36,N63+M64-V63)))</f>
        <v>382.98700000000019</v>
      </c>
      <c r="O64" s="13">
        <f>N64*VLOOKUP('Données projet'!$B$9,Paramètres!$A$1:$I$89,3,0)*VLOOKUP('Données projet'!$B$9,Paramètres!$A$1:$I$89,5,0)</f>
        <v>229.02622600000012</v>
      </c>
      <c r="P64" s="13">
        <f t="shared" si="33"/>
        <v>56.072076861881605</v>
      </c>
      <c r="Q64" s="20">
        <f t="shared" si="53"/>
        <v>496.54621081777736</v>
      </c>
      <c r="R64" s="59">
        <f t="shared" si="0"/>
        <v>767.18431479160381</v>
      </c>
      <c r="S64" s="59">
        <f ca="1">AVERAGE(OFFSET($R$3,0,0,'Données projet'!$E$9+1,1))-AVERAGE(OFFSET($H$3,0,0,'Données projet'!$E$9+1,1))</f>
        <v>366.78396742205962</v>
      </c>
      <c r="T64" s="59">
        <f t="shared" si="34"/>
        <v>271.89887525994988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33.01062210394813</v>
      </c>
      <c r="AA64" s="21">
        <f>EXP(-LN(2)/25)*AA63+(1-EXP(-LN(2)/25))/(LN(2)/25)*Calculateur!V64*Calculateur!X64*VLOOKUP('Données projet'!$B$9,Paramètres!$A$1:$I$89,3,0)*0.475*44/12</f>
        <v>37.185582388313478</v>
      </c>
      <c r="AB64" s="21">
        <f>EXP(-LN(2)/2)*AB63+(1-EXP(-LN(2)/2))/(LN(2)/2)*V64*Y64*VLOOKUP('Données projet'!$B$9,Paramètres!$A$1:$I$89,3,0)*0.475*44/12</f>
        <v>0</v>
      </c>
      <c r="AC64" s="22">
        <f t="shared" si="3"/>
        <v>70.196204492261614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63.81039199286176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>
        <f>VLOOKUP(A64,'Données projet'!$A$61:$I$81,2,0)</f>
        <v>348.21</v>
      </c>
      <c r="AG64" s="12">
        <f>VLOOKUP(A64,'Données projet'!$A$61:$I$81,9,0)</f>
        <v>12.883999999999997</v>
      </c>
      <c r="AH64" s="12">
        <f t="array" ref="AH64">INDEX(AG:AG,MIN(IF(ISNUMBER(AG64:AG260),ROW(AG64:AG260),"")))</f>
        <v>12.883999999999997</v>
      </c>
      <c r="AI64" s="13">
        <f>IF('Données projet'!$A$62&gt;35,AI63+AH64-AQ63,IF(A64&lt;'Données projet'!$A$62,$AF$205^A64,IF(A64='Données projet'!$A$62,'Données projet'!$B$62,AI63+AH64-AQ63)))</f>
        <v>348.21000000000043</v>
      </c>
      <c r="AJ64" s="13">
        <f>AI64*VLOOKUP('Données projet'!$B$10,Paramètres!$A$1:$I$89,3,0)*VLOOKUP('Données projet'!$B$10,Paramètres!$A$1:$I$89,5,0)</f>
        <v>162.96228000000019</v>
      </c>
      <c r="AK64" s="13">
        <f t="shared" si="35"/>
        <v>41.509950889873885</v>
      </c>
      <c r="AL64" s="20">
        <f t="shared" si="4"/>
        <v>356.12246879986401</v>
      </c>
      <c r="AM64" s="59">
        <f t="shared" si="5"/>
        <v>626.76057277369046</v>
      </c>
      <c r="AN64" s="59">
        <f ca="1">AVERAGE(OFFSET($AM$3,0,0,'Données projet'!$E$10+1,1))-AVERAGE(OFFSET($H$3,0,0,'Données projet'!$E$10+1,1))</f>
        <v>360.04137410460385</v>
      </c>
      <c r="AO64" s="59">
        <f t="shared" si="36"/>
        <v>287.81656468701829</v>
      </c>
      <c r="AP64" s="15">
        <f>IF(ISNA(VLOOKUP(A64,'Données projet'!$A$61:$I$81,3,0)),0,VLOOKUP(A64,'Données projet'!$A$61:$I$81,3,0))</f>
        <v>2</v>
      </c>
      <c r="AQ64" s="15">
        <f>IF(ISNA(VLOOKUP(A64,'Données projet'!$A$61:$I$81,4,0)),0,VLOOKUP(A64,'Données projet'!$A$61:$I$81,4,0))</f>
        <v>100.2</v>
      </c>
      <c r="AR64" s="16">
        <f>IF(ISNA(VLOOKUP(A64,'Données projet'!$A$61:$I$81,5,0)),0%,VLOOKUP(A64,'Données projet'!$A$61:$I$81,5,0)*VLOOKUP('Données projet'!$B$10,Paramètres!$A$1:$I$89,7,0))</f>
        <v>0.38500000000000001</v>
      </c>
      <c r="AS64" s="16">
        <f>IF(ISNA(VLOOKUP(A64,'Données projet'!$A$61:$I$81,6,0)),0%,VLOOKUP(A64,'Données projet'!$A$61:$I$81,6,0)*VLOOKUP('Données projet'!$B$10,Paramètres!$A$1:$I$89,7,0))</f>
        <v>0.16500000000000001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57.537810515595091</v>
      </c>
      <c r="AV64" s="21">
        <f>EXP(-LN(2)/25)*AV63+(1-EXP(-LN(2)/25))/(LN(2)/25)*Calculateur!AQ64*Calculateur!AS64*VLOOKUP('Données projet'!$B$10,Paramètres!$A$1:$I$89,3,0)*0.475*44/12</f>
        <v>23.469969041545411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81.007779557140509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63.81039199286176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155.76430449447392</v>
      </c>
      <c r="BJ64" s="59">
        <f t="shared" si="38"/>
        <v>363.39275685992129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36.407727300095061</v>
      </c>
      <c r="BQ64" s="21">
        <f>EXP(-LN(2)/25)*BQ63+(1-EXP(-LN(2)/25))/(LN(2)/25)*Calculateur!BL64*Calculateur!BN64*VLOOKUP('Données projet'!$B$11,Paramètres!$A$1:$I$89,3,0)*0.475*44/12</f>
        <v>7.3288687718017167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43.736596071896777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63.81039199286176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9.2524999999999977</v>
      </c>
      <c r="BY64" s="12">
        <f>IF('Données projet'!$A$114&gt;35,BY63+BX64-CG63,IF(A64&lt;'Données projet'!$A$114,$BV$205^A64,IF(A64='Données projet'!$A$114,'Données projet'!$B$114,BY63+BX64-CG63)))</f>
        <v>218.69750000000019</v>
      </c>
      <c r="BZ64" s="13">
        <f>BY64*VLOOKUP('Données projet'!$B$12,Paramètres!$A$1:$I$89,3,0)*VLOOKUP('Données projet'!$B$12,Paramètres!$A$1:$I$89,5,0)</f>
        <v>221.7592650000002</v>
      </c>
      <c r="CA64" s="13">
        <f t="shared" si="39"/>
        <v>54.497075847509379</v>
      </c>
      <c r="CB64" s="20">
        <f t="shared" si="10"/>
        <v>481.14646030941248</v>
      </c>
      <c r="CC64" s="59">
        <f t="shared" si="11"/>
        <v>751.78456428323898</v>
      </c>
      <c r="CD64" s="59">
        <f ca="1">AVERAGE(OFFSET($CC$3,0,0,'Données projet'!$E$12+1,1))-AVERAGE(OFFSET($H$3,0,0,'Données projet'!$E$12+1,1))</f>
        <v>679.4570479719705</v>
      </c>
      <c r="CE64" s="59">
        <f t="shared" si="40"/>
        <v>310.8252119379963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14.548901547620412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14.548901547620412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63.81039199286176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>
        <f>CT64*VLOOKUP('Données projet'!$B$13,Paramètres!$A$1:$I$89,3,0)*VLOOKUP('Données projet'!$B$13,Paramètres!$A$1:$I$89,5,0)</f>
        <v>0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146.95547268081216</v>
      </c>
      <c r="CZ64" s="59">
        <f t="shared" si="42"/>
        <v>343.21355872318065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34.062444253156428</v>
      </c>
      <c r="DG64" s="21">
        <f>EXP(-LN(2)/25)*DG63+(1-EXP(-LN(2)/25))/(LN(2)/25)*Calculateur!DB64*Calculateur!DD64*VLOOKUP('Données projet'!$B$13,Paramètres!$A$1:$I$89,3,0)*0.475*44/12</f>
        <v>6.8567637282193949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40.91920798137582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63.81039199286176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63.81039199286176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63.81039199286176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63.81039199286176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63.81039199286176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3.5999999999999996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13.199999999999998</v>
      </c>
      <c r="H65" s="67">
        <f t="shared" si="1"/>
        <v>203.86666666666667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63.917767853895171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11.896999999999997</v>
      </c>
      <c r="N65" s="13">
        <f>IF('Données projet'!$A$36&gt;35,N64+M65-V64,IF(A65&lt;'Données projet'!$A$36,$K$205^A65,IF(A65='Données projet'!$A$36,'Données projet'!$B$36,N64+M65-V64)))</f>
        <v>394.88400000000019</v>
      </c>
      <c r="O65" s="13">
        <f>N65*VLOOKUP('Données projet'!$B$9,Paramètres!$A$1:$I$89,3,0)*VLOOKUP('Données projet'!$B$9,Paramètres!$A$1:$I$89,5,0)</f>
        <v>236.14063200000015</v>
      </c>
      <c r="P65" s="13">
        <f t="shared" si="33"/>
        <v>57.608386833134347</v>
      </c>
      <c r="Q65" s="20">
        <f t="shared" si="53"/>
        <v>511.61287446770933</v>
      </c>
      <c r="R65" s="59">
        <f t="shared" si="0"/>
        <v>782.64468993199159</v>
      </c>
      <c r="S65" s="59">
        <f ca="1">AVERAGE(OFFSET($R$3,0,0,'Données projet'!$E$9+1,1))-AVERAGE(OFFSET($H$3,0,0,'Données projet'!$E$9+1,1))</f>
        <v>366.78396742205962</v>
      </c>
      <c r="T65" s="59">
        <f t="shared" si="34"/>
        <v>271.89887525994988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32.363303938981076</v>
      </c>
      <c r="AA65" s="21">
        <f>EXP(-LN(2)/25)*AA64+(1-EXP(-LN(2)/25))/(LN(2)/25)*Calculateur!V65*Calculateur!X65*VLOOKUP('Données projet'!$B$9,Paramètres!$A$1:$I$89,3,0)*0.475*44/12</f>
        <v>36.168740682400255</v>
      </c>
      <c r="AB65" s="21">
        <f>EXP(-LN(2)/2)*AB64+(1-EXP(-LN(2)/2))/(LN(2)/2)*V65*Y65*VLOOKUP('Données projet'!$B$9,Paramètres!$A$1:$I$89,3,0)*0.475*44/12</f>
        <v>0</v>
      </c>
      <c r="AC65" s="22">
        <f t="shared" si="3"/>
        <v>68.532044621381331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63.917767853895171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11.868333333333334</v>
      </c>
      <c r="AI65" s="13">
        <f>IF('Données projet'!$A$62&gt;35,AI64+AH65-AQ64,IF(A65&lt;'Données projet'!$A$62,$AF$205^A65,IF(A65='Données projet'!$A$62,'Données projet'!$B$62,AI64+AH65-AQ64)))</f>
        <v>259.87833333333379</v>
      </c>
      <c r="AJ65" s="13">
        <f>AI65*VLOOKUP('Données projet'!$B$10,Paramètres!$A$1:$I$89,3,0)*VLOOKUP('Données projet'!$B$10,Paramètres!$A$1:$I$89,5,0)</f>
        <v>121.62306000000021</v>
      </c>
      <c r="AK65" s="13">
        <f t="shared" si="35"/>
        <v>32.053254884491679</v>
      </c>
      <c r="AL65" s="20">
        <f t="shared" si="4"/>
        <v>267.65291509049001</v>
      </c>
      <c r="AM65" s="59">
        <f t="shared" si="5"/>
        <v>538.68473055477227</v>
      </c>
      <c r="AN65" s="59">
        <f ca="1">AVERAGE(OFFSET($AM$3,0,0,'Données projet'!$E$10+1,1))-AVERAGE(OFFSET($H$3,0,0,'Données projet'!$E$10+1,1))</f>
        <v>360.04137410460385</v>
      </c>
      <c r="AO65" s="59">
        <f t="shared" si="36"/>
        <v>287.81656468701829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56.409529145983385</v>
      </c>
      <c r="AV65" s="21">
        <f>EXP(-LN(2)/25)*AV64+(1-EXP(-LN(2)/25))/(LN(2)/25)*Calculateur!AQ65*Calculateur!AS65*VLOOKUP('Données projet'!$B$10,Paramètres!$A$1:$I$89,3,0)*0.475*44/12</f>
        <v>22.828181503872322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79.2377106498557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63.917767853895171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155.76430449447392</v>
      </c>
      <c r="BJ65" s="59">
        <f t="shared" si="38"/>
        <v>363.39275685992129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35.693793974261141</v>
      </c>
      <c r="BQ65" s="21">
        <f>EXP(-LN(2)/25)*BQ64+(1-EXP(-LN(2)/25))/(LN(2)/25)*Calculateur!BL65*Calculateur!BN65*VLOOKUP('Données projet'!$B$11,Paramètres!$A$1:$I$89,3,0)*0.475*44/12</f>
        <v>7.1284604698283403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42.822254444089481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63.917767853895171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9.2524999999999977</v>
      </c>
      <c r="BY65" s="12">
        <f>IF('Données projet'!$A$114&gt;35,BY64+BX65-CG64,IF(A65&lt;'Données projet'!$A$114,$BV$205^A65,IF(A65='Données projet'!$A$114,'Données projet'!$B$114,BY64+BX65-CG64)))</f>
        <v>227.95000000000019</v>
      </c>
      <c r="BZ65" s="13">
        <f>BY65*VLOOKUP('Données projet'!$B$12,Paramètres!$A$1:$I$89,3,0)*VLOOKUP('Données projet'!$B$12,Paramètres!$A$1:$I$89,5,0)</f>
        <v>231.1413000000002</v>
      </c>
      <c r="CA65" s="13">
        <f t="shared" si="39"/>
        <v>56.529386137528874</v>
      </c>
      <c r="CB65" s="20">
        <f t="shared" si="10"/>
        <v>501.02644502286307</v>
      </c>
      <c r="CC65" s="59">
        <f t="shared" si="11"/>
        <v>772.05826048714539</v>
      </c>
      <c r="CD65" s="59">
        <f ca="1">AVERAGE(OFFSET($CC$3,0,0,'Données projet'!$E$12+1,1))-AVERAGE(OFFSET($H$3,0,0,'Données projet'!$E$12+1,1))</f>
        <v>679.4570479719705</v>
      </c>
      <c r="CE65" s="59">
        <f t="shared" si="40"/>
        <v>310.8252119379963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14.26360646222529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14.26360646222529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63.917767853895171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>
        <f>CT65*VLOOKUP('Données projet'!$B$13,Paramètres!$A$1:$I$89,3,0)*VLOOKUP('Données projet'!$B$13,Paramètres!$A$1:$I$89,5,0)</f>
        <v>0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146.95547268081216</v>
      </c>
      <c r="CZ65" s="59">
        <f t="shared" si="42"/>
        <v>343.21355872318065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33.394500497391562</v>
      </c>
      <c r="DG65" s="21">
        <f>EXP(-LN(2)/25)*DG64+(1-EXP(-LN(2)/25))/(LN(2)/25)*Calculateur!DB65*Calculateur!DD65*VLOOKUP('Données projet'!$B$13,Paramètres!$A$1:$I$89,3,0)*0.475*44/12</f>
        <v>6.6692651634897029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40.063765660881266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63.917767853895171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63.917767853895171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63.917767853895171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63.917767853895171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63.917767853895171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3.5999999999999996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13.199999999999998</v>
      </c>
      <c r="H66" s="67">
        <f t="shared" si="1"/>
        <v>203.86666666666667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64.023280983796099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11.896999999999997</v>
      </c>
      <c r="N66" s="13">
        <f>IF('Données projet'!$A$36&gt;35,N65+M66-V65,IF(A66&lt;'Données projet'!$A$36,$K$205^A66,IF(A66='Données projet'!$A$36,'Données projet'!$B$36,N65+M66-V65)))</f>
        <v>406.78100000000018</v>
      </c>
      <c r="O66" s="13">
        <f>N66*VLOOKUP('Données projet'!$B$9,Paramètres!$A$1:$I$89,3,0)*VLOOKUP('Données projet'!$B$9,Paramètres!$A$1:$I$89,5,0)</f>
        <v>243.25503800000013</v>
      </c>
      <c r="P66" s="13">
        <f t="shared" si="33"/>
        <v>59.139317725784991</v>
      </c>
      <c r="Q66" s="20">
        <f t="shared" si="53"/>
        <v>526.6701695557424</v>
      </c>
      <c r="R66" s="59">
        <f t="shared" si="0"/>
        <v>798.08886649632814</v>
      </c>
      <c r="S66" s="59">
        <f ca="1">AVERAGE(OFFSET($R$3,0,0,'Données projet'!$E$9+1,1))-AVERAGE(OFFSET($H$3,0,0,'Données projet'!$E$9+1,1))</f>
        <v>366.78396742205962</v>
      </c>
      <c r="T66" s="59">
        <f t="shared" si="34"/>
        <v>271.89887525994988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31.728679288403931</v>
      </c>
      <c r="AA66" s="21">
        <f>EXP(-LN(2)/25)*AA65+(1-EXP(-LN(2)/25))/(LN(2)/25)*Calculateur!V66*Calculateur!X66*VLOOKUP('Données projet'!$B$9,Paramètres!$A$1:$I$89,3,0)*0.475*44/12</f>
        <v>35.17970456640861</v>
      </c>
      <c r="AB66" s="21">
        <f>EXP(-LN(2)/2)*AB65+(1-EXP(-LN(2)/2))/(LN(2)/2)*V66*Y66*VLOOKUP('Données projet'!$B$9,Paramètres!$A$1:$I$89,3,0)*0.475*44/12</f>
        <v>0</v>
      </c>
      <c r="AC66" s="22">
        <f t="shared" si="3"/>
        <v>66.908383854812541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64.023280983796099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11.868333333333334</v>
      </c>
      <c r="AI66" s="13">
        <f>IF('Données projet'!$A$62&gt;35,AI65+AH66-AQ65,IF(A66&lt;'Données projet'!$A$62,$AF$205^A66,IF(A66='Données projet'!$A$62,'Données projet'!$B$62,AI65+AH66-AQ65)))</f>
        <v>271.74666666666712</v>
      </c>
      <c r="AJ66" s="13">
        <f>AI66*VLOOKUP('Données projet'!$B$10,Paramètres!$A$1:$I$89,3,0)*VLOOKUP('Données projet'!$B$10,Paramètres!$A$1:$I$89,5,0)</f>
        <v>127.1774400000002</v>
      </c>
      <c r="AK66" s="13">
        <f t="shared" si="35"/>
        <v>33.34331769365982</v>
      </c>
      <c r="AL66" s="20">
        <f t="shared" si="4"/>
        <v>279.57365298312453</v>
      </c>
      <c r="AM66" s="59">
        <f t="shared" si="5"/>
        <v>550.99234992371021</v>
      </c>
      <c r="AN66" s="59">
        <f ca="1">AVERAGE(OFFSET($AM$3,0,0,'Données projet'!$E$10+1,1))-AVERAGE(OFFSET($H$3,0,0,'Données projet'!$E$10+1,1))</f>
        <v>360.04137410460385</v>
      </c>
      <c r="AO66" s="59">
        <f t="shared" si="36"/>
        <v>287.81656468701829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55.303372685846078</v>
      </c>
      <c r="AV66" s="21">
        <f>EXP(-LN(2)/25)*AV65+(1-EXP(-LN(2)/25))/(LN(2)/25)*Calculateur!AQ66*Calculateur!AS66*VLOOKUP('Données projet'!$B$10,Paramètres!$A$1:$I$89,3,0)*0.475*44/12</f>
        <v>22.203943680167043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77.507316366013129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64.023280983796099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155.76430449447392</v>
      </c>
      <c r="BJ66" s="59">
        <f t="shared" si="38"/>
        <v>363.39275685992129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34.99386044549049</v>
      </c>
      <c r="BQ66" s="21">
        <f>EXP(-LN(2)/25)*BQ65+(1-EXP(-LN(2)/25))/(LN(2)/25)*Calculateur!BL66*Calculateur!BN66*VLOOKUP('Données projet'!$B$11,Paramètres!$A$1:$I$89,3,0)*0.475*44/12</f>
        <v>6.9335323434114402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41.927392788901933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64.023280983796099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9.2524999999999977</v>
      </c>
      <c r="BY66" s="12">
        <f>IF('Données projet'!$A$114&gt;35,BY65+BX66-CG65,IF(A66&lt;'Données projet'!$A$114,$BV$205^A66,IF(A66='Données projet'!$A$114,'Données projet'!$B$114,BY65+BX66-CG65)))</f>
        <v>237.20250000000019</v>
      </c>
      <c r="BZ66" s="13">
        <f>BY66*VLOOKUP('Données projet'!$B$12,Paramètres!$A$1:$I$89,3,0)*VLOOKUP('Données projet'!$B$12,Paramètres!$A$1:$I$89,5,0)</f>
        <v>240.52333500000023</v>
      </c>
      <c r="CA66" s="13">
        <f t="shared" si="39"/>
        <v>58.552114278737164</v>
      </c>
      <c r="CB66" s="20">
        <f t="shared" si="10"/>
        <v>520.88974082713423</v>
      </c>
      <c r="CC66" s="59">
        <f t="shared" si="11"/>
        <v>792.30843776771985</v>
      </c>
      <c r="CD66" s="59">
        <f ca="1">AVERAGE(OFFSET($CC$3,0,0,'Données projet'!$E$12+1,1))-AVERAGE(OFFSET($H$3,0,0,'Données projet'!$E$12+1,1))</f>
        <v>679.4570479719705</v>
      </c>
      <c r="CE66" s="59">
        <f t="shared" si="40"/>
        <v>310.8252119379963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13.983905839441947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13.983905839441947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64.023280983796099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>
        <f>CT66*VLOOKUP('Données projet'!$B$13,Paramètres!$A$1:$I$89,3,0)*VLOOKUP('Données projet'!$B$13,Paramètres!$A$1:$I$89,5,0)</f>
        <v>0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146.95547268081216</v>
      </c>
      <c r="CZ66" s="59">
        <f t="shared" si="42"/>
        <v>343.21355872318065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32.739654711271783</v>
      </c>
      <c r="DG66" s="21">
        <f>EXP(-LN(2)/25)*DG65+(1-EXP(-LN(2)/25))/(LN(2)/25)*Calculateur!DB66*Calculateur!DD66*VLOOKUP('Données projet'!$B$13,Paramètres!$A$1:$I$89,3,0)*0.475*44/12</f>
        <v>6.4868937568726652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39.226548468144451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64.023280983796099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64.023280983796099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64.023280983796099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64.023280983796099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64.023280983796099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3.5999999999999996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13.199999999999998</v>
      </c>
      <c r="H67" s="67">
        <f t="shared" si="1"/>
        <v>203.86666666666667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64.126963696785296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11.896999999999997</v>
      </c>
      <c r="N67" s="13">
        <f>IF('Données projet'!$A$36&gt;35,N66+M67-V66,IF(A67&lt;'Données projet'!$A$36,$K$205^A67,IF(A67='Données projet'!$A$36,'Données projet'!$B$36,N66+M67-V66)))</f>
        <v>418.67800000000017</v>
      </c>
      <c r="O67" s="13">
        <f>N67*VLOOKUP('Données projet'!$B$9,Paramètres!$A$1:$I$89,3,0)*VLOOKUP('Données projet'!$B$9,Paramètres!$A$1:$I$89,5,0)</f>
        <v>250.36944400000013</v>
      </c>
      <c r="P67" s="13">
        <f t="shared" si="33"/>
        <v>60.665044924256527</v>
      </c>
      <c r="Q67" s="20">
        <f t="shared" ref="Q67:Q98" si="54">(O67+P67)*0.475*44/12</f>
        <v>541.71840154308029</v>
      </c>
      <c r="R67" s="59">
        <f t="shared" ref="R67:R130" si="55">Q67+(I67+J67)*44/12</f>
        <v>813.51726843129313</v>
      </c>
      <c r="S67" s="59">
        <f ca="1">AVERAGE(OFFSET($R$3,0,0,'Données projet'!$E$9+1,1))-AVERAGE(OFFSET($H$3,0,0,'Données projet'!$E$9+1,1))</f>
        <v>366.78396742205962</v>
      </c>
      <c r="T67" s="59">
        <f t="shared" si="34"/>
        <v>271.89887525994988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31.106499240141787</v>
      </c>
      <c r="AA67" s="21">
        <f>EXP(-LN(2)/25)*AA66+(1-EXP(-LN(2)/25))/(LN(2)/25)*Calculateur!V67*Calculateur!X67*VLOOKUP('Données projet'!$B$9,Paramètres!$A$1:$I$89,3,0)*0.475*44/12</f>
        <v>34.21771369501991</v>
      </c>
      <c r="AB67" s="21">
        <f>EXP(-LN(2)/2)*AB66+(1-EXP(-LN(2)/2))/(LN(2)/2)*V67*Y67*VLOOKUP('Données projet'!$B$9,Paramètres!$A$1:$I$89,3,0)*0.475*44/12</f>
        <v>0</v>
      </c>
      <c r="AC67" s="22">
        <f t="shared" si="3"/>
        <v>65.324212935161697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64.126963696785296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11.868333333333334</v>
      </c>
      <c r="AI67" s="13">
        <f>IF('Données projet'!$A$62&gt;35,AI66+AH67-AQ66,IF(A67&lt;'Données projet'!$A$62,$AF$205^A67,IF(A67='Données projet'!$A$62,'Données projet'!$B$62,AI66+AH67-AQ66)))</f>
        <v>283.61500000000046</v>
      </c>
      <c r="AJ67" s="13">
        <f>AI67*VLOOKUP('Données projet'!$B$10,Paramètres!$A$1:$I$89,3,0)*VLOOKUP('Données projet'!$B$10,Paramètres!$A$1:$I$89,5,0)</f>
        <v>132.73182000000023</v>
      </c>
      <c r="AK67" s="13">
        <f t="shared" si="35"/>
        <v>34.626836677073747</v>
      </c>
      <c r="AL67" s="20">
        <f t="shared" si="4"/>
        <v>291.48299371257053</v>
      </c>
      <c r="AM67" s="59">
        <f t="shared" si="5"/>
        <v>563.28186060078338</v>
      </c>
      <c r="AN67" s="59">
        <f ca="1">AVERAGE(OFFSET($AM$3,0,0,'Données projet'!$E$10+1,1))-AVERAGE(OFFSET($H$3,0,0,'Données projet'!$E$10+1,1))</f>
        <v>360.04137410460385</v>
      </c>
      <c r="AO67" s="59">
        <f t="shared" si="36"/>
        <v>287.81656468701829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54.218907279203243</v>
      </c>
      <c r="AV67" s="21">
        <f>EXP(-LN(2)/25)*AV66+(1-EXP(-LN(2)/25))/(LN(2)/25)*Calculateur!AQ67*Calculateur!AS67*VLOOKUP('Données projet'!$B$10,Paramètres!$A$1:$I$89,3,0)*0.475*44/12</f>
        <v>21.596775672578225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75.815682951781469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64.126963696785296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155.76430449447392</v>
      </c>
      <c r="BJ67" s="59">
        <f t="shared" si="38"/>
        <v>363.39275685992129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34.307652186301738</v>
      </c>
      <c r="BQ67" s="21">
        <f>EXP(-LN(2)/25)*BQ66+(1-EXP(-LN(2)/25))/(LN(2)/25)*Calculateur!BL67*Calculateur!BN67*VLOOKUP('Données projet'!$B$11,Paramètres!$A$1:$I$89,3,0)*0.475*44/12</f>
        <v>6.743934536862235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41.051586723163972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64.126963696785296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9.2524999999999977</v>
      </c>
      <c r="BY67" s="12">
        <f>IF('Données projet'!$A$114&gt;35,BY66+BX67-CG66,IF(A67&lt;'Données projet'!$A$114,$BV$205^A67,IF(A67='Données projet'!$A$114,'Données projet'!$B$114,BY66+BX67-CG66)))</f>
        <v>246.45500000000018</v>
      </c>
      <c r="BZ67" s="13">
        <f>BY67*VLOOKUP('Données projet'!$B$12,Paramètres!$A$1:$I$89,3,0)*VLOOKUP('Données projet'!$B$12,Paramètres!$A$1:$I$89,5,0)</f>
        <v>249.9053700000002</v>
      </c>
      <c r="CA67" s="13">
        <f t="shared" si="39"/>
        <v>60.565676815620975</v>
      </c>
      <c r="CB67" s="20">
        <f t="shared" si="10"/>
        <v>540.73707320387359</v>
      </c>
      <c r="CC67" s="59">
        <f t="shared" si="11"/>
        <v>812.53594009208632</v>
      </c>
      <c r="CD67" s="59">
        <f ca="1">AVERAGE(OFFSET($CC$3,0,0,'Données projet'!$E$12+1,1))-AVERAGE(OFFSET($H$3,0,0,'Données projet'!$E$12+1,1))</f>
        <v>679.4570479719705</v>
      </c>
      <c r="CE67" s="59">
        <f t="shared" si="40"/>
        <v>310.8252119379963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13.70968997527085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13.70968997527085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64.126963696785296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>
        <f>CT67*VLOOKUP('Données projet'!$B$13,Paramètres!$A$1:$I$89,3,0)*VLOOKUP('Données projet'!$B$13,Paramètres!$A$1:$I$89,5,0)</f>
        <v>0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146.95547268081216</v>
      </c>
      <c r="CZ67" s="59">
        <f t="shared" si="42"/>
        <v>343.21355872318065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32.09765005160132</v>
      </c>
      <c r="DG67" s="21">
        <f>EXP(-LN(2)/25)*DG66+(1-EXP(-LN(2)/25))/(LN(2)/25)*Calculateur!DB67*Calculateur!DD67*VLOOKUP('Données projet'!$B$13,Paramètres!$A$1:$I$89,3,0)*0.475*44/12</f>
        <v>6.3095093059600655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38.407159357561383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64.126963696785296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64.126963696785296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64.126963696785296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64.126963696785296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64.126963696785296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3.5999999999999996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13.199999999999998</v>
      </c>
      <c r="H68" s="67">
        <f t="shared" ref="H68:H131" si="56">(B68+E68+F68)*44/12+(C68+D68)*0.475*44/12</f>
        <v>203.86666666666667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64.228847746503931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11.896999999999997</v>
      </c>
      <c r="N68" s="13">
        <f>IF('Données projet'!$A$36&gt;35,N67+M68-V67,IF(A68&lt;'Données projet'!$A$36,$K$205^A68,IF(A68='Données projet'!$A$36,'Données projet'!$B$36,N67+M68-V67)))</f>
        <v>430.57500000000016</v>
      </c>
      <c r="O68" s="13">
        <f>N68*VLOOKUP('Données projet'!$B$9,Paramètres!$A$1:$I$89,3,0)*VLOOKUP('Données projet'!$B$9,Paramètres!$A$1:$I$89,5,0)</f>
        <v>257.48385000000013</v>
      </c>
      <c r="P68" s="13">
        <f t="shared" si="33"/>
        <v>62.185733278690435</v>
      </c>
      <c r="Q68" s="20">
        <f t="shared" si="54"/>
        <v>556.7578575437193</v>
      </c>
      <c r="R68" s="59">
        <f t="shared" si="55"/>
        <v>828.93029928090039</v>
      </c>
      <c r="S68" s="59">
        <f ca="1">AVERAGE(OFFSET($R$3,0,0,'Données projet'!$E$9+1,1))-AVERAGE(OFFSET($H$3,0,0,'Données projet'!$E$9+1,1))</f>
        <v>366.78396742205962</v>
      </c>
      <c r="T68" s="59">
        <f t="shared" si="34"/>
        <v>271.89887525994988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30.496519763133705</v>
      </c>
      <c r="AA68" s="21">
        <f>EXP(-LN(2)/25)*AA67+(1-EXP(-LN(2)/25))/(LN(2)/25)*Calculateur!V68*Calculateur!X68*VLOOKUP('Données projet'!$B$9,Paramètres!$A$1:$I$89,3,0)*0.475*44/12</f>
        <v>33.282028514598231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63.778548277731936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64.228847746503931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11.868333333333334</v>
      </c>
      <c r="AI68" s="13">
        <f>IF('Données projet'!$A$62&gt;35,AI67+AH68-AQ67,IF(A68&lt;'Données projet'!$A$62,$AF$205^A68,IF(A68='Données projet'!$A$62,'Données projet'!$B$62,AI67+AH68-AQ67)))</f>
        <v>295.4833333333338</v>
      </c>
      <c r="AJ68" s="13">
        <f>AI68*VLOOKUP('Données projet'!$B$10,Paramètres!$A$1:$I$89,3,0)*VLOOKUP('Données projet'!$B$10,Paramètres!$A$1:$I$89,5,0)</f>
        <v>138.28620000000021</v>
      </c>
      <c r="AK68" s="13">
        <f t="shared" si="35"/>
        <v>35.904116984770091</v>
      </c>
      <c r="AL68" s="20">
        <f t="shared" ref="AL68:AL131" si="58">(AJ68+AK68)*0.475*44/12</f>
        <v>303.3814687484749</v>
      </c>
      <c r="AM68" s="59">
        <f t="shared" ref="AM68:AM131" si="59">AL68+(AD68+AE68)*44/12</f>
        <v>575.55391048565593</v>
      </c>
      <c r="AN68" s="59">
        <f ca="1">AVERAGE(OFFSET($AM$3,0,0,'Données projet'!$E$10+1,1))-AVERAGE(OFFSET($H$3,0,0,'Données projet'!$E$10+1,1))</f>
        <v>360.04137410460385</v>
      </c>
      <c r="AO68" s="59">
        <f t="shared" si="36"/>
        <v>287.81656468701829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53.155707577726091</v>
      </c>
      <c r="AV68" s="21">
        <f>EXP(-LN(2)/25)*AV67+(1-EXP(-LN(2)/25))/(LN(2)/25)*Calculateur!AQ68*Calculateur!AS68*VLOOKUP('Données projet'!$B$10,Paramètres!$A$1:$I$89,3,0)*0.475*44/12</f>
        <v>21.006210706086502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74.161918283812597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64.228847746503931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155.76430449447392</v>
      </c>
      <c r="BJ68" s="59">
        <f t="shared" si="38"/>
        <v>363.39275685992129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33.634900052529964</v>
      </c>
      <c r="BQ68" s="21">
        <f>EXP(-LN(2)/25)*BQ67+(1-EXP(-LN(2)/25))/(LN(2)/25)*Calculateur!BL68*Calculateur!BN68*VLOOKUP('Données projet'!$B$11,Paramètres!$A$1:$I$89,3,0)*0.475*44/12</f>
        <v>6.559521292303633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40.1944213448336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64.228847746503931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9.2524999999999977</v>
      </c>
      <c r="BY68" s="12">
        <f>IF('Données projet'!$A$114&gt;35,BY67+BX68-CG67,IF(A68&lt;'Données projet'!$A$114,$BV$205^A68,IF(A68='Données projet'!$A$114,'Données projet'!$B$114,BY67+BX68-CG67)))</f>
        <v>255.70750000000018</v>
      </c>
      <c r="BZ68" s="13">
        <f>BY68*VLOOKUP('Données projet'!$B$12,Paramètres!$A$1:$I$89,3,0)*VLOOKUP('Données projet'!$B$12,Paramètres!$A$1:$I$89,5,0)</f>
        <v>259.28740500000021</v>
      </c>
      <c r="CA68" s="13">
        <f t="shared" si="39"/>
        <v>62.570457244776364</v>
      </c>
      <c r="CB68" s="20">
        <f t="shared" ref="CB68:CB131" si="64">(BZ68+CA68)*0.475*44/12</f>
        <v>560.56911007631913</v>
      </c>
      <c r="CC68" s="59">
        <f t="shared" ref="CC68:CC131" si="65">CB68+(BT68+BU68)*44/12</f>
        <v>832.74155181350022</v>
      </c>
      <c r="CD68" s="59">
        <f ca="1">AVERAGE(OFFSET($CC$3,0,0,'Données projet'!$E$12+1,1))-AVERAGE(OFFSET($H$3,0,0,'Données projet'!$E$12+1,1))</f>
        <v>679.4570479719705</v>
      </c>
      <c r="CE68" s="59">
        <f t="shared" si="40"/>
        <v>310.8252119379963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13.440851316940986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13.440851316940986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64.228847746503931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>
        <f>CT68*VLOOKUP('Données projet'!$B$13,Paramètres!$A$1:$I$89,3,0)*VLOOKUP('Données projet'!$B$13,Paramètres!$A$1:$I$89,5,0)</f>
        <v>0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146.95547268081216</v>
      </c>
      <c r="CZ68" s="59">
        <f t="shared" si="42"/>
        <v>343.21355872318065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31.468234711722818</v>
      </c>
      <c r="DG68" s="21">
        <f>EXP(-LN(2)/25)*DG67+(1-EXP(-LN(2)/25))/(LN(2)/25)*Calculateur!DB68*Calculateur!DD68*VLOOKUP('Données projet'!$B$13,Paramètres!$A$1:$I$89,3,0)*0.475*44/12</f>
        <v>6.1369754421859133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37.605210153908729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64.228847746503931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64.228847746503931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64.228847746503931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64.228847746503931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64.228847746503931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3.5999999999999996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13.199999999999998</v>
      </c>
      <c r="H69" s="67">
        <f t="shared" si="56"/>
        <v>203.86666666666667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64.328964335738561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11.896999999999997</v>
      </c>
      <c r="N69" s="13">
        <f>IF('Données projet'!$A$36&gt;35,N68+M69-V68,IF(A69&lt;'Données projet'!$A$36,$K$205^A69,IF(A69='Données projet'!$A$36,'Données projet'!$B$36,N68+M69-V68)))</f>
        <v>442.47200000000015</v>
      </c>
      <c r="O69" s="13">
        <f>N69*VLOOKUP('Données projet'!$B$9,Paramètres!$A$1:$I$89,3,0)*VLOOKUP('Données projet'!$B$9,Paramètres!$A$1:$I$89,5,0)</f>
        <v>264.59825600000011</v>
      </c>
      <c r="P69" s="13">
        <f t="shared" ref="P69:P132" si="87">EXP(-1.0587+0.8836*LN(O69)+0.284)</f>
        <v>63.701538011039567</v>
      </c>
      <c r="Q69" s="20">
        <f t="shared" si="54"/>
        <v>571.78880790256073</v>
      </c>
      <c r="R69" s="59">
        <f t="shared" si="55"/>
        <v>844.32834380026884</v>
      </c>
      <c r="S69" s="59">
        <f ca="1">AVERAGE(OFFSET($R$3,0,0,'Données projet'!$E$9+1,1))-AVERAGE(OFFSET($H$3,0,0,'Données projet'!$E$9+1,1))</f>
        <v>366.78396742205962</v>
      </c>
      <c r="T69" s="59">
        <f t="shared" ref="T69:T132" si="88">$T$3</f>
        <v>271.89887525994988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29.898501611619007</v>
      </c>
      <c r="AA69" s="21">
        <f>EXP(-LN(2)/25)*AA68+(1-EXP(-LN(2)/25))/(LN(2)/25)*Calculateur!V69*Calculateur!X69*VLOOKUP('Données projet'!$B$9,Paramètres!$A$1:$I$89,3,0)*0.475*44/12</f>
        <v>32.371929694640727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62.270431306259738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64.328964335738561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11.868333333333334</v>
      </c>
      <c r="AI69" s="13">
        <f>IF('Données projet'!$A$62&gt;35,AI68+AH69-AQ68,IF(A69&lt;'Données projet'!$A$62,$AF$205^A69,IF(A69='Données projet'!$A$62,'Données projet'!$B$62,AI68+AH69-AQ68)))</f>
        <v>307.35166666666714</v>
      </c>
      <c r="AJ69" s="13">
        <f>AI69*VLOOKUP('Données projet'!$B$10,Paramètres!$A$1:$I$89,3,0)*VLOOKUP('Données projet'!$B$10,Paramètres!$A$1:$I$89,5,0)</f>
        <v>143.84058000000022</v>
      </c>
      <c r="AK69" s="13">
        <f t="shared" ref="AK69:AK132" si="89">EXP(-1.0587+0.8836*LN(AJ69)+0.284)</f>
        <v>37.17543786612071</v>
      </c>
      <c r="AL69" s="20">
        <f t="shared" si="58"/>
        <v>315.26956445016066</v>
      </c>
      <c r="AM69" s="59">
        <f t="shared" si="59"/>
        <v>587.80910034786871</v>
      </c>
      <c r="AN69" s="59">
        <f ca="1">AVERAGE(OFFSET($AM$3,0,0,'Données projet'!$E$10+1,1))-AVERAGE(OFFSET($H$3,0,0,'Données projet'!$E$10+1,1))</f>
        <v>360.04137410460385</v>
      </c>
      <c r="AO69" s="59">
        <f t="shared" ref="AO69:AO132" si="90">$AO$3</f>
        <v>287.81656468701829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52.113356573907119</v>
      </c>
      <c r="AV69" s="21">
        <f>EXP(-LN(2)/25)*AV68+(1-EXP(-LN(2)/25))/(LN(2)/25)*Calculateur!AQ69*Calculateur!AS69*VLOOKUP('Données projet'!$B$10,Paramètres!$A$1:$I$89,3,0)*0.475*44/12</f>
        <v>20.431794769659955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72.545151343567071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64.328964335738561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155.76430449447392</v>
      </c>
      <c r="BJ69" s="59">
        <f t="shared" ref="BJ69:BJ132" si="92">$BJ$3</f>
        <v>363.39275685992129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32.975340177763172</v>
      </c>
      <c r="BQ69" s="21">
        <f>EXP(-LN(2)/25)*BQ68+(1-EXP(-LN(2)/25))/(LN(2)/25)*Calculateur!BL69*Calculateur!BN69*VLOOKUP('Données projet'!$B$11,Paramètres!$A$1:$I$89,3,0)*0.475*44/12</f>
        <v>6.3801508376153571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39.355491015378533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64.328964335738561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264.95999999999998</v>
      </c>
      <c r="BW69" s="12">
        <f>VLOOKUP(A69,'Données projet'!$A$113:$I$133,9,0)</f>
        <v>9.2524999999999977</v>
      </c>
      <c r="BX69" s="12">
        <f t="array" ref="BX69">INDEX(BW:BW,MIN(IF(ISNUMBER(BW69:BW265),ROW(BW69:BW265),"")))</f>
        <v>9.2524999999999977</v>
      </c>
      <c r="BY69" s="12">
        <f>IF('Données projet'!$A$114&gt;35,BY68+BX69-CG68,IF(A69&lt;'Données projet'!$A$114,$BV$205^A69,IF(A69='Données projet'!$A$114,'Données projet'!$B$114,BY68+BX69-CG68)))</f>
        <v>264.96000000000015</v>
      </c>
      <c r="BZ69" s="13">
        <f>BY69*VLOOKUP('Données projet'!$B$12,Paramètres!$A$1:$I$89,3,0)*VLOOKUP('Données projet'!$B$12,Paramètres!$A$1:$I$89,5,0)</f>
        <v>268.66944000000018</v>
      </c>
      <c r="CA69" s="13">
        <f t="shared" ref="CA69:CA132" si="93">EXP(-1.0587+0.8836*LN(BZ69)+0.284)</f>
        <v>64.566809737006352</v>
      </c>
      <c r="CB69" s="20">
        <f t="shared" si="64"/>
        <v>580.38646829195295</v>
      </c>
      <c r="CC69" s="59">
        <f t="shared" si="65"/>
        <v>852.92600418966094</v>
      </c>
      <c r="CD69" s="59">
        <f ca="1">AVERAGE(OFFSET($CC$3,0,0,'Données projet'!$E$12+1,1))-AVERAGE(OFFSET($H$3,0,0,'Données projet'!$E$12+1,1))</f>
        <v>679.4570479719705</v>
      </c>
      <c r="CE69" s="59">
        <f t="shared" ref="CE69:CE132" si="94">$CE$3</f>
        <v>310.8252119379963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49.91</v>
      </c>
      <c r="CH69" s="16">
        <f>IF(ISNA(VLOOKUP(A69,'Données projet'!$A$113:$I$133,5,0)),0%,VLOOKUP(A69,'Données projet'!$A$113:$I$133,5,0)*VLOOKUP('Données projet'!$B$12,Paramètres!$A$1:$I$89,7,0))</f>
        <v>0.25800000000000001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27.611471878720558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27.611471878720558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64.328964335738561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>
        <f>CT69*VLOOKUP('Données projet'!$B$13,Paramètres!$A$1:$I$89,3,0)*VLOOKUP('Données projet'!$B$13,Paramètres!$A$1:$I$89,5,0)</f>
        <v>0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146.95547268081216</v>
      </c>
      <c r="CZ69" s="59">
        <f t="shared" ref="CZ69:CZ132" si="96">$CZ$3</f>
        <v>343.21355872318065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30.851161822753884</v>
      </c>
      <c r="DG69" s="21">
        <f>EXP(-LN(2)/25)*DG68+(1-EXP(-LN(2)/25))/(LN(2)/25)*Calculateur!DB69*Calculateur!DD69*VLOOKUP('Données projet'!$B$13,Paramètres!$A$1:$I$89,3,0)*0.475*44/12</f>
        <v>5.9691595259898271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36.820321348743711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64.328964335738561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64.328964335738561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64.328964335738561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64.328964335738561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64.328964335738561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3.5999999999999996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13.199999999999998</v>
      </c>
      <c r="H70" s="67">
        <f t="shared" si="56"/>
        <v>203.86666666666667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64.427344125977129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11.896999999999997</v>
      </c>
      <c r="N70" s="13">
        <f>IF('Données projet'!$A$36&gt;35,N69+M70-V69,IF(A70&lt;'Données projet'!$A$36,$K$205^A70,IF(A70='Données projet'!$A$36,'Données projet'!$B$36,N69+M70-V69)))</f>
        <v>454.36900000000014</v>
      </c>
      <c r="O70" s="13">
        <f>N70*VLOOKUP('Données projet'!$B$9,Paramètres!$A$1:$I$89,3,0)*VLOOKUP('Données projet'!$B$9,Paramètres!$A$1:$I$89,5,0)</f>
        <v>271.71266200000014</v>
      </c>
      <c r="P70" s="13">
        <f t="shared" si="87"/>
        <v>65.212605520968935</v>
      </c>
      <c r="Q70" s="20">
        <f t="shared" si="54"/>
        <v>586.81150759902118</v>
      </c>
      <c r="R70" s="59">
        <f t="shared" si="55"/>
        <v>859.71176939427073</v>
      </c>
      <c r="S70" s="59">
        <f ca="1">AVERAGE(OFFSET($R$3,0,0,'Données projet'!$E$9+1,1))-AVERAGE(OFFSET($H$3,0,0,'Données projet'!$E$9+1,1))</f>
        <v>366.78396742205962</v>
      </c>
      <c r="T70" s="59">
        <f t="shared" si="88"/>
        <v>271.89887525994988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29.312210231300458</v>
      </c>
      <c r="AA70" s="21">
        <f>EXP(-LN(2)/25)*AA69+(1-EXP(-LN(2)/25))/(LN(2)/25)*Calculateur!V70*Calculateur!X70*VLOOKUP('Données projet'!$B$9,Paramètres!$A$1:$I$89,3,0)*0.475*44/12</f>
        <v>31.486717574774982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60.79892780607544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64.427344125977129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11.868333333333334</v>
      </c>
      <c r="AI70" s="13">
        <f>IF('Données projet'!$A$62&gt;35,AI69+AH70-AQ69,IF(A70&lt;'Données projet'!$A$62,$AF$205^A70,IF(A70='Données projet'!$A$62,'Données projet'!$B$62,AI69+AH70-AQ69)))</f>
        <v>319.22000000000048</v>
      </c>
      <c r="AJ70" s="13">
        <f>AI70*VLOOKUP('Données projet'!$B$10,Paramètres!$A$1:$I$89,3,0)*VLOOKUP('Données projet'!$B$10,Paramètres!$A$1:$I$89,5,0)</f>
        <v>149.39496000000022</v>
      </c>
      <c r="AK70" s="13">
        <f t="shared" si="89"/>
        <v>38.441055782895731</v>
      </c>
      <c r="AL70" s="20">
        <f t="shared" si="58"/>
        <v>327.14772748854381</v>
      </c>
      <c r="AM70" s="59">
        <f t="shared" si="59"/>
        <v>600.0479892837933</v>
      </c>
      <c r="AN70" s="59">
        <f ca="1">AVERAGE(OFFSET($AM$3,0,0,'Données projet'!$E$10+1,1))-AVERAGE(OFFSET($H$3,0,0,'Données projet'!$E$10+1,1))</f>
        <v>360.04137410460385</v>
      </c>
      <c r="AO70" s="59">
        <f t="shared" si="90"/>
        <v>287.81656468701829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51.091445437501704</v>
      </c>
      <c r="AV70" s="21">
        <f>EXP(-LN(2)/25)*AV69+(1-EXP(-LN(2)/25))/(LN(2)/25)*Calculateur!AQ70*Calculateur!AS70*VLOOKUP('Données projet'!$B$10,Paramètres!$A$1:$I$89,3,0)*0.475*44/12</f>
        <v>19.873086267222213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70.964531704723925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64.427344125977129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155.76430449447392</v>
      </c>
      <c r="BJ70" s="59">
        <f t="shared" si="92"/>
        <v>363.39275685992129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32.328713869848755</v>
      </c>
      <c r="BQ70" s="21">
        <f>EXP(-LN(2)/25)*BQ69+(1-EXP(-LN(2)/25))/(LN(2)/25)*Calculateur!BL70*Calculateur!BN70*VLOOKUP('Données projet'!$B$11,Paramètres!$A$1:$I$89,3,0)*0.475*44/12</f>
        <v>6.205685277443215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38.534399147291971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64.427344125977129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8.8662500000000044</v>
      </c>
      <c r="BY70" s="12">
        <f>IF('Données projet'!$A$114&gt;35,BY69+BX70-CG69,IF(A70&lt;'Données projet'!$A$114,$BV$205^A70,IF(A70='Données projet'!$A$114,'Données projet'!$B$114,BY69+BX70-CG69)))</f>
        <v>223.91625000000013</v>
      </c>
      <c r="BZ70" s="13">
        <f>BY70*VLOOKUP('Données projet'!$B$12,Paramètres!$A$1:$I$89,3,0)*VLOOKUP('Données projet'!$B$12,Paramètres!$A$1:$I$89,5,0)</f>
        <v>227.05107750000016</v>
      </c>
      <c r="CA70" s="13">
        <f t="shared" si="93"/>
        <v>55.644577455036639</v>
      </c>
      <c r="CB70" s="20">
        <f t="shared" si="64"/>
        <v>492.36159904668904</v>
      </c>
      <c r="CC70" s="59">
        <f t="shared" si="65"/>
        <v>765.26186084193853</v>
      </c>
      <c r="CD70" s="59">
        <f ca="1">AVERAGE(OFFSET($CC$3,0,0,'Données projet'!$E$12+1,1))-AVERAGE(OFFSET($H$3,0,0,'Données projet'!$E$12+1,1))</f>
        <v>679.4570479719705</v>
      </c>
      <c r="CE70" s="59">
        <f t="shared" si="94"/>
        <v>310.8252119379963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27.070027756513749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27.070027756513749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64.427344125977129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>
        <f>CT70*VLOOKUP('Données projet'!$B$13,Paramètres!$A$1:$I$89,3,0)*VLOOKUP('Données projet'!$B$13,Paramètres!$A$1:$I$89,5,0)</f>
        <v>0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146.95547268081216</v>
      </c>
      <c r="CZ70" s="59">
        <f t="shared" si="96"/>
        <v>343.21355872318065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30.246189356760333</v>
      </c>
      <c r="DG70" s="21">
        <f>EXP(-LN(2)/25)*DG69+(1-EXP(-LN(2)/25))/(LN(2)/25)*Calculateur!DB70*Calculateur!DD70*VLOOKUP('Données projet'!$B$13,Paramètres!$A$1:$I$89,3,0)*0.475*44/12</f>
        <v>5.8059325448471784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36.052121901607514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64.427344125977129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64.427344125977129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64.427344125977129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64.427344125977129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64.427344125977129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3.5999999999999996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13.199999999999998</v>
      </c>
      <c r="H71" s="67">
        <f t="shared" si="56"/>
        <v>203.86666666666667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64.524017246799332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11.896999999999997</v>
      </c>
      <c r="N71" s="13">
        <f>IF('Données projet'!$A$36&gt;35,N70+M71-V70,IF(A71&lt;'Données projet'!$A$36,$K$205^A71,IF(A71='Données projet'!$A$36,'Données projet'!$B$36,N70+M71-V70)))</f>
        <v>466.26600000000013</v>
      </c>
      <c r="O71" s="13">
        <f>N71*VLOOKUP('Données projet'!$B$9,Paramètres!$A$1:$I$89,3,0)*VLOOKUP('Données projet'!$B$9,Paramètres!$A$1:$I$89,5,0)</f>
        <v>278.82706800000011</v>
      </c>
      <c r="P71" s="13">
        <f t="shared" si="87"/>
        <v>66.719074104976841</v>
      </c>
      <c r="Q71" s="20">
        <f t="shared" si="54"/>
        <v>601.82619749950163</v>
      </c>
      <c r="R71" s="59">
        <f t="shared" si="55"/>
        <v>875.08092740443249</v>
      </c>
      <c r="S71" s="59">
        <f ca="1">AVERAGE(OFFSET($R$3,0,0,'Données projet'!$E$9+1,1))-AVERAGE(OFFSET($H$3,0,0,'Données projet'!$E$9+1,1))</f>
        <v>366.78396742205962</v>
      </c>
      <c r="T71" s="59">
        <f t="shared" si="88"/>
        <v>271.89887525994988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28.737415667347523</v>
      </c>
      <c r="AA71" s="21">
        <f>EXP(-LN(2)/25)*AA70+(1-EXP(-LN(2)/25))/(LN(2)/25)*Calculateur!V71*Calculateur!X71*VLOOKUP('Données projet'!$B$9,Paramètres!$A$1:$I$89,3,0)*0.475*44/12</f>
        <v>30.625711626878246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59.36312729422577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64.524017246799332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11.868333333333334</v>
      </c>
      <c r="AI71" s="13">
        <f>IF('Données projet'!$A$62&gt;35,AI70+AH71-AQ70,IF(A71&lt;'Données projet'!$A$62,$AF$205^A71,IF(A71='Données projet'!$A$62,'Données projet'!$B$62,AI70+AH71-AQ70)))</f>
        <v>331.08833333333382</v>
      </c>
      <c r="AJ71" s="13">
        <f>AI71*VLOOKUP('Données projet'!$B$10,Paramètres!$A$1:$I$89,3,0)*VLOOKUP('Données projet'!$B$10,Paramètres!$A$1:$I$89,5,0)</f>
        <v>154.94934000000023</v>
      </c>
      <c r="AK71" s="13">
        <f t="shared" si="89"/>
        <v>39.701207046347101</v>
      </c>
      <c r="AL71" s="20">
        <f t="shared" si="58"/>
        <v>339.01636943905493</v>
      </c>
      <c r="AM71" s="59">
        <f t="shared" si="59"/>
        <v>612.27109934398584</v>
      </c>
      <c r="AN71" s="59">
        <f ca="1">AVERAGE(OFFSET($AM$3,0,0,'Données projet'!$E$10+1,1))-AVERAGE(OFFSET($H$3,0,0,'Données projet'!$E$10+1,1))</f>
        <v>360.04137410460385</v>
      </c>
      <c r="AO71" s="59">
        <f t="shared" si="90"/>
        <v>287.81656468701829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50.089573355176952</v>
      </c>
      <c r="AV71" s="21">
        <f>EXP(-LN(2)/25)*AV70+(1-EXP(-LN(2)/25))/(LN(2)/25)*Calculateur!AQ71*Calculateur!AS71*VLOOKUP('Données projet'!$B$10,Paramètres!$A$1:$I$89,3,0)*0.475*44/12</f>
        <v>19.329655678164837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69.419229033341793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64.524017246799332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155.76430449447392</v>
      </c>
      <c r="BJ71" s="59">
        <f t="shared" si="92"/>
        <v>363.39275685992129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31.694767509429436</v>
      </c>
      <c r="BQ71" s="21">
        <f>EXP(-LN(2)/25)*BQ70+(1-EXP(-LN(2)/25))/(LN(2)/25)*Calculateur!BL71*Calculateur!BN71*VLOOKUP('Données projet'!$B$11,Paramètres!$A$1:$I$89,3,0)*0.475*44/12</f>
        <v>6.0359904871887249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37.730757996618159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64.524017246799332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8.8662500000000044</v>
      </c>
      <c r="BY71" s="12">
        <f>IF('Données projet'!$A$114&gt;35,BY70+BX71-CG70,IF(A71&lt;'Données projet'!$A$114,$BV$205^A71,IF(A71='Données projet'!$A$114,'Données projet'!$B$114,BY70+BX71-CG70)))</f>
        <v>232.78250000000014</v>
      </c>
      <c r="BZ71" s="13">
        <f>BY71*VLOOKUP('Données projet'!$B$12,Paramètres!$A$1:$I$89,3,0)*VLOOKUP('Données projet'!$B$12,Paramètres!$A$1:$I$89,5,0)</f>
        <v>236.04145500000016</v>
      </c>
      <c r="CA71" s="13">
        <f t="shared" si="93"/>
        <v>57.587007592056594</v>
      </c>
      <c r="CB71" s="20">
        <f t="shared" si="64"/>
        <v>511.40290568116535</v>
      </c>
      <c r="CC71" s="59">
        <f t="shared" si="65"/>
        <v>784.65763558609626</v>
      </c>
      <c r="CD71" s="59">
        <f ca="1">AVERAGE(OFFSET($CC$3,0,0,'Données projet'!$E$12+1,1))-AVERAGE(OFFSET($H$3,0,0,'Données projet'!$E$12+1,1))</f>
        <v>679.4570479719705</v>
      </c>
      <c r="CE71" s="59">
        <f t="shared" si="94"/>
        <v>310.8252119379963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26.53920102329511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26.53920102329511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64.524017246799332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>
        <f>CT71*VLOOKUP('Données projet'!$B$13,Paramètres!$A$1:$I$89,3,0)*VLOOKUP('Données projet'!$B$13,Paramètres!$A$1:$I$89,5,0)</f>
        <v>0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146.95547268081216</v>
      </c>
      <c r="CZ71" s="59">
        <f t="shared" si="96"/>
        <v>343.21355872318065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29.653080031828146</v>
      </c>
      <c r="DG71" s="21">
        <f>EXP(-LN(2)/25)*DG70+(1-EXP(-LN(2)/25))/(LN(2)/25)*Calculateur!DB71*Calculateur!DD71*VLOOKUP('Données projet'!$B$13,Paramètres!$A$1:$I$89,3,0)*0.475*44/12</f>
        <v>5.6471690140876092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35.300249045915756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64.524017246799332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64.524017246799332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64.524017246799332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64.524017246799332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64.524017246799332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3.5999999999999996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13.199999999999998</v>
      </c>
      <c r="H72" s="67">
        <f t="shared" si="56"/>
        <v>203.86666666666667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64.619013305103977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11.896999999999997</v>
      </c>
      <c r="N72" s="13">
        <f>IF('Données projet'!$A$36&gt;35,N71+M72-V71,IF(A72&lt;'Données projet'!$A$36,$K$205^A72,IF(A72='Données projet'!$A$36,'Données projet'!$B$36,N71+M72-V71)))</f>
        <v>478.16300000000012</v>
      </c>
      <c r="O72" s="13">
        <f>N72*VLOOKUP('Données projet'!$B$9,Paramètres!$A$1:$I$89,3,0)*VLOOKUP('Données projet'!$B$9,Paramètres!$A$1:$I$89,5,0)</f>
        <v>285.94147400000008</v>
      </c>
      <c r="P72" s="13">
        <f t="shared" si="87"/>
        <v>68.221074600056156</v>
      </c>
      <c r="Q72" s="20">
        <f t="shared" si="54"/>
        <v>616.83310547843132</v>
      </c>
      <c r="R72" s="59">
        <f t="shared" si="55"/>
        <v>890.43615426381257</v>
      </c>
      <c r="S72" s="59">
        <f ca="1">AVERAGE(OFFSET($R$3,0,0,'Données projet'!$E$9+1,1))-AVERAGE(OFFSET($H$3,0,0,'Données projet'!$E$9+1,1))</f>
        <v>366.78396742205962</v>
      </c>
      <c r="T72" s="59">
        <f t="shared" si="88"/>
        <v>271.89887525994988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28.17389247420364</v>
      </c>
      <c r="AA72" s="21">
        <f>EXP(-LN(2)/25)*AA71+(1-EXP(-LN(2)/25))/(LN(2)/25)*Calculateur!V72*Calculateur!X72*VLOOKUP('Données projet'!$B$9,Paramètres!$A$1:$I$89,3,0)*0.475*44/12</f>
        <v>29.788249931905082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57.962142406108725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64.619013305103977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11.868333333333334</v>
      </c>
      <c r="AI72" s="13">
        <f>IF('Données projet'!$A$62&gt;35,AI71+AH72-AQ71,IF(A72&lt;'Données projet'!$A$62,$AF$205^A72,IF(A72='Données projet'!$A$62,'Données projet'!$B$62,AI71+AH72-AQ71)))</f>
        <v>342.95666666666716</v>
      </c>
      <c r="AJ72" s="13">
        <f>AI72*VLOOKUP('Données projet'!$B$10,Paramètres!$A$1:$I$89,3,0)*VLOOKUP('Données projet'!$B$10,Paramètres!$A$1:$I$89,5,0)</f>
        <v>160.50372000000021</v>
      </c>
      <c r="AK72" s="13">
        <f t="shared" si="89"/>
        <v>40.956110065545921</v>
      </c>
      <c r="AL72" s="20">
        <f t="shared" si="58"/>
        <v>350.87587069749287</v>
      </c>
      <c r="AM72" s="59">
        <f t="shared" si="59"/>
        <v>624.47891948287406</v>
      </c>
      <c r="AN72" s="59">
        <f ca="1">AVERAGE(OFFSET($AM$3,0,0,'Données projet'!$E$10+1,1))-AVERAGE(OFFSET($H$3,0,0,'Données projet'!$E$10+1,1))</f>
        <v>360.04137410460385</v>
      </c>
      <c r="AO72" s="59">
        <f t="shared" si="90"/>
        <v>287.81656468701829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49.107347373304954</v>
      </c>
      <c r="AV72" s="21">
        <f>EXP(-LN(2)/25)*AV71+(1-EXP(-LN(2)/25))/(LN(2)/25)*Calculateur!AQ72*Calculateur!AS72*VLOOKUP('Données projet'!$B$10,Paramètres!$A$1:$I$89,3,0)*0.475*44/12</f>
        <v>18.801085227143005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67.908432600447952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64.619013305103977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155.76430449447392</v>
      </c>
      <c r="BJ72" s="59">
        <f t="shared" si="92"/>
        <v>363.39275685992129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31.073252450468839</v>
      </c>
      <c r="BQ72" s="21">
        <f>EXP(-LN(2)/25)*BQ71+(1-EXP(-LN(2)/25))/(LN(2)/25)*Calculateur!BL72*Calculateur!BN72*VLOOKUP('Données projet'!$B$11,Paramètres!$A$1:$I$89,3,0)*0.475*44/12</f>
        <v>5.8709360098976049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36.944188460366448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64.619013305103977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8.8662500000000044</v>
      </c>
      <c r="BY72" s="12">
        <f>IF('Données projet'!$A$114&gt;35,BY71+BX72-CG71,IF(A72&lt;'Données projet'!$A$114,$BV$205^A72,IF(A72='Données projet'!$A$114,'Données projet'!$B$114,BY71+BX72-CG71)))</f>
        <v>241.64875000000015</v>
      </c>
      <c r="BZ72" s="13">
        <f>BY72*VLOOKUP('Données projet'!$B$12,Paramètres!$A$1:$I$89,3,0)*VLOOKUP('Données projet'!$B$12,Paramètres!$A$1:$I$89,5,0)</f>
        <v>245.03183250000018</v>
      </c>
      <c r="CA72" s="13">
        <f t="shared" si="93"/>
        <v>59.520842912770703</v>
      </c>
      <c r="CB72" s="20">
        <f t="shared" si="64"/>
        <v>530.42924301057599</v>
      </c>
      <c r="CC72" s="59">
        <f t="shared" si="65"/>
        <v>804.03229179595724</v>
      </c>
      <c r="CD72" s="59">
        <f ca="1">AVERAGE(OFFSET($CC$3,0,0,'Données projet'!$E$12+1,1))-AVERAGE(OFFSET($H$3,0,0,'Données projet'!$E$12+1,1))</f>
        <v>679.4570479719705</v>
      </c>
      <c r="CE72" s="59">
        <f t="shared" si="94"/>
        <v>310.8252119379963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26.018783478542552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26.018783478542552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64.619013305103977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>
        <f>CT72*VLOOKUP('Données projet'!$B$13,Paramètres!$A$1:$I$89,3,0)*VLOOKUP('Données projet'!$B$13,Paramètres!$A$1:$I$89,5,0)</f>
        <v>0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146.95547268081216</v>
      </c>
      <c r="CZ72" s="59">
        <f t="shared" si="96"/>
        <v>343.21355872318065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29.071601218996914</v>
      </c>
      <c r="DG72" s="21">
        <f>EXP(-LN(2)/25)*DG71+(1-EXP(-LN(2)/25))/(LN(2)/25)*Calculateur!DB72*Calculateur!DD72*VLOOKUP('Données projet'!$B$13,Paramètres!$A$1:$I$89,3,0)*0.475*44/12</f>
        <v>5.4927468804256723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34.564348099422588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64.619013305103977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64.619013305103977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64.619013305103977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64.619013305103977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64.619013305103977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3.5999999999999996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13.199999999999998</v>
      </c>
      <c r="H73" s="67">
        <f t="shared" si="56"/>
        <v>203.86666666666667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64.712361394176412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490.06</v>
      </c>
      <c r="L73" s="12">
        <f>VLOOKUP(A73,'Données projet'!$A$35:$I$55,9,0)</f>
        <v>11.896999999999997</v>
      </c>
      <c r="M73" s="12">
        <f t="array" ref="M73">INDEX(L:L,MIN(IF(ISNUMBER(L73:L269),ROW(L73:L269),"")))</f>
        <v>11.896999999999997</v>
      </c>
      <c r="N73" s="13">
        <f>IF('Données projet'!$A$36&gt;35,N72+M73-V72,IF(A73&lt;'Données projet'!$A$36,$K$205^A73,IF(A73='Données projet'!$A$36,'Données projet'!$B$36,N72+M73-V72)))</f>
        <v>490.06000000000012</v>
      </c>
      <c r="O73" s="13">
        <f>N73*VLOOKUP('Données projet'!$B$9,Paramètres!$A$1:$I$89,3,0)*VLOOKUP('Données projet'!$B$9,Paramètres!$A$1:$I$89,5,0)</f>
        <v>293.05588000000012</v>
      </c>
      <c r="P73" s="13">
        <f t="shared" si="87"/>
        <v>69.718730961493122</v>
      </c>
      <c r="Q73" s="20">
        <f t="shared" si="54"/>
        <v>631.83244742460067</v>
      </c>
      <c r="R73" s="59">
        <f t="shared" si="55"/>
        <v>905.77777253658087</v>
      </c>
      <c r="S73" s="59">
        <f ca="1">AVERAGE(OFFSET($R$3,0,0,'Données projet'!$E$9+1,1))-AVERAGE(OFFSET($H$3,0,0,'Données projet'!$E$9+1,1))</f>
        <v>366.78396742205962</v>
      </c>
      <c r="T73" s="59">
        <f t="shared" si="88"/>
        <v>271.89887525994988</v>
      </c>
      <c r="U73" s="15">
        <f>IF(ISNA(VLOOKUP(A73,'Données projet'!$A$35:$I$55,3,0)),0,VLOOKUP(A73,'Données projet'!$A$35:$I$55,3,0))</f>
        <v>7</v>
      </c>
      <c r="V73" s="15">
        <f>IF(ISNA(VLOOKUP(A73,'Données projet'!$A$35:$I$55,4,0)),0,VLOOKUP(A73,'Données projet'!$A$35:$I$55,4,0))</f>
        <v>67.88</v>
      </c>
      <c r="W73" s="16">
        <f>IF(ISNA(VLOOKUP(A73,'Données projet'!$A$35:$I$55,5,0)),0%,VLOOKUP(A73,'Données projet'!$A$35:$I$55,5,0)*VLOOKUP('Données projet'!$B$9,Paramètres!$A$1:$I$89,7,0))</f>
        <v>0.315</v>
      </c>
      <c r="X73" s="16">
        <f>IF(ISNA(VLOOKUP(A73,'Données projet'!$A$35:$I$55,6,0)),0%,VLOOKUP(A73,'Données projet'!$A$35:$I$55,6,0)*VLOOKUP('Données projet'!$B$9,Paramètres!$A$1:$I$89,7,0))</f>
        <v>0.13500000000000001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44.583609793623502</v>
      </c>
      <c r="AA73" s="21">
        <f>EXP(-LN(2)/25)*AA72+(1-EXP(-LN(2)/25))/(LN(2)/25)*Calculateur!V73*Calculateur!X73*VLOOKUP('Données projet'!$B$9,Paramètres!$A$1:$I$89,3,0)*0.475*44/12</f>
        <v>36.214575911310391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80.7981857049339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64.712361394176412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11.868333333333334</v>
      </c>
      <c r="AI73" s="13">
        <f>IF('Données projet'!$A$62&gt;35,AI72+AH73-AQ72,IF(A73&lt;'Données projet'!$A$62,$AF$205^A73,IF(A73='Données projet'!$A$62,'Données projet'!$B$62,AI72+AH73-AQ72)))</f>
        <v>354.8250000000005</v>
      </c>
      <c r="AJ73" s="13">
        <f>AI73*VLOOKUP('Données projet'!$B$10,Paramètres!$A$1:$I$89,3,0)*VLOOKUP('Données projet'!$B$10,Paramètres!$A$1:$I$89,5,0)</f>
        <v>166.05810000000025</v>
      </c>
      <c r="AK73" s="13">
        <f t="shared" si="89"/>
        <v>42.205967275752947</v>
      </c>
      <c r="AL73" s="20">
        <f t="shared" si="58"/>
        <v>362.72658383860352</v>
      </c>
      <c r="AM73" s="59">
        <f t="shared" si="59"/>
        <v>636.67190895058366</v>
      </c>
      <c r="AN73" s="59">
        <f ca="1">AVERAGE(OFFSET($AM$3,0,0,'Données projet'!$E$10+1,1))-AVERAGE(OFFSET($H$3,0,0,'Données projet'!$E$10+1,1))</f>
        <v>360.04137410460385</v>
      </c>
      <c r="AO73" s="59">
        <f t="shared" si="90"/>
        <v>287.81656468701829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48.144382243838777</v>
      </c>
      <c r="AV73" s="21">
        <f>EXP(-LN(2)/25)*AV72+(1-EXP(-LN(2)/25))/(LN(2)/25)*Calculateur!AQ73*Calculateur!AS73*VLOOKUP('Données projet'!$B$10,Paramètres!$A$1:$I$89,3,0)*0.475*44/12</f>
        <v>18.286968562900679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66.431350806739459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64.712361394176412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155.76430449447392</v>
      </c>
      <c r="BJ73" s="59">
        <f t="shared" si="92"/>
        <v>363.39275685992129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30.463924922727706</v>
      </c>
      <c r="BQ73" s="21">
        <f>EXP(-LN(2)/25)*BQ72+(1-EXP(-LN(2)/25))/(LN(2)/25)*Calculateur!BL73*Calculateur!BN73*VLOOKUP('Données projet'!$B$11,Paramètres!$A$1:$I$89,3,0)*0.475*44/12</f>
        <v>5.710394955967848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36.174319878695556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64.712361394176412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8.8662500000000044</v>
      </c>
      <c r="BY73" s="12">
        <f>IF('Données projet'!$A$114&gt;35,BY72+BX73-CG72,IF(A73&lt;'Données projet'!$A$114,$BV$205^A73,IF(A73='Données projet'!$A$114,'Données projet'!$B$114,BY72+BX73-CG72)))</f>
        <v>250.51500000000016</v>
      </c>
      <c r="BZ73" s="13">
        <f>BY73*VLOOKUP('Données projet'!$B$12,Paramètres!$A$1:$I$89,3,0)*VLOOKUP('Données projet'!$B$12,Paramètres!$A$1:$I$89,5,0)</f>
        <v>254.02221000000017</v>
      </c>
      <c r="CA73" s="13">
        <f t="shared" si="93"/>
        <v>61.446434882983361</v>
      </c>
      <c r="CB73" s="20">
        <f t="shared" si="64"/>
        <v>549.44122317119627</v>
      </c>
      <c r="CC73" s="59">
        <f t="shared" si="65"/>
        <v>823.38654828317635</v>
      </c>
      <c r="CD73" s="59">
        <f ca="1">AVERAGE(OFFSET($CC$3,0,0,'Données projet'!$E$12+1,1))-AVERAGE(OFFSET($H$3,0,0,'Données projet'!$E$12+1,1))</f>
        <v>679.4570479719705</v>
      </c>
      <c r="CE73" s="59">
        <f t="shared" si="94"/>
        <v>310.8252119379963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25.508571004419235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25.508571004419235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64.712361394176412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>
        <f>CT73*VLOOKUP('Données projet'!$B$13,Paramètres!$A$1:$I$89,3,0)*VLOOKUP('Données projet'!$B$13,Paramètres!$A$1:$I$89,5,0)</f>
        <v>0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146.95547268081216</v>
      </c>
      <c r="CZ73" s="59">
        <f t="shared" si="96"/>
        <v>343.21355872318065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28.501524851018246</v>
      </c>
      <c r="DG73" s="21">
        <f>EXP(-LN(2)/25)*DG72+(1-EXP(-LN(2)/25))/(LN(2)/25)*Calculateur!DB73*Calculateur!DD73*VLOOKUP('Données projet'!$B$13,Paramètres!$A$1:$I$89,3,0)*0.475*44/12</f>
        <v>5.3425474281294276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33.844072279147674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64.712361394176412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64.712361394176412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64.712361394176412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64.712361394176412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64.712361394176412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3.5999999999999996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13.199999999999998</v>
      </c>
      <c r="H74" s="67">
        <f t="shared" si="56"/>
        <v>203.86666666666667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64.804090102598508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9.782</v>
      </c>
      <c r="N74" s="13">
        <f>IF('Données projet'!$A$36&gt;35,N73+M74-V73,IF(A74&lt;'Données projet'!$A$36,$K$205^A74,IF(A74='Données projet'!$A$36,'Données projet'!$B$36,N73+M74-V73)))</f>
        <v>431.9620000000001</v>
      </c>
      <c r="O74" s="13">
        <f>N74*VLOOKUP('Données projet'!$B$9,Paramètres!$A$1:$I$89,3,0)*VLOOKUP('Données projet'!$B$9,Paramètres!$A$1:$I$89,5,0)</f>
        <v>258.31327600000009</v>
      </c>
      <c r="P74" s="13">
        <f t="shared" si="87"/>
        <v>62.362700481716175</v>
      </c>
      <c r="Q74" s="20">
        <f t="shared" si="54"/>
        <v>558.51065903898916</v>
      </c>
      <c r="R74" s="59">
        <f t="shared" si="55"/>
        <v>832.79232274851711</v>
      </c>
      <c r="S74" s="59">
        <f ca="1">AVERAGE(OFFSET($R$3,0,0,'Données projet'!$E$9+1,1))-AVERAGE(OFFSET($H$3,0,0,'Données projet'!$E$9+1,1))</f>
        <v>366.78396742205962</v>
      </c>
      <c r="T74" s="59">
        <f t="shared" si="88"/>
        <v>271.89887525994988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43.709352398887404</v>
      </c>
      <c r="AA74" s="21">
        <f>EXP(-LN(2)/25)*AA73+(1-EXP(-LN(2)/25))/(LN(2)/25)*Calculateur!V74*Calculateur!X74*VLOOKUP('Données projet'!$B$9,Paramètres!$A$1:$I$89,3,0)*0.475*44/12</f>
        <v>35.224286428573834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78.933638827461237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64.804090102598508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11.868333333333334</v>
      </c>
      <c r="AI74" s="13">
        <f>IF('Données projet'!$A$62&gt;35,AI73+AH74-AQ73,IF(A74&lt;'Données projet'!$A$62,$AF$205^A74,IF(A74='Données projet'!$A$62,'Données projet'!$B$62,AI73+AH74-AQ73)))</f>
        <v>366.69333333333384</v>
      </c>
      <c r="AJ74" s="13">
        <f>AI74*VLOOKUP('Données projet'!$B$10,Paramètres!$A$1:$I$89,3,0)*VLOOKUP('Données projet'!$B$10,Paramètres!$A$1:$I$89,5,0)</f>
        <v>171.61248000000023</v>
      </c>
      <c r="AK74" s="13">
        <f t="shared" si="89"/>
        <v>43.450966801537291</v>
      </c>
      <c r="AL74" s="20">
        <f t="shared" si="58"/>
        <v>374.56883651267782</v>
      </c>
      <c r="AM74" s="59">
        <f t="shared" si="59"/>
        <v>648.85050022220571</v>
      </c>
      <c r="AN74" s="59">
        <f ca="1">AVERAGE(OFFSET($AM$3,0,0,'Données projet'!$E$10+1,1))-AVERAGE(OFFSET($H$3,0,0,'Données projet'!$E$10+1,1))</f>
        <v>360.04137410460385</v>
      </c>
      <c r="AO74" s="59">
        <f t="shared" si="90"/>
        <v>287.81656468701829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47.200300273210701</v>
      </c>
      <c r="AV74" s="21">
        <f>EXP(-LN(2)/25)*AV73+(1-EXP(-LN(2)/25))/(LN(2)/25)*Calculateur!AQ74*Calculateur!AS74*VLOOKUP('Données projet'!$B$10,Paramètres!$A$1:$I$89,3,0)*0.475*44/12</f>
        <v>17.786910445878277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64.987210719088978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64.804090102598508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155.76430449447392</v>
      </c>
      <c r="BJ74" s="59">
        <f t="shared" si="92"/>
        <v>363.39275685992129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29.86654593615248</v>
      </c>
      <c r="BQ74" s="21">
        <f>EXP(-LN(2)/25)*BQ73+(1-EXP(-LN(2)/25))/(LN(2)/25)*Calculateur!BL74*Calculateur!BN74*VLOOKUP('Données projet'!$B$11,Paramètres!$A$1:$I$89,3,0)*0.475*44/12</f>
        <v>5.5542439056002877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35.420789841752764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64.804090102598508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8.8662500000000044</v>
      </c>
      <c r="BY74" s="12">
        <f>IF('Données projet'!$A$114&gt;35,BY73+BX74-CG73,IF(A74&lt;'Données projet'!$A$114,$BV$205^A74,IF(A74='Données projet'!$A$114,'Données projet'!$B$114,BY73+BX74-CG73)))</f>
        <v>259.38125000000014</v>
      </c>
      <c r="BZ74" s="13">
        <f>BY74*VLOOKUP('Données projet'!$B$12,Paramètres!$A$1:$I$89,3,0)*VLOOKUP('Données projet'!$B$12,Paramètres!$A$1:$I$89,5,0)</f>
        <v>263.01258750000017</v>
      </c>
      <c r="CA74" s="13">
        <f t="shared" si="93"/>
        <v>63.364108679793951</v>
      </c>
      <c r="CB74" s="20">
        <f t="shared" si="64"/>
        <v>568.43941251314141</v>
      </c>
      <c r="CC74" s="59">
        <f t="shared" si="65"/>
        <v>842.72107622266935</v>
      </c>
      <c r="CD74" s="59">
        <f ca="1">AVERAGE(OFFSET($CC$3,0,0,'Données projet'!$E$12+1,1))-AVERAGE(OFFSET($H$3,0,0,'Données projet'!$E$12+1,1))</f>
        <v>679.4570479719705</v>
      </c>
      <c r="CE74" s="59">
        <f t="shared" si="94"/>
        <v>310.8252119379963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25.008363485714593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25.008363485714593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64.804090102598508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146.95547268081216</v>
      </c>
      <c r="CZ74" s="59">
        <f t="shared" si="96"/>
        <v>343.21355872318065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27.942627332903388</v>
      </c>
      <c r="DG74" s="21">
        <f>EXP(-LN(2)/25)*DG73+(1-EXP(-LN(2)/25))/(LN(2)/25)*Calculateur!DB74*Calculateur!DD74*VLOOKUP('Données projet'!$B$13,Paramètres!$A$1:$I$89,3,0)*0.475*44/12</f>
        <v>5.1964551877548697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33.139082520658256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64.804090102598508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64.804090102598508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64.804090102598508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64.804090102598508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64.804090102598508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3.5999999999999996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13.199999999999998</v>
      </c>
      <c r="H75" s="67">
        <f t="shared" si="56"/>
        <v>203.86666666666667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64.894227523004133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9.782</v>
      </c>
      <c r="N75" s="13">
        <f>IF('Données projet'!$A$36&gt;35,N74+M75-V74,IF(A75&lt;'Données projet'!$A$36,$K$205^A75,IF(A75='Données projet'!$A$36,'Données projet'!$B$36,N74+M75-V74)))</f>
        <v>441.74400000000009</v>
      </c>
      <c r="O75" s="13">
        <f>N75*VLOOKUP('Données projet'!$B$9,Paramètres!$A$1:$I$89,3,0)*VLOOKUP('Données projet'!$B$9,Paramètres!$A$1:$I$89,5,0)</f>
        <v>264.16291200000006</v>
      </c>
      <c r="P75" s="13">
        <f t="shared" si="87"/>
        <v>63.608920560680907</v>
      </c>
      <c r="Q75" s="20">
        <f t="shared" si="54"/>
        <v>570.86927504318601</v>
      </c>
      <c r="R75" s="59">
        <f t="shared" si="55"/>
        <v>845.48144262753453</v>
      </c>
      <c r="S75" s="59">
        <f ca="1">AVERAGE(OFFSET($R$3,0,0,'Données projet'!$E$9+1,1))-AVERAGE(OFFSET($H$3,0,0,'Données projet'!$E$9+1,1))</f>
        <v>366.78396742205962</v>
      </c>
      <c r="T75" s="59">
        <f t="shared" si="88"/>
        <v>271.89887525994988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42.852238658417718</v>
      </c>
      <c r="AA75" s="21">
        <f>EXP(-LN(2)/25)*AA74+(1-EXP(-LN(2)/25))/(LN(2)/25)*Calculateur!V75*Calculateur!X75*VLOOKUP('Données projet'!$B$9,Paramètres!$A$1:$I$89,3,0)*0.475*44/12</f>
        <v>34.261076463819762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77.113315122237481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64.894227523004133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11.868333333333334</v>
      </c>
      <c r="AI75" s="13">
        <f>IF('Données projet'!$A$62&gt;35,AI74+AH75-AQ74,IF(A75&lt;'Données projet'!$A$62,$AF$205^A75,IF(A75='Données projet'!$A$62,'Données projet'!$B$62,AI74+AH75-AQ74)))</f>
        <v>378.56166666666718</v>
      </c>
      <c r="AJ75" s="13">
        <f>AI75*VLOOKUP('Données projet'!$B$10,Paramètres!$A$1:$I$89,3,0)*VLOOKUP('Données projet'!$B$10,Paramètres!$A$1:$I$89,5,0)</f>
        <v>177.16686000000024</v>
      </c>
      <c r="AK75" s="13">
        <f t="shared" si="89"/>
        <v>44.691283898534451</v>
      </c>
      <c r="AL75" s="20">
        <f t="shared" si="58"/>
        <v>386.40293395661462</v>
      </c>
      <c r="AM75" s="59">
        <f t="shared" si="59"/>
        <v>661.01510154096309</v>
      </c>
      <c r="AN75" s="59">
        <f ca="1">AVERAGE(OFFSET($AM$3,0,0,'Données projet'!$E$10+1,1))-AVERAGE(OFFSET($H$3,0,0,'Données projet'!$E$10+1,1))</f>
        <v>360.04137410460385</v>
      </c>
      <c r="AO75" s="59">
        <f t="shared" si="90"/>
        <v>287.81656468701829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46.274731174193491</v>
      </c>
      <c r="AV75" s="21">
        <f>EXP(-LN(2)/25)*AV74+(1-EXP(-LN(2)/25))/(LN(2)/25)*Calculateur!AQ75*Calculateur!AS75*VLOOKUP('Données projet'!$B$10,Paramètres!$A$1:$I$89,3,0)*0.475*44/12</f>
        <v>17.300526444362767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63.575257618556257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64.894227523004133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155.76430449447392</v>
      </c>
      <c r="BJ75" s="59">
        <f t="shared" si="92"/>
        <v>363.39275685992129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29.280881187138792</v>
      </c>
      <c r="BQ75" s="21">
        <f>EXP(-LN(2)/25)*BQ74+(1-EXP(-LN(2)/25))/(LN(2)/25)*Calculateur!BL75*Calculateur!BN75*VLOOKUP('Données projet'!$B$11,Paramètres!$A$1:$I$89,3,0)*0.475*44/12</f>
        <v>5.4023628139166551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34.683244001055449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64.894227523004133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8.8662500000000044</v>
      </c>
      <c r="BY75" s="12">
        <f>IF('Données projet'!$A$114&gt;35,BY74+BX75-CG74,IF(A75&lt;'Données projet'!$A$114,$BV$205^A75,IF(A75='Données projet'!$A$114,'Données projet'!$B$114,BY74+BX75-CG74)))</f>
        <v>268.24750000000012</v>
      </c>
      <c r="BZ75" s="13">
        <f>BY75*VLOOKUP('Données projet'!$B$12,Paramètres!$A$1:$I$89,3,0)*VLOOKUP('Données projet'!$B$12,Paramètres!$A$1:$I$89,5,0)</f>
        <v>272.00296500000013</v>
      </c>
      <c r="CA75" s="13">
        <f t="shared" si="93"/>
        <v>65.274165988687102</v>
      </c>
      <c r="CB75" s="20">
        <f t="shared" si="64"/>
        <v>587.42433647196356</v>
      </c>
      <c r="CC75" s="59">
        <f t="shared" si="65"/>
        <v>862.03650405631197</v>
      </c>
      <c r="CD75" s="59">
        <f ca="1">AVERAGE(OFFSET($CC$3,0,0,'Données projet'!$E$12+1,1))-AVERAGE(OFFSET($H$3,0,0,'Données projet'!$E$12+1,1))</f>
        <v>679.4570479719705</v>
      </c>
      <c r="CE75" s="59">
        <f t="shared" si="94"/>
        <v>310.8252119379963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24.517964731355288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24.517964731355288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64.894227523004133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146.95547268081216</v>
      </c>
      <c r="CZ75" s="59">
        <f t="shared" si="96"/>
        <v>343.21355872318065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27.394689454224938</v>
      </c>
      <c r="DG75" s="21">
        <f>EXP(-LN(2)/25)*DG74+(1-EXP(-LN(2)/25))/(LN(2)/25)*Calculateur!DB75*Calculateur!DD75*VLOOKUP('Données projet'!$B$13,Paramètres!$A$1:$I$89,3,0)*0.475*44/12</f>
        <v>5.0543578473760107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32.449047301600949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64.894227523004133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64.894227523004133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64.894227523004133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64.894227523004133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64.894227523004133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3.5999999999999996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13.199999999999998</v>
      </c>
      <c r="H76" s="67">
        <f t="shared" si="56"/>
        <v>203.86666666666667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64.98280126068282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9.782</v>
      </c>
      <c r="N76" s="13">
        <f>IF('Données projet'!$A$36&gt;35,N75+M76-V75,IF(A76&lt;'Données projet'!$A$36,$K$205^A76,IF(A76='Données projet'!$A$36,'Données projet'!$B$36,N75+M76-V75)))</f>
        <v>451.52600000000007</v>
      </c>
      <c r="O76" s="13">
        <f>N76*VLOOKUP('Données projet'!$B$9,Paramètres!$A$1:$I$89,3,0)*VLOOKUP('Données projet'!$B$9,Paramètres!$A$1:$I$89,5,0)</f>
        <v>270.01254800000004</v>
      </c>
      <c r="P76" s="13">
        <f t="shared" si="87"/>
        <v>64.851932282926271</v>
      </c>
      <c r="Q76" s="20">
        <f t="shared" si="54"/>
        <v>583.22230315943</v>
      </c>
      <c r="R76" s="59">
        <f t="shared" si="55"/>
        <v>858.15924111526692</v>
      </c>
      <c r="S76" s="59">
        <f ca="1">AVERAGE(OFFSET($R$3,0,0,'Données projet'!$E$9+1,1))-AVERAGE(OFFSET($H$3,0,0,'Données projet'!$E$9+1,1))</f>
        <v>366.78396742205962</v>
      </c>
      <c r="T76" s="59">
        <f t="shared" si="88"/>
        <v>271.89887525994988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42.011932395610884</v>
      </c>
      <c r="AA76" s="21">
        <f>EXP(-LN(2)/25)*AA75+(1-EXP(-LN(2)/25))/(LN(2)/25)*Calculateur!V76*Calculateur!X76*VLOOKUP('Données projet'!$B$9,Paramètres!$A$1:$I$89,3,0)*0.475*44/12</f>
        <v>33.324205526204906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75.336137921815791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64.98280126068282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>
        <f>VLOOKUP(A76,'Données projet'!$A$61:$I$81,2,0)</f>
        <v>390.43</v>
      </c>
      <c r="AG76" s="12">
        <f>VLOOKUP(A76,'Données projet'!$A$61:$I$81,9,0)</f>
        <v>11.868333333333334</v>
      </c>
      <c r="AH76" s="12">
        <f t="array" ref="AH76">INDEX(AG:AG,MIN(IF(ISNUMBER(AG76:AG272),ROW(AG76:AG272),"")))</f>
        <v>11.868333333333334</v>
      </c>
      <c r="AI76" s="13">
        <f>IF('Données projet'!$A$62&gt;35,AI75+AH76-AQ75,IF(A76&lt;'Données projet'!$A$62,$AF$205^A76,IF(A76='Données projet'!$A$62,'Données projet'!$B$62,AI75+AH76-AQ75)))</f>
        <v>390.43000000000052</v>
      </c>
      <c r="AJ76" s="13">
        <f>AI76*VLOOKUP('Données projet'!$B$10,Paramètres!$A$1:$I$89,3,0)*VLOOKUP('Données projet'!$B$10,Paramètres!$A$1:$I$89,5,0)</f>
        <v>182.72124000000022</v>
      </c>
      <c r="AK76" s="13">
        <f t="shared" si="89"/>
        <v>45.927082209321831</v>
      </c>
      <c r="AL76" s="20">
        <f t="shared" si="58"/>
        <v>398.2291611812359</v>
      </c>
      <c r="AM76" s="59">
        <f t="shared" si="59"/>
        <v>673.16609913707293</v>
      </c>
      <c r="AN76" s="59">
        <f ca="1">AVERAGE(OFFSET($AM$3,0,0,'Données projet'!$E$10+1,1))-AVERAGE(OFFSET($H$3,0,0,'Données projet'!$E$10+1,1))</f>
        <v>360.04137410460385</v>
      </c>
      <c r="AO76" s="59">
        <f t="shared" si="90"/>
        <v>287.81656468701829</v>
      </c>
      <c r="AP76" s="15">
        <f>IF(ISNA(VLOOKUP(A76,'Données projet'!$A$61:$I$81,3,0)),0,VLOOKUP(A76,'Données projet'!$A$61:$I$81,3,0))</f>
        <v>3</v>
      </c>
      <c r="AQ76" s="15">
        <f>IF(ISNA(VLOOKUP(A76,'Données projet'!$A$61:$I$81,4,0)),0,VLOOKUP(A76,'Données projet'!$A$61:$I$81,4,0))</f>
        <v>102.1</v>
      </c>
      <c r="AR76" s="16">
        <f>IF(ISNA(VLOOKUP(A76,'Données projet'!$A$61:$I$81,5,0)),0%,VLOOKUP(A76,'Données projet'!$A$61:$I$81,5,0)*VLOOKUP('Données projet'!$B$10,Paramètres!$A$1:$I$89,7,0))</f>
        <v>0.38500000000000001</v>
      </c>
      <c r="AS76" s="16">
        <f>IF(ISNA(VLOOKUP(A76,'Données projet'!$A$61:$I$81,6,0)),0%,VLOOKUP(A76,'Données projet'!$A$61:$I$81,6,0)*VLOOKUP('Données projet'!$B$10,Paramètres!$A$1:$I$89,7,0))</f>
        <v>0.16500000000000001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69.771293084296545</v>
      </c>
      <c r="AV76" s="21">
        <f>EXP(-LN(2)/25)*AV75+(1-EXP(-LN(2)/25))/(LN(2)/25)*Calculateur!AQ76*Calculateur!AS76*VLOOKUP('Données projet'!$B$10,Paramètres!$A$1:$I$89,3,0)*0.475*44/12</f>
        <v>27.245111235150624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97.016404319447162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64.98280126068282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155.76430449447392</v>
      </c>
      <c r="BJ76" s="59">
        <f t="shared" si="92"/>
        <v>363.39275685992129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28.70670096663304</v>
      </c>
      <c r="BQ76" s="21">
        <f>EXP(-LN(2)/25)*BQ75+(1-EXP(-LN(2)/25))/(LN(2)/25)*Calculateur!BL76*Calculateur!BN76*VLOOKUP('Données projet'!$B$11,Paramètres!$A$1:$I$89,3,0)*0.475*44/12</f>
        <v>5.254634918672191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33.961335885305232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64.98280126068282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8.8662500000000044</v>
      </c>
      <c r="BY76" s="12">
        <f>IF('Données projet'!$A$114&gt;35,BY75+BX76-CG75,IF(A76&lt;'Données projet'!$A$114,$BV$205^A76,IF(A76='Données projet'!$A$114,'Données projet'!$B$114,BY75+BX76-CG75)))</f>
        <v>277.1137500000001</v>
      </c>
      <c r="BZ76" s="13">
        <f>BY76*VLOOKUP('Données projet'!$B$12,Paramètres!$A$1:$I$89,3,0)*VLOOKUP('Données projet'!$B$12,Paramètres!$A$1:$I$89,5,0)</f>
        <v>280.9933425000001</v>
      </c>
      <c r="CA76" s="13">
        <f t="shared" si="93"/>
        <v>67.176887420430603</v>
      </c>
      <c r="CB76" s="20">
        <f t="shared" si="64"/>
        <v>606.39648377808339</v>
      </c>
      <c r="CC76" s="59">
        <f t="shared" si="65"/>
        <v>881.33342173392043</v>
      </c>
      <c r="CD76" s="59">
        <f ca="1">AVERAGE(OFFSET($CC$3,0,0,'Données projet'!$E$12+1,1))-AVERAGE(OFFSET($H$3,0,0,'Données projet'!$E$12+1,1))</f>
        <v>679.4570479719705</v>
      </c>
      <c r="CE76" s="59">
        <f t="shared" si="94"/>
        <v>310.8252119379963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24.037182397455265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24.037182397455265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64.98280126068282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146.95547268081216</v>
      </c>
      <c r="CZ76" s="59">
        <f t="shared" si="96"/>
        <v>343.21355872318065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26.857496303138266</v>
      </c>
      <c r="DG76" s="21">
        <f>EXP(-LN(2)/25)*DG75+(1-EXP(-LN(2)/25))/(LN(2)/25)*Calculateur!DB76*Calculateur!DD76*VLOOKUP('Données projet'!$B$13,Paramètres!$A$1:$I$89,3,0)*0.475*44/12</f>
        <v>4.9161461662423864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31.773642469380654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64.98280126068282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64.98280126068282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64.98280126068282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64.98280126068282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64.98280126068282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3.5999999999999996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13.199999999999998</v>
      </c>
      <c r="H77" s="67">
        <f t="shared" si="56"/>
        <v>203.86666666666667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65.069838442033983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9.782</v>
      </c>
      <c r="N77" s="13">
        <f>IF('Données projet'!$A$36&gt;35,N76+M77-V76,IF(A77&lt;'Données projet'!$A$36,$K$205^A77,IF(A77='Données projet'!$A$36,'Données projet'!$B$36,N76+M77-V76)))</f>
        <v>461.30800000000005</v>
      </c>
      <c r="O77" s="13">
        <f>N77*VLOOKUP('Données projet'!$B$9,Paramètres!$A$1:$I$89,3,0)*VLOOKUP('Données projet'!$B$9,Paramètres!$A$1:$I$89,5,0)</f>
        <v>275.86218400000007</v>
      </c>
      <c r="P77" s="13">
        <f t="shared" si="87"/>
        <v>66.091813160377626</v>
      </c>
      <c r="Q77" s="20">
        <f t="shared" si="54"/>
        <v>595.5698783876577</v>
      </c>
      <c r="R77" s="59">
        <f t="shared" si="55"/>
        <v>870.82595267511556</v>
      </c>
      <c r="S77" s="59">
        <f ca="1">AVERAGE(OFFSET($R$3,0,0,'Données projet'!$E$9+1,1))-AVERAGE(OFFSET($H$3,0,0,'Données projet'!$E$9+1,1))</f>
        <v>366.78396742205962</v>
      </c>
      <c r="T77" s="59">
        <f t="shared" si="88"/>
        <v>271.89887525994988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41.188104026081483</v>
      </c>
      <c r="AA77" s="21">
        <f>EXP(-LN(2)/25)*AA76+(1-EXP(-LN(2)/25))/(LN(2)/25)*Calculateur!V77*Calculateur!X77*VLOOKUP('Données projet'!$B$9,Paramètres!$A$1:$I$89,3,0)*0.475*44/12</f>
        <v>32.412953373647028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73.601057399728518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65.069838442033983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10.985833333333332</v>
      </c>
      <c r="AI77" s="13">
        <f>IF('Données projet'!$A$62&gt;35,AI76+AH77-AQ76,IF(A77&lt;'Données projet'!$A$62,$AF$205^A77,IF(A77='Données projet'!$A$62,'Données projet'!$B$62,AI76+AH77-AQ76)))</f>
        <v>299.3158333333339</v>
      </c>
      <c r="AJ77" s="13">
        <f>AI77*VLOOKUP('Données projet'!$B$10,Paramètres!$A$1:$I$89,3,0)*VLOOKUP('Données projet'!$B$10,Paramètres!$A$1:$I$89,5,0)</f>
        <v>140.07981000000026</v>
      </c>
      <c r="AK77" s="13">
        <f t="shared" si="89"/>
        <v>36.315288238799972</v>
      </c>
      <c r="AL77" s="20">
        <f t="shared" si="58"/>
        <v>307.22146276591042</v>
      </c>
      <c r="AM77" s="59">
        <f t="shared" si="59"/>
        <v>582.47753705336834</v>
      </c>
      <c r="AN77" s="59">
        <f ca="1">AVERAGE(OFFSET($AM$3,0,0,'Données projet'!$E$10+1,1))-AVERAGE(OFFSET($H$3,0,0,'Données projet'!$E$10+1,1))</f>
        <v>360.04137410460385</v>
      </c>
      <c r="AO77" s="59">
        <f t="shared" si="90"/>
        <v>287.81656468701829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68.403120583200192</v>
      </c>
      <c r="AV77" s="21">
        <f>EXP(-LN(2)/25)*AV76+(1-EXP(-LN(2)/25))/(LN(2)/25)*Calculateur!AQ77*Calculateur!AS77*VLOOKUP('Données projet'!$B$10,Paramètres!$A$1:$I$89,3,0)*0.475*44/12</f>
        <v>26.500092235667299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94.903212818867487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65.069838442033983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155.76430449447392</v>
      </c>
      <c r="BJ77" s="59">
        <f t="shared" si="92"/>
        <v>363.39275685992129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28.143780070036051</v>
      </c>
      <c r="BQ77" s="21">
        <f>EXP(-LN(2)/25)*BQ76+(1-EXP(-LN(2)/25))/(LN(2)/25)*Calculateur!BL77*Calculateur!BN77*VLOOKUP('Données projet'!$B$11,Paramètres!$A$1:$I$89,3,0)*0.475*44/12</f>
        <v>5.1109466504918588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33.254726720527913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65.069838442033983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285.98</v>
      </c>
      <c r="BW77" s="12">
        <f>VLOOKUP(A77,'Données projet'!$A$113:$I$133,9,0)</f>
        <v>8.8662500000000044</v>
      </c>
      <c r="BX77" s="12">
        <f t="array" ref="BX77">INDEX(BW:BW,MIN(IF(ISNUMBER(BW77:BW273),ROW(BW77:BW273),"")))</f>
        <v>8.8662500000000044</v>
      </c>
      <c r="BY77" s="12">
        <f>IF('Données projet'!$A$114&gt;35,BY76+BX77-CG76,IF(A77&lt;'Données projet'!$A$114,$BV$205^A77,IF(A77='Données projet'!$A$114,'Données projet'!$B$114,BY76+BX77-CG76)))</f>
        <v>285.98000000000008</v>
      </c>
      <c r="BZ77" s="13">
        <f>BY77*VLOOKUP('Données projet'!$B$12,Paramètres!$A$1:$I$89,3,0)*VLOOKUP('Données projet'!$B$12,Paramètres!$A$1:$I$89,5,0)</f>
        <v>289.98372000000012</v>
      </c>
      <c r="CA77" s="13">
        <f t="shared" si="93"/>
        <v>69.072534609971271</v>
      </c>
      <c r="CB77" s="20">
        <f t="shared" si="64"/>
        <v>625.35631011236683</v>
      </c>
      <c r="CC77" s="59">
        <f t="shared" si="65"/>
        <v>900.6123843998248</v>
      </c>
      <c r="CD77" s="59">
        <f ca="1">AVERAGE(OFFSET($CC$3,0,0,'Données projet'!$E$12+1,1))-AVERAGE(OFFSET($H$3,0,0,'Données projet'!$E$12+1,1))</f>
        <v>679.4570479719705</v>
      </c>
      <c r="CE77" s="59">
        <f t="shared" si="94"/>
        <v>310.8252119379963</v>
      </c>
      <c r="CF77" s="15">
        <f>IF(ISNA(VLOOKUP(A77,'Données projet'!$A$113:$I$133,3,0)),0,VLOOKUP(A77,'Données projet'!$A$113:$I$133,3,0))</f>
        <v>5</v>
      </c>
      <c r="CG77" s="15">
        <f>IF(ISNA(VLOOKUP(A77,'Données projet'!$A$113:$I$133,4,0)),0,VLOOKUP(A77,'Données projet'!$A$113:$I$133,4,0))</f>
        <v>47.4</v>
      </c>
      <c r="CH77" s="16">
        <f>IF(ISNA(VLOOKUP(A77,'Données projet'!$A$113:$I$133,5,0)),0%,VLOOKUP(A77,'Données projet'!$A$113:$I$133,5,0)*VLOOKUP('Données projet'!$B$12,Paramètres!$A$1:$I$89,7,0))</f>
        <v>0.25800000000000001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37.274112534374488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37.274112534374488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65.069838442033983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146.95547268081216</v>
      </c>
      <c r="CZ77" s="59">
        <f t="shared" si="96"/>
        <v>343.21355872318065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26.330837182088935</v>
      </c>
      <c r="DG77" s="21">
        <f>EXP(-LN(2)/25)*DG76+(1-EXP(-LN(2)/25))/(LN(2)/25)*Calculateur!DB77*Calculateur!DD77*VLOOKUP('Données projet'!$B$13,Paramètres!$A$1:$I$89,3,0)*0.475*44/12</f>
        <v>4.7817138907975973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31.112551072886532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65.069838442033983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65.069838442033983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65.069838442033983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65.069838442033983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65.069838442033983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3.5999999999999996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13.199999999999998</v>
      </c>
      <c r="H78" s="67">
        <f t="shared" si="56"/>
        <v>203.86666666666667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65.155365722874691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9.782</v>
      </c>
      <c r="N78" s="13">
        <f>IF('Données projet'!$A$36&gt;35,N77+M78-V77,IF(A78&lt;'Données projet'!$A$36,$K$205^A78,IF(A78='Données projet'!$A$36,'Données projet'!$B$36,N77+M78-V77)))</f>
        <v>471.09000000000003</v>
      </c>
      <c r="O78" s="13">
        <f>N78*VLOOKUP('Données projet'!$B$9,Paramètres!$A$1:$I$89,3,0)*VLOOKUP('Données projet'!$B$9,Paramètres!$A$1:$I$89,5,0)</f>
        <v>281.71182000000005</v>
      </c>
      <c r="P78" s="13">
        <f t="shared" si="87"/>
        <v>67.328637229880215</v>
      </c>
      <c r="Q78" s="20">
        <f t="shared" si="54"/>
        <v>607.91212967537479</v>
      </c>
      <c r="R78" s="59">
        <f t="shared" si="55"/>
        <v>883.48180399258194</v>
      </c>
      <c r="S78" s="59">
        <f ca="1">AVERAGE(OFFSET($R$3,0,0,'Données projet'!$E$9+1,1))-AVERAGE(OFFSET($H$3,0,0,'Données projet'!$E$9+1,1))</f>
        <v>366.78396742205962</v>
      </c>
      <c r="T78" s="59">
        <f t="shared" si="88"/>
        <v>271.89887525994988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40.380430428392863</v>
      </c>
      <c r="AA78" s="21">
        <f>EXP(-LN(2)/25)*AA77+(1-EXP(-LN(2)/25))/(LN(2)/25)*Calculateur!V78*Calculateur!X78*VLOOKUP('Données projet'!$B$9,Paramètres!$A$1:$I$89,3,0)*0.475*44/12</f>
        <v>31.526619459121513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71.907049887514376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65.155365722874691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10.985833333333332</v>
      </c>
      <c r="AI78" s="13">
        <f>IF('Données projet'!$A$62&gt;35,AI77+AH78-AQ77,IF(A78&lt;'Données projet'!$A$62,$AF$205^A78,IF(A78='Données projet'!$A$62,'Données projet'!$B$62,AI77+AH78-AQ77)))</f>
        <v>310.30166666666724</v>
      </c>
      <c r="AJ78" s="13">
        <f>AI78*VLOOKUP('Données projet'!$B$10,Paramètres!$A$1:$I$89,3,0)*VLOOKUP('Données projet'!$B$10,Paramètres!$A$1:$I$89,5,0)</f>
        <v>145.22118000000026</v>
      </c>
      <c r="AK78" s="13">
        <f t="shared" si="89"/>
        <v>37.490543694625295</v>
      </c>
      <c r="AL78" s="20">
        <f t="shared" si="58"/>
        <v>318.22291876813949</v>
      </c>
      <c r="AM78" s="59">
        <f t="shared" si="59"/>
        <v>593.79259308534665</v>
      </c>
      <c r="AN78" s="59">
        <f ca="1">AVERAGE(OFFSET($AM$3,0,0,'Données projet'!$E$10+1,1))-AVERAGE(OFFSET($H$3,0,0,'Données projet'!$E$10+1,1))</f>
        <v>360.04137410460385</v>
      </c>
      <c r="AO78" s="59">
        <f t="shared" si="90"/>
        <v>287.81656468701829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67.061777110347506</v>
      </c>
      <c r="AV78" s="21">
        <f>EXP(-LN(2)/25)*AV77+(1-EXP(-LN(2)/25))/(LN(2)/25)*Calculateur!AQ78*Calculateur!AS78*VLOOKUP('Données projet'!$B$10,Paramètres!$A$1:$I$89,3,0)*0.475*44/12</f>
        <v>25.775445819903695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92.837222930251201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65.155365722874691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155.76430449447392</v>
      </c>
      <c r="BJ78" s="59">
        <f t="shared" si="92"/>
        <v>363.39275685992129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27.591897708873486</v>
      </c>
      <c r="BQ78" s="21">
        <f>EXP(-LN(2)/25)*BQ77+(1-EXP(-LN(2)/25))/(LN(2)/25)*Calculateur!BL78*Calculateur!BN78*VLOOKUP('Données projet'!$B$11,Paramètres!$A$1:$I$89,3,0)*0.475*44/12</f>
        <v>4.9711875455611558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32.56308525443464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65.155365722874691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8.6770000000000014</v>
      </c>
      <c r="BY78" s="12">
        <f>IF('Données projet'!$A$114&gt;35,BY77+BX78-CG77,IF(A78&lt;'Données projet'!$A$114,$BV$205^A78,IF(A78='Données projet'!$A$114,'Données projet'!$B$114,BY77+BX78-CG77)))</f>
        <v>247.25700000000009</v>
      </c>
      <c r="BZ78" s="13">
        <f>BY78*VLOOKUP('Données projet'!$B$12,Paramètres!$A$1:$I$89,3,0)*VLOOKUP('Données projet'!$B$12,Paramètres!$A$1:$I$89,5,0)</f>
        <v>250.7185980000001</v>
      </c>
      <c r="CA78" s="13">
        <f t="shared" si="93"/>
        <v>60.739792084155006</v>
      </c>
      <c r="CB78" s="20">
        <f t="shared" si="64"/>
        <v>542.45669606323679</v>
      </c>
      <c r="CC78" s="59">
        <f t="shared" si="65"/>
        <v>818.02637038044395</v>
      </c>
      <c r="CD78" s="59">
        <f ca="1">AVERAGE(OFFSET($CC$3,0,0,'Données projet'!$E$12+1,1))-AVERAGE(OFFSET($H$3,0,0,'Données projet'!$E$12+1,1))</f>
        <v>679.4570479719705</v>
      </c>
      <c r="CE78" s="59">
        <f t="shared" si="94"/>
        <v>310.8252119379963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36.543189922539156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36.543189922539156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65.155365722874691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146.95547268081216</v>
      </c>
      <c r="CZ78" s="59">
        <f t="shared" si="96"/>
        <v>343.21355872318065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25.814505525173036</v>
      </c>
      <c r="DG78" s="21">
        <f>EXP(-LN(2)/25)*DG77+(1-EXP(-LN(2)/25))/(LN(2)/25)*Calculateur!DB78*Calculateur!DD78*VLOOKUP('Données projet'!$B$13,Paramètres!$A$1:$I$89,3,0)*0.475*44/12</f>
        <v>4.6509576729943323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30.46546319816737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65.155365722874691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65.155365722874691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65.155365722874691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65.155365722874691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65.155365722874691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3.5999999999999996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13.199999999999998</v>
      </c>
      <c r="H79" s="67">
        <f t="shared" si="56"/>
        <v>203.86666666666667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65.239409296603156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9.782</v>
      </c>
      <c r="N79" s="13">
        <f>IF('Données projet'!$A$36&gt;35,N78+M79-V78,IF(A79&lt;'Données projet'!$A$36,$K$205^A79,IF(A79='Données projet'!$A$36,'Données projet'!$B$36,N78+M79-V78)))</f>
        <v>480.87200000000001</v>
      </c>
      <c r="O79" s="13">
        <f>N79*VLOOKUP('Données projet'!$B$9,Paramètres!$A$1:$I$89,3,0)*VLOOKUP('Données projet'!$B$9,Paramètres!$A$1:$I$89,5,0)</f>
        <v>287.56145600000002</v>
      </c>
      <c r="P79" s="13">
        <f t="shared" si="87"/>
        <v>68.562475277867222</v>
      </c>
      <c r="Q79" s="20">
        <f t="shared" si="54"/>
        <v>620.24918030895208</v>
      </c>
      <c r="R79" s="59">
        <f t="shared" si="55"/>
        <v>896.12701439649697</v>
      </c>
      <c r="S79" s="59">
        <f ca="1">AVERAGE(OFFSET($R$3,0,0,'Données projet'!$E$9+1,1))-AVERAGE(OFFSET($H$3,0,0,'Données projet'!$E$9+1,1))</f>
        <v>366.78396742205962</v>
      </c>
      <c r="T79" s="59">
        <f t="shared" si="88"/>
        <v>271.89887525994988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39.588594817322665</v>
      </c>
      <c r="AA79" s="21">
        <f>EXP(-LN(2)/25)*AA78+(1-EXP(-LN(2)/25))/(LN(2)/25)*Calculateur!V79*Calculateur!X79*VLOOKUP('Données projet'!$B$9,Paramètres!$A$1:$I$89,3,0)*0.475*44/12</f>
        <v>30.664522392098974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70.253117209421646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65.239409296603156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10.985833333333332</v>
      </c>
      <c r="AI79" s="13">
        <f>IF('Données projet'!$A$62&gt;35,AI78+AH79-AQ78,IF(A79&lt;'Données projet'!$A$62,$AF$205^A79,IF(A79='Données projet'!$A$62,'Données projet'!$B$62,AI78+AH79-AQ78)))</f>
        <v>321.28750000000059</v>
      </c>
      <c r="AJ79" s="13">
        <f>AI79*VLOOKUP('Données projet'!$B$10,Paramètres!$A$1:$I$89,3,0)*VLOOKUP('Données projet'!$B$10,Paramètres!$A$1:$I$89,5,0)</f>
        <v>150.36255000000028</v>
      </c>
      <c r="AK79" s="13">
        <f t="shared" si="89"/>
        <v>38.660964829863467</v>
      </c>
      <c r="AL79" s="20">
        <f t="shared" si="58"/>
        <v>329.21595499534607</v>
      </c>
      <c r="AM79" s="59">
        <f t="shared" si="59"/>
        <v>605.09378908289091</v>
      </c>
      <c r="AN79" s="59">
        <f ca="1">AVERAGE(OFFSET($AM$3,0,0,'Données projet'!$E$10+1,1))-AVERAGE(OFFSET($H$3,0,0,'Données projet'!$E$10+1,1))</f>
        <v>360.04137410460385</v>
      </c>
      <c r="AO79" s="59">
        <f t="shared" si="90"/>
        <v>287.81656468701829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65.746736564858736</v>
      </c>
      <c r="AV79" s="21">
        <f>EXP(-LN(2)/25)*AV78+(1-EXP(-LN(2)/25))/(LN(2)/25)*Calculateur!AQ79*Calculateur!AS79*VLOOKUP('Données projet'!$B$10,Paramètres!$A$1:$I$89,3,0)*0.475*44/12</f>
        <v>25.070614898486642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90.817351463345375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65.239409296603156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155.76430449447392</v>
      </c>
      <c r="BJ79" s="59">
        <f t="shared" si="92"/>
        <v>363.39275685992129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27.050837424198313</v>
      </c>
      <c r="BQ79" s="21">
        <f>EXP(-LN(2)/25)*BQ78+(1-EXP(-LN(2)/25))/(LN(2)/25)*Calculateur!BL79*Calculateur!BN79*VLOOKUP('Données projet'!$B$11,Paramètres!$A$1:$I$89,3,0)*0.475*44/12</f>
        <v>4.835250160704395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31.886087584902707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65.239409296603156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8.6770000000000014</v>
      </c>
      <c r="BY79" s="12">
        <f>IF('Données projet'!$A$114&gt;35,BY78+BX79-CG78,IF(A79&lt;'Données projet'!$A$114,$BV$205^A79,IF(A79='Données projet'!$A$114,'Données projet'!$B$114,BY78+BX79-CG78)))</f>
        <v>255.93400000000008</v>
      </c>
      <c r="BZ79" s="13">
        <f>BY79*VLOOKUP('Données projet'!$B$12,Paramètres!$A$1:$I$89,3,0)*VLOOKUP('Données projet'!$B$12,Paramètres!$A$1:$I$89,5,0)</f>
        <v>259.51707600000009</v>
      </c>
      <c r="CA79" s="13">
        <f t="shared" si="93"/>
        <v>62.619426939193161</v>
      </c>
      <c r="CB79" s="20">
        <f t="shared" si="64"/>
        <v>561.05440928576149</v>
      </c>
      <c r="CC79" s="59">
        <f t="shared" si="65"/>
        <v>836.93224337330639</v>
      </c>
      <c r="CD79" s="59">
        <f ca="1">AVERAGE(OFFSET($CC$3,0,0,'Données projet'!$E$12+1,1))-AVERAGE(OFFSET($H$3,0,0,'Données projet'!$E$12+1,1))</f>
        <v>679.4570479719705</v>
      </c>
      <c r="CE79" s="59">
        <f t="shared" si="94"/>
        <v>310.8252119379963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35.826600257303149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35.826600257303149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65.239409296603156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146.95547268081216</v>
      </c>
      <c r="CZ79" s="59">
        <f t="shared" si="96"/>
        <v>343.21355872318065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25.308298817118043</v>
      </c>
      <c r="DG79" s="21">
        <f>EXP(-LN(2)/25)*DG78+(1-EXP(-LN(2)/25))/(LN(2)/25)*Calculateur!DB79*Calculateur!DD79*VLOOKUP('Données projet'!$B$13,Paramètres!$A$1:$I$89,3,0)*0.475*44/12</f>
        <v>4.5237769908430678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29.832075807961111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65.239409296603156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65.239409296603156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65.239409296603156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65.239409296603156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65.239409296603156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3.5999999999999996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13.199999999999998</v>
      </c>
      <c r="H80" s="67">
        <f t="shared" si="56"/>
        <v>203.86666666666667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65.321994902220752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9.782</v>
      </c>
      <c r="N80" s="13">
        <f>IF('Données projet'!$A$36&gt;35,N79+M80-V79,IF(A80&lt;'Données projet'!$A$36,$K$205^A80,IF(A80='Données projet'!$A$36,'Données projet'!$B$36,N79+M80-V79)))</f>
        <v>490.654</v>
      </c>
      <c r="O80" s="13">
        <f>N80*VLOOKUP('Données projet'!$B$9,Paramètres!$A$1:$I$89,3,0)*VLOOKUP('Données projet'!$B$9,Paramètres!$A$1:$I$89,5,0)</f>
        <v>293.411092</v>
      </c>
      <c r="P80" s="13">
        <f t="shared" si="87"/>
        <v>69.79339504623151</v>
      </c>
      <c r="Q80" s="20">
        <f t="shared" si="54"/>
        <v>632.58114827218651</v>
      </c>
      <c r="R80" s="59">
        <f t="shared" si="55"/>
        <v>908.76179624699603</v>
      </c>
      <c r="S80" s="59">
        <f ca="1">AVERAGE(OFFSET($R$3,0,0,'Données projet'!$E$9+1,1))-AVERAGE(OFFSET($H$3,0,0,'Données projet'!$E$9+1,1))</f>
        <v>366.78396742205962</v>
      </c>
      <c r="T80" s="59">
        <f t="shared" si="88"/>
        <v>271.89887525994988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38.812286619613523</v>
      </c>
      <c r="AA80" s="21">
        <f>EXP(-LN(2)/25)*AA79+(1-EXP(-LN(2)/25))/(LN(2)/25)*Calculateur!V80*Calculateur!X80*VLOOKUP('Données projet'!$B$9,Paramètres!$A$1:$I$89,3,0)*0.475*44/12</f>
        <v>29.82599941470988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68.6382860343234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65.321994902220752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10.985833333333332</v>
      </c>
      <c r="AI80" s="13">
        <f>IF('Données projet'!$A$62&gt;35,AI79+AH80-AQ79,IF(A80&lt;'Données projet'!$A$62,$AF$205^A80,IF(A80='Données projet'!$A$62,'Données projet'!$B$62,AI79+AH80-AQ79)))</f>
        <v>332.27333333333394</v>
      </c>
      <c r="AJ80" s="13">
        <f>AI80*VLOOKUP('Données projet'!$B$10,Paramètres!$A$1:$I$89,3,0)*VLOOKUP('Données projet'!$B$10,Paramètres!$A$1:$I$89,5,0)</f>
        <v>155.50392000000028</v>
      </c>
      <c r="AK80" s="13">
        <f t="shared" si="89"/>
        <v>39.826735892383049</v>
      </c>
      <c r="AL80" s="20">
        <f t="shared" si="58"/>
        <v>340.20089234590097</v>
      </c>
      <c r="AM80" s="59">
        <f t="shared" si="59"/>
        <v>616.38154032071043</v>
      </c>
      <c r="AN80" s="59">
        <f ca="1">AVERAGE(OFFSET($AM$3,0,0,'Données projet'!$E$10+1,1))-AVERAGE(OFFSET($H$3,0,0,'Données projet'!$E$10+1,1))</f>
        <v>360.04137410460385</v>
      </c>
      <c r="AO80" s="59">
        <f t="shared" si="90"/>
        <v>287.81656468701829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64.45748316237146</v>
      </c>
      <c r="AV80" s="21">
        <f>EXP(-LN(2)/25)*AV79+(1-EXP(-LN(2)/25))/(LN(2)/25)*Calculateur!AQ80*Calculateur!AS80*VLOOKUP('Données projet'!$B$10,Paramètres!$A$1:$I$89,3,0)*0.475*44/12</f>
        <v>24.385057615681188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88.842540778052651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65.321994902220752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155.76430449447392</v>
      </c>
      <c r="BJ80" s="59">
        <f t="shared" si="92"/>
        <v>363.39275685992129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26.520387001691436</v>
      </c>
      <c r="BQ80" s="21">
        <f>EXP(-LN(2)/25)*BQ79+(1-EXP(-LN(2)/25))/(LN(2)/25)*Calculateur!BL80*Calculateur!BN80*VLOOKUP('Données projet'!$B$11,Paramètres!$A$1:$I$89,3,0)*0.475*44/12</f>
        <v>4.7030299907851782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31.223416992476615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65.321994902220752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8.6770000000000014</v>
      </c>
      <c r="BY80" s="12">
        <f>IF('Données projet'!$A$114&gt;35,BY79+BX80-CG79,IF(A80&lt;'Données projet'!$A$114,$BV$205^A80,IF(A80='Données projet'!$A$114,'Données projet'!$B$114,BY79+BX80-CG79)))</f>
        <v>264.6110000000001</v>
      </c>
      <c r="BZ80" s="13">
        <f>BY80*VLOOKUP('Données projet'!$B$12,Paramètres!$A$1:$I$89,3,0)*VLOOKUP('Données projet'!$B$12,Paramètres!$A$1:$I$89,5,0)</f>
        <v>268.31555400000013</v>
      </c>
      <c r="CA80" s="13">
        <f t="shared" si="93"/>
        <v>64.491657233004062</v>
      </c>
      <c r="CB80" s="20">
        <f t="shared" si="64"/>
        <v>579.63922623081567</v>
      </c>
      <c r="CC80" s="59">
        <f t="shared" si="65"/>
        <v>855.81987420562518</v>
      </c>
      <c r="CD80" s="59">
        <f ca="1">AVERAGE(OFFSET($CC$3,0,0,'Données projet'!$E$12+1,1))-AVERAGE(OFFSET($H$3,0,0,'Données projet'!$E$12+1,1))</f>
        <v>679.4570479719705</v>
      </c>
      <c r="CE80" s="59">
        <f t="shared" si="94"/>
        <v>310.8252119379963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35.124062478325875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35.124062478325875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65.321994902220752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146.95547268081216</v>
      </c>
      <c r="CZ80" s="59">
        <f t="shared" si="96"/>
        <v>343.21355872318065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24.812018513852404</v>
      </c>
      <c r="DG80" s="21">
        <f>EXP(-LN(2)/25)*DG79+(1-EXP(-LN(2)/25))/(LN(2)/25)*Calculateur!DB80*Calculateur!DD80*VLOOKUP('Données projet'!$B$13,Paramètres!$A$1:$I$89,3,0)*0.475*44/12</f>
        <v>4.4000740711333712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29.212092584985776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65.321994902220752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65.321994902220752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65.321994902220752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65.321994902220752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65.321994902220752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3.5999999999999996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13.199999999999998</v>
      </c>
      <c r="H81" s="67">
        <f t="shared" si="56"/>
        <v>203.86666666666667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65.4031478322146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9.782</v>
      </c>
      <c r="N81" s="13">
        <f>IF('Données projet'!$A$36&gt;35,N80+M81-V80,IF(A81&lt;'Données projet'!$A$36,$K$205^A81,IF(A81='Données projet'!$A$36,'Données projet'!$B$36,N80+M81-V80)))</f>
        <v>500.43599999999998</v>
      </c>
      <c r="O81" s="13">
        <f>N81*VLOOKUP('Données projet'!$B$9,Paramètres!$A$1:$I$89,3,0)*VLOOKUP('Données projet'!$B$9,Paramètres!$A$1:$I$89,5,0)</f>
        <v>299.26072800000003</v>
      </c>
      <c r="P81" s="13">
        <f t="shared" si="87"/>
        <v>71.021461421315166</v>
      </c>
      <c r="Q81" s="20">
        <f t="shared" si="54"/>
        <v>644.90814657545729</v>
      </c>
      <c r="R81" s="59">
        <f t="shared" si="55"/>
        <v>921.38635529357748</v>
      </c>
      <c r="S81" s="59">
        <f ca="1">AVERAGE(OFFSET($R$3,0,0,'Données projet'!$E$9+1,1))-AVERAGE(OFFSET($H$3,0,0,'Données projet'!$E$9+1,1))</f>
        <v>366.78396742205962</v>
      </c>
      <c r="T81" s="59">
        <f t="shared" si="88"/>
        <v>271.89887525994988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38.051201352160213</v>
      </c>
      <c r="AA81" s="21">
        <f>EXP(-LN(2)/25)*AA80+(1-EXP(-LN(2)/25))/(LN(2)/25)*Calculateur!V81*Calculateur!X81*VLOOKUP('Données projet'!$B$9,Paramètres!$A$1:$I$89,3,0)*0.475*44/12</f>
        <v>29.010405892233496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67.061607244393713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65.4031478322146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10.985833333333332</v>
      </c>
      <c r="AI81" s="13">
        <f>IF('Données projet'!$A$62&gt;35,AI80+AH81-AQ80,IF(A81&lt;'Données projet'!$A$62,$AF$205^A81,IF(A81='Données projet'!$A$62,'Données projet'!$B$62,AI80+AH81-AQ80)))</f>
        <v>343.25916666666728</v>
      </c>
      <c r="AJ81" s="13">
        <f>AI81*VLOOKUP('Données projet'!$B$10,Paramètres!$A$1:$I$89,3,0)*VLOOKUP('Données projet'!$B$10,Paramètres!$A$1:$I$89,5,0)</f>
        <v>160.64529000000027</v>
      </c>
      <c r="AK81" s="13">
        <f t="shared" si="89"/>
        <v>40.988028255180659</v>
      </c>
      <c r="AL81" s="20">
        <f t="shared" si="58"/>
        <v>351.17802929444014</v>
      </c>
      <c r="AM81" s="59">
        <f t="shared" si="59"/>
        <v>627.65623801256038</v>
      </c>
      <c r="AN81" s="59">
        <f ca="1">AVERAGE(OFFSET($AM$3,0,0,'Données projet'!$E$10+1,1))-AVERAGE(OFFSET($H$3,0,0,'Données projet'!$E$10+1,1))</f>
        <v>360.04137410460385</v>
      </c>
      <c r="AO81" s="59">
        <f t="shared" si="90"/>
        <v>287.81656468701829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63.193511232740036</v>
      </c>
      <c r="AV81" s="21">
        <f>EXP(-LN(2)/25)*AV80+(1-EXP(-LN(2)/25))/(LN(2)/25)*Calculateur!AQ81*Calculateur!AS81*VLOOKUP('Données projet'!$B$10,Paramètres!$A$1:$I$89,3,0)*0.475*44/12</f>
        <v>23.718246932825938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86.911758165565971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65.4031478322146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155.76430449447392</v>
      </c>
      <c r="BJ81" s="59">
        <f t="shared" si="92"/>
        <v>363.39275685992129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26.000338388427107</v>
      </c>
      <c r="BQ81" s="21">
        <f>EXP(-LN(2)/25)*BQ80+(1-EXP(-LN(2)/25))/(LN(2)/25)*Calculateur!BL81*Calculateur!BN81*VLOOKUP('Données projet'!$B$11,Paramètres!$A$1:$I$89,3,0)*0.475*44/12</f>
        <v>4.574425388365559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30.574763776792665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65.4031478322146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8.6770000000000014</v>
      </c>
      <c r="BY81" s="12">
        <f>IF('Données projet'!$A$114&gt;35,BY80+BX81-CG80,IF(A81&lt;'Données projet'!$A$114,$BV$205^A81,IF(A81='Données projet'!$A$114,'Données projet'!$B$114,BY80+BX81-CG80)))</f>
        <v>273.28800000000012</v>
      </c>
      <c r="BZ81" s="13">
        <f>BY81*VLOOKUP('Données projet'!$B$12,Paramètres!$A$1:$I$89,3,0)*VLOOKUP('Données projet'!$B$12,Paramètres!$A$1:$I$89,5,0)</f>
        <v>277.11403200000018</v>
      </c>
      <c r="CA81" s="13">
        <f t="shared" si="93"/>
        <v>66.356753617040368</v>
      </c>
      <c r="CB81" s="20">
        <f t="shared" si="64"/>
        <v>598.21161828301217</v>
      </c>
      <c r="CC81" s="59">
        <f t="shared" si="65"/>
        <v>874.68982700113236</v>
      </c>
      <c r="CD81" s="59">
        <f ca="1">AVERAGE(OFFSET($CC$3,0,0,'Données projet'!$E$12+1,1))-AVERAGE(OFFSET($H$3,0,0,'Données projet'!$E$12+1,1))</f>
        <v>679.4570479719705</v>
      </c>
      <c r="CE81" s="59">
        <f t="shared" si="94"/>
        <v>310.8252119379963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34.435301036688614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34.435301036688614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65.4031478322146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146.95547268081216</v>
      </c>
      <c r="CZ81" s="59">
        <f t="shared" si="96"/>
        <v>343.21355872318065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24.32546996463271</v>
      </c>
      <c r="DG81" s="21">
        <f>EXP(-LN(2)/25)*DG80+(1-EXP(-LN(2)/25))/(LN(2)/25)*Calculateur!DB81*Calculateur!DD81*VLOOKUP('Données projet'!$B$13,Paramètres!$A$1:$I$89,3,0)*0.475*44/12</f>
        <v>4.27975381426839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28.605223778901099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65.4031478322146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65.4031478322146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65.4031478322146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65.4031478322146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65.4031478322146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3.5999999999999996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13.199999999999998</v>
      </c>
      <c r="H82" s="67">
        <f t="shared" si="56"/>
        <v>203.86666666666667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65.482892940303842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9.782</v>
      </c>
      <c r="N82" s="13">
        <f>IF('Données projet'!$A$36&gt;35,N81+M82-V81,IF(A82&lt;'Données projet'!$A$36,$K$205^A82,IF(A82='Données projet'!$A$36,'Données projet'!$B$36,N81+M82-V81)))</f>
        <v>510.21799999999996</v>
      </c>
      <c r="O82" s="13">
        <f>N82*VLOOKUP('Données projet'!$B$9,Paramètres!$A$1:$I$89,3,0)*VLOOKUP('Données projet'!$B$9,Paramètres!$A$1:$I$89,5,0)</f>
        <v>305.110364</v>
      </c>
      <c r="P82" s="13">
        <f t="shared" si="87"/>
        <v>72.246736607705117</v>
      </c>
      <c r="Q82" s="20">
        <f t="shared" si="54"/>
        <v>657.23028355841973</v>
      </c>
      <c r="R82" s="59">
        <f t="shared" si="55"/>
        <v>934.00089100620039</v>
      </c>
      <c r="S82" s="59">
        <f ca="1">AVERAGE(OFFSET($R$3,0,0,'Données projet'!$E$9+1,1))-AVERAGE(OFFSET($H$3,0,0,'Données projet'!$E$9+1,1))</f>
        <v>366.78396742205962</v>
      </c>
      <c r="T82" s="59">
        <f t="shared" si="88"/>
        <v>271.89887525994988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37.305040502585484</v>
      </c>
      <c r="AA82" s="21">
        <f>EXP(-LN(2)/25)*AA81+(1-EXP(-LN(2)/25))/(LN(2)/25)*Calculateur!V82*Calculateur!X82*VLOOKUP('Données projet'!$B$9,Paramètres!$A$1:$I$89,3,0)*0.475*44/12</f>
        <v>28.21711481751943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65.522155320104915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65.482892940303842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10.985833333333332</v>
      </c>
      <c r="AI82" s="13">
        <f>IF('Données projet'!$A$62&gt;35,AI81+AH82-AQ81,IF(A82&lt;'Données projet'!$A$62,$AF$205^A82,IF(A82='Données projet'!$A$62,'Données projet'!$B$62,AI81+AH82-AQ81)))</f>
        <v>354.24500000000063</v>
      </c>
      <c r="AJ82" s="13">
        <f>AI82*VLOOKUP('Données projet'!$B$10,Paramètres!$A$1:$I$89,3,0)*VLOOKUP('Données projet'!$B$10,Paramètres!$A$1:$I$89,5,0)</f>
        <v>165.7866600000003</v>
      </c>
      <c r="AK82" s="13">
        <f t="shared" si="89"/>
        <v>42.145001699009093</v>
      </c>
      <c r="AL82" s="20">
        <f t="shared" si="58"/>
        <v>362.14764412577466</v>
      </c>
      <c r="AM82" s="59">
        <f t="shared" si="59"/>
        <v>638.91825157355538</v>
      </c>
      <c r="AN82" s="59">
        <f ca="1">AVERAGE(OFFSET($AM$3,0,0,'Données projet'!$E$10+1,1))-AVERAGE(OFFSET($H$3,0,0,'Données projet'!$E$10+1,1))</f>
        <v>360.04137410460385</v>
      </c>
      <c r="AO82" s="59">
        <f t="shared" si="90"/>
        <v>287.81656468701829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61.954325021701926</v>
      </c>
      <c r="AV82" s="21">
        <f>EXP(-LN(2)/25)*AV81+(1-EXP(-LN(2)/25))/(LN(2)/25)*Calculateur!AQ82*Calculateur!AS82*VLOOKUP('Données projet'!$B$10,Paramètres!$A$1:$I$89,3,0)*0.475*44/12</f>
        <v>23.069670223159417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85.023995244861339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65.482892940303842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155.76430449447392</v>
      </c>
      <c r="BJ82" s="59">
        <f t="shared" si="92"/>
        <v>363.39275685992129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25.490487611270556</v>
      </c>
      <c r="BQ82" s="21">
        <f>EXP(-LN(2)/25)*BQ81+(1-EXP(-LN(2)/25))/(LN(2)/25)*Calculateur!BL82*Calculateur!BN82*VLOOKUP('Données projet'!$B$11,Paramètres!$A$1:$I$89,3,0)*0.475*44/12</f>
        <v>4.4493374855621264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29.939825096832681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65.482892940303842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8.6770000000000014</v>
      </c>
      <c r="BY82" s="12">
        <f>IF('Données projet'!$A$114&gt;35,BY81+BX82-CG81,IF(A82&lt;'Données projet'!$A$114,$BV$205^A82,IF(A82='Données projet'!$A$114,'Données projet'!$B$114,BY81+BX82-CG81)))</f>
        <v>281.96500000000015</v>
      </c>
      <c r="BZ82" s="13">
        <f>BY82*VLOOKUP('Données projet'!$B$12,Paramètres!$A$1:$I$89,3,0)*VLOOKUP('Données projet'!$B$12,Paramètres!$A$1:$I$89,5,0)</f>
        <v>285.91251000000017</v>
      </c>
      <c r="CA82" s="13">
        <f t="shared" si="93"/>
        <v>68.214968580220258</v>
      </c>
      <c r="CB82" s="20">
        <f t="shared" si="64"/>
        <v>616.77202519388391</v>
      </c>
      <c r="CC82" s="59">
        <f t="shared" si="65"/>
        <v>893.54263264166457</v>
      </c>
      <c r="CD82" s="59">
        <f ca="1">AVERAGE(OFFSET($CC$3,0,0,'Données projet'!$E$12+1,1))-AVERAGE(OFFSET($H$3,0,0,'Données projet'!$E$12+1,1))</f>
        <v>679.4570479719705</v>
      </c>
      <c r="CE82" s="59">
        <f t="shared" si="94"/>
        <v>310.8252119379963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33.760045786818864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33.760045786818864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65.482892940303842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146.95547268081216</v>
      </c>
      <c r="CZ82" s="59">
        <f t="shared" si="96"/>
        <v>343.21355872318065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23.848462335697903</v>
      </c>
      <c r="DG82" s="21">
        <f>EXP(-LN(2)/25)*DG81+(1-EXP(-LN(2)/25))/(LN(2)/25)*Calculateur!DB82*Calculateur!DD82*VLOOKUP('Données projet'!$B$13,Paramètres!$A$1:$I$89,3,0)*0.475*44/12</f>
        <v>4.162723721154749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28.011186056852651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65.482892940303842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65.482892940303842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65.482892940303842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65.482892940303842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65.482892940303842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3.5999999999999996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13.199999999999998</v>
      </c>
      <c r="H83" s="67">
        <f t="shared" si="56"/>
        <v>203.86666666666667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65.561254649051079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520</v>
      </c>
      <c r="L83" s="12">
        <f>VLOOKUP(A83,'Données projet'!$A$35:$I$55,9,0)</f>
        <v>9.782</v>
      </c>
      <c r="M83" s="12">
        <f t="array" ref="M83">INDEX(L:L,MIN(IF(ISNUMBER(L83:L279),ROW(L83:L279),"")))</f>
        <v>9.782</v>
      </c>
      <c r="N83" s="13">
        <f>IF('Données projet'!$A$36&gt;35,N82+M83-V82,IF(A83&lt;'Données projet'!$A$36,$K$205^A83,IF(A83='Données projet'!$A$36,'Données projet'!$B$36,N82+M83-V82)))</f>
        <v>520</v>
      </c>
      <c r="O83" s="13">
        <f>N83*VLOOKUP('Données projet'!$B$9,Paramètres!$A$1:$I$89,3,0)*VLOOKUP('Données projet'!$B$9,Paramètres!$A$1:$I$89,5,0)</f>
        <v>310.96000000000004</v>
      </c>
      <c r="P83" s="13">
        <f t="shared" si="87"/>
        <v>73.469280288324128</v>
      </c>
      <c r="Q83" s="20">
        <f t="shared" si="54"/>
        <v>669.54766316883126</v>
      </c>
      <c r="R83" s="59">
        <f t="shared" si="55"/>
        <v>946.60559688201852</v>
      </c>
      <c r="S83" s="59">
        <f ca="1">AVERAGE(OFFSET($R$3,0,0,'Données projet'!$E$9+1,1))-AVERAGE(OFFSET($H$3,0,0,'Données projet'!$E$9+1,1))</f>
        <v>366.78396742205962</v>
      </c>
      <c r="T83" s="59">
        <f t="shared" si="88"/>
        <v>271.89887525994988</v>
      </c>
      <c r="U83" s="15">
        <f>IF(ISNA(VLOOKUP(A83,'Données projet'!$A$35:$I$55,3,0)),0,VLOOKUP(A83,'Données projet'!$A$35:$I$55,3,0))</f>
        <v>8</v>
      </c>
      <c r="V83" s="15">
        <f>IF(ISNA(VLOOKUP(A83,'Données projet'!$A$35:$I$55,4,0)),0,VLOOKUP(A83,'Données projet'!$A$35:$I$55,4,0))</f>
        <v>520</v>
      </c>
      <c r="W83" s="16">
        <f>IF(ISNA(VLOOKUP(A83,'Données projet'!$A$35:$I$55,5,0)),0%,VLOOKUP(A83,'Données projet'!$A$35:$I$55,5,0)*VLOOKUP('Données projet'!$B$9,Paramètres!$A$1:$I$89,7,0))</f>
        <v>0.315</v>
      </c>
      <c r="X83" s="16">
        <f>IF(ISNA(VLOOKUP(A83,'Données projet'!$A$35:$I$55,6,0)),0%,VLOOKUP(A83,'Données projet'!$A$35:$I$55,6,0)*VLOOKUP('Données projet'!$B$9,Paramètres!$A$1:$I$89,7,0))</f>
        <v>0.13500000000000001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166.51368357715378</v>
      </c>
      <c r="AA83" s="21">
        <f>EXP(-LN(2)/25)*AA82+(1-EXP(-LN(2)/25))/(LN(2)/25)*Calculateur!V83*Calculateur!X83*VLOOKUP('Données projet'!$B$9,Paramètres!$A$1:$I$89,3,0)*0.475*44/12</f>
        <v>82.914894127287326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249.42857770444112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65.561254649051079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10.985833333333332</v>
      </c>
      <c r="AI83" s="13">
        <f>IF('Données projet'!$A$62&gt;35,AI82+AH83-AQ82,IF(A83&lt;'Données projet'!$A$62,$AF$205^A83,IF(A83='Données projet'!$A$62,'Données projet'!$B$62,AI82+AH83-AQ82)))</f>
        <v>365.23083333333398</v>
      </c>
      <c r="AJ83" s="13">
        <f>AI83*VLOOKUP('Données projet'!$B$10,Paramètres!$A$1:$I$89,3,0)*VLOOKUP('Données projet'!$B$10,Paramètres!$A$1:$I$89,5,0)</f>
        <v>170.92803000000032</v>
      </c>
      <c r="AK83" s="13">
        <f t="shared" si="89"/>
        <v>43.297805531428544</v>
      </c>
      <c r="AL83" s="20">
        <f t="shared" si="58"/>
        <v>373.1099968839053</v>
      </c>
      <c r="AM83" s="59">
        <f t="shared" si="59"/>
        <v>650.16793059709266</v>
      </c>
      <c r="AN83" s="59">
        <f ca="1">AVERAGE(OFFSET($AM$3,0,0,'Données projet'!$E$10+1,1))-AVERAGE(OFFSET($H$3,0,0,'Données projet'!$E$10+1,1))</f>
        <v>360.04137410460385</v>
      </c>
      <c r="AO83" s="59">
        <f t="shared" si="90"/>
        <v>287.81656468701829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60.739438496433323</v>
      </c>
      <c r="AV83" s="21">
        <f>EXP(-LN(2)/25)*AV82+(1-EXP(-LN(2)/25))/(LN(2)/25)*Calculateur!AQ83*Calculateur!AS83*VLOOKUP('Données projet'!$B$10,Paramètres!$A$1:$I$89,3,0)*0.475*44/12</f>
        <v>22.438828877725893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83.178267374159219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65.561254649051079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155.76430449447392</v>
      </c>
      <c r="BJ83" s="59">
        <f t="shared" si="92"/>
        <v>363.39275685992129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24.99063469687578</v>
      </c>
      <c r="BQ83" s="21">
        <f>EXP(-LN(2)/25)*BQ82+(1-EXP(-LN(2)/25))/(LN(2)/25)*Calculateur!BL83*Calculateur!BN83*VLOOKUP('Données projet'!$B$11,Paramètres!$A$1:$I$89,3,0)*0.475*44/12</f>
        <v>4.3276701180389407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29.318304814914722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65.561254649051079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8.6770000000000014</v>
      </c>
      <c r="BY83" s="12">
        <f>IF('Données projet'!$A$114&gt;35,BY82+BX83-CG82,IF(A83&lt;'Données projet'!$A$114,$BV$205^A83,IF(A83='Données projet'!$A$114,'Données projet'!$B$114,BY82+BX83-CG82)))</f>
        <v>290.64200000000017</v>
      </c>
      <c r="BZ83" s="13">
        <f>BY83*VLOOKUP('Données projet'!$B$12,Paramètres!$A$1:$I$89,3,0)*VLOOKUP('Données projet'!$B$12,Paramètres!$A$1:$I$89,5,0)</f>
        <v>294.71098800000021</v>
      </c>
      <c r="CA83" s="13">
        <f t="shared" si="93"/>
        <v>70.066538188752801</v>
      </c>
      <c r="CB83" s="20">
        <f t="shared" si="64"/>
        <v>635.3208581120781</v>
      </c>
      <c r="CC83" s="59">
        <f t="shared" si="65"/>
        <v>912.37879182526535</v>
      </c>
      <c r="CD83" s="59">
        <f ca="1">AVERAGE(OFFSET($CC$3,0,0,'Données projet'!$E$12+1,1))-AVERAGE(OFFSET($H$3,0,0,'Données projet'!$E$12+1,1))</f>
        <v>679.4570479719705</v>
      </c>
      <c r="CE83" s="59">
        <f t="shared" si="94"/>
        <v>310.8252119379963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33.098031880534023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33.098031880534023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65.561254649051079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146.95547268081216</v>
      </c>
      <c r="CZ83" s="59">
        <f t="shared" si="96"/>
        <v>343.21355872318065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23.380808535420581</v>
      </c>
      <c r="DG83" s="21">
        <f>EXP(-LN(2)/25)*DG82+(1-EXP(-LN(2)/25))/(LN(2)/25)*Calculateur!DB83*Calculateur!DD83*VLOOKUP('Données projet'!$B$13,Paramètres!$A$1:$I$89,3,0)*0.475*44/12</f>
        <v>4.0488938220916459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27.429702357512227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65.561254649051079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65.561254649051079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65.561254649051079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65.561254649051079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65.561254649051079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3.5999999999999996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13.199999999999998</v>
      </c>
      <c r="H84" s="67">
        <f t="shared" si="56"/>
        <v>203.86666666666667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65.638256957342094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366.78396742205962</v>
      </c>
      <c r="T84" s="59">
        <f t="shared" si="88"/>
        <v>271.89887525994988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163.24845180552424</v>
      </c>
      <c r="AA84" s="21">
        <f>EXP(-LN(2)/25)*AA83+(1-EXP(-LN(2)/25))/(LN(2)/25)*Calculateur!V84*Calculateur!X84*VLOOKUP('Données projet'!$B$9,Paramètres!$A$1:$I$89,3,0)*0.475*44/12</f>
        <v>80.647581987071874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243.89603379259611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65.638256957342094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10.985833333333332</v>
      </c>
      <c r="AI84" s="13">
        <f>IF('Données projet'!$A$62&gt;35,AI83+AH84-AQ83,IF(A84&lt;'Données projet'!$A$62,$AF$205^A84,IF(A84='Données projet'!$A$62,'Données projet'!$B$62,AI83+AH84-AQ83)))</f>
        <v>376.21666666666732</v>
      </c>
      <c r="AJ84" s="13">
        <f>AI84*VLOOKUP('Données projet'!$B$10,Paramètres!$A$1:$I$89,3,0)*VLOOKUP('Données projet'!$B$10,Paramètres!$A$1:$I$89,5,0)</f>
        <v>176.06940000000031</v>
      </c>
      <c r="AK84" s="13">
        <f t="shared" si="89"/>
        <v>44.446579567434348</v>
      </c>
      <c r="AL84" s="20">
        <f t="shared" si="58"/>
        <v>384.06533107994869</v>
      </c>
      <c r="AM84" s="59">
        <f t="shared" si="59"/>
        <v>661.40560659020298</v>
      </c>
      <c r="AN84" s="59">
        <f ca="1">AVERAGE(OFFSET($AM$3,0,0,'Données projet'!$E$10+1,1))-AVERAGE(OFFSET($H$3,0,0,'Données projet'!$E$10+1,1))</f>
        <v>360.04137410460385</v>
      </c>
      <c r="AO84" s="59">
        <f t="shared" si="90"/>
        <v>287.81656468701829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59.548375154917622</v>
      </c>
      <c r="AV84" s="21">
        <f>EXP(-LN(2)/25)*AV83+(1-EXP(-LN(2)/25))/(LN(2)/25)*Calculateur!AQ84*Calculateur!AS84*VLOOKUP('Données projet'!$B$10,Paramètres!$A$1:$I$89,3,0)*0.475*44/12</f>
        <v>21.825237922057752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81.373613076975374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65.638256957342094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155.76430449447392</v>
      </c>
      <c r="BJ84" s="59">
        <f t="shared" si="92"/>
        <v>363.39275685992129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24.500583593252113</v>
      </c>
      <c r="BQ84" s="21">
        <f>EXP(-LN(2)/25)*BQ83+(1-EXP(-LN(2)/25))/(LN(2)/25)*Calculateur!BL84*Calculateur!BN84*VLOOKUP('Données projet'!$B$11,Paramètres!$A$1:$I$89,3,0)*0.475*44/12</f>
        <v>4.2093297510788856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28.709913344331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65.638256957342094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8.6770000000000014</v>
      </c>
      <c r="BY84" s="12">
        <f>IF('Données projet'!$A$114&gt;35,BY83+BX84-CG83,IF(A84&lt;'Données projet'!$A$114,$BV$205^A84,IF(A84='Données projet'!$A$114,'Données projet'!$B$114,BY83+BX84-CG83)))</f>
        <v>299.31900000000019</v>
      </c>
      <c r="BZ84" s="13">
        <f>BY84*VLOOKUP('Données projet'!$B$12,Paramètres!$A$1:$I$89,3,0)*VLOOKUP('Données projet'!$B$12,Paramètres!$A$1:$I$89,5,0)</f>
        <v>303.5094660000002</v>
      </c>
      <c r="CA84" s="13">
        <f t="shared" si="93"/>
        <v>71.911683612358004</v>
      </c>
      <c r="CB84" s="20">
        <f t="shared" si="64"/>
        <v>653.85850224152387</v>
      </c>
      <c r="CC84" s="59">
        <f t="shared" si="65"/>
        <v>931.19877775177815</v>
      </c>
      <c r="CD84" s="59">
        <f ca="1">AVERAGE(OFFSET($CC$3,0,0,'Données projet'!$E$12+1,1))-AVERAGE(OFFSET($H$3,0,0,'Données projet'!$E$12+1,1))</f>
        <v>679.4570479719705</v>
      </c>
      <c r="CE84" s="59">
        <f t="shared" si="94"/>
        <v>310.8252119379963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32.448999663162816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32.448999663162816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65.638256957342094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146.95547268081216</v>
      </c>
      <c r="CZ84" s="59">
        <f t="shared" si="96"/>
        <v>343.21355872318065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22.922325140926045</v>
      </c>
      <c r="DG84" s="21">
        <f>EXP(-LN(2)/25)*DG83+(1-EXP(-LN(2)/25))/(LN(2)/25)*Calculateur!DB84*Calculateur!DD84*VLOOKUP('Données projet'!$B$13,Paramètres!$A$1:$I$89,3,0)*0.475*44/12</f>
        <v>3.9381766076044777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26.860501748530524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65.638256957342094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65.638256957342094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65.638256957342094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65.638256957342094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65.638256957342094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3.5999999999999996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13.199999999999998</v>
      </c>
      <c r="H85" s="67">
        <f t="shared" si="56"/>
        <v>203.86666666666667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65.713923447735638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366.78396742205962</v>
      </c>
      <c r="T85" s="59">
        <f t="shared" si="88"/>
        <v>271.89887525994988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160.04724923734162</v>
      </c>
      <c r="AA85" s="21">
        <f>EXP(-LN(2)/25)*AA84+(1-EXP(-LN(2)/25))/(LN(2)/25)*Calculateur!V85*Calculateur!X85*VLOOKUP('Données projet'!$B$9,Paramètres!$A$1:$I$89,3,0)*0.475*44/12</f>
        <v>78.442269616563379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238.489518853905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65.713923447735638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10.985833333333332</v>
      </c>
      <c r="AI85" s="13">
        <f>IF('Données projet'!$A$62&gt;35,AI84+AH85-AQ84,IF(A85&lt;'Données projet'!$A$62,$AF$205^A85,IF(A85='Données projet'!$A$62,'Données projet'!$B$62,AI84+AH85-AQ84)))</f>
        <v>387.20250000000067</v>
      </c>
      <c r="AJ85" s="13">
        <f>AI85*VLOOKUP('Données projet'!$B$10,Paramètres!$A$1:$I$89,3,0)*VLOOKUP('Données projet'!$B$10,Paramètres!$A$1:$I$89,5,0)</f>
        <v>181.21077000000031</v>
      </c>
      <c r="AK85" s="13">
        <f t="shared" si="89"/>
        <v>45.591454992325396</v>
      </c>
      <c r="AL85" s="20">
        <f t="shared" si="58"/>
        <v>395.01387519496728</v>
      </c>
      <c r="AM85" s="59">
        <f t="shared" si="59"/>
        <v>672.63159450333126</v>
      </c>
      <c r="AN85" s="59">
        <f ca="1">AVERAGE(OFFSET($AM$3,0,0,'Données projet'!$E$10+1,1))-AVERAGE(OFFSET($H$3,0,0,'Données projet'!$E$10+1,1))</f>
        <v>360.04137410460385</v>
      </c>
      <c r="AO85" s="59">
        <f t="shared" si="90"/>
        <v>287.81656468701829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58.380667839052137</v>
      </c>
      <c r="AV85" s="21">
        <f>EXP(-LN(2)/25)*AV84+(1-EXP(-LN(2)/25))/(LN(2)/25)*Calculateur!AQ85*Calculateur!AS85*VLOOKUP('Données projet'!$B$10,Paramètres!$A$1:$I$89,3,0)*0.475*44/12</f>
        <v>21.228425643339705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79.609093482391842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65.713923447735638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155.76430449447392</v>
      </c>
      <c r="BJ85" s="59">
        <f t="shared" si="92"/>
        <v>363.39275685992129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24.020142092868845</v>
      </c>
      <c r="BQ85" s="21">
        <f>EXP(-LN(2)/25)*BQ84+(1-EXP(-LN(2)/25))/(LN(2)/25)*Calculateur!BL85*Calculateur!BN85*VLOOKUP('Données projet'!$B$11,Paramètres!$A$1:$I$89,3,0)*0.475*44/12</f>
        <v>4.0942254076766025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28.114367500545448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65.713923447735638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8.6770000000000014</v>
      </c>
      <c r="BY85" s="12">
        <f>IF('Données projet'!$A$114&gt;35,BY84+BX85-CG84,IF(A85&lt;'Données projet'!$A$114,$BV$205^A85,IF(A85='Données projet'!$A$114,'Données projet'!$B$114,BY84+BX85-CG84)))</f>
        <v>307.99600000000021</v>
      </c>
      <c r="BZ85" s="13">
        <f>BY85*VLOOKUP('Données projet'!$B$12,Paramètres!$A$1:$I$89,3,0)*VLOOKUP('Données projet'!$B$12,Paramètres!$A$1:$I$89,5,0)</f>
        <v>312.30794400000019</v>
      </c>
      <c r="CA85" s="13">
        <f t="shared" si="93"/>
        <v>73.750612468537497</v>
      </c>
      <c r="CB85" s="20">
        <f t="shared" si="64"/>
        <v>672.38531918270314</v>
      </c>
      <c r="CC85" s="59">
        <f t="shared" si="65"/>
        <v>950.00303849106717</v>
      </c>
      <c r="CD85" s="59">
        <f ca="1">AVERAGE(OFFSET($CC$3,0,0,'Données projet'!$E$12+1,1))-AVERAGE(OFFSET($H$3,0,0,'Données projet'!$E$12+1,1))</f>
        <v>679.4570479719705</v>
      </c>
      <c r="CE85" s="59">
        <f t="shared" si="94"/>
        <v>310.8252119379963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31.812694571703695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31.812694571703695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65.713923447735638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146.95547268081216</v>
      </c>
      <c r="CZ85" s="59">
        <f t="shared" si="96"/>
        <v>343.21355872318065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22.472832326150289</v>
      </c>
      <c r="DG85" s="21">
        <f>EXP(-LN(2)/25)*DG84+(1-EXP(-LN(2)/25))/(LN(2)/25)*Calculateur!DB85*Calculateur!DD85*VLOOKUP('Données projet'!$B$13,Paramètres!$A$1:$I$89,3,0)*0.475*44/12</f>
        <v>3.8304869611698265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26.303319287320114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65.713923447735638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65.713923447735638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65.713923447735638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65.713923447735638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65.713923447735638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3.5999999999999996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13.199999999999998</v>
      </c>
      <c r="H86" s="67">
        <f t="shared" si="56"/>
        <v>203.86666666666667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65.78827729368578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366.78396742205962</v>
      </c>
      <c r="T86" s="59">
        <f t="shared" si="88"/>
        <v>271.89887525994988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156.90882029898029</v>
      </c>
      <c r="AA86" s="21">
        <f>EXP(-LN(2)/25)*AA85+(1-EXP(-LN(2)/25))/(LN(2)/25)*Calculateur!V86*Calculateur!X86*VLOOKUP('Données projet'!$B$9,Paramètres!$A$1:$I$89,3,0)*0.475*44/12</f>
        <v>76.297261628798779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233.20608192777905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65.78827729368578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10.985833333333332</v>
      </c>
      <c r="AI86" s="13">
        <f>IF('Données projet'!$A$62&gt;35,AI85+AH86-AQ85,IF(A86&lt;'Données projet'!$A$62,$AF$205^A86,IF(A86='Données projet'!$A$62,'Données projet'!$B$62,AI85+AH86-AQ85)))</f>
        <v>398.18833333333401</v>
      </c>
      <c r="AJ86" s="13">
        <f>AI86*VLOOKUP('Données projet'!$B$10,Paramètres!$A$1:$I$89,3,0)*VLOOKUP('Données projet'!$B$10,Paramètres!$A$1:$I$89,5,0)</f>
        <v>186.3521400000003</v>
      </c>
      <c r="AK86" s="13">
        <f t="shared" si="89"/>
        <v>46.732555123893533</v>
      </c>
      <c r="AL86" s="20">
        <f t="shared" si="58"/>
        <v>405.95584400744838</v>
      </c>
      <c r="AM86" s="59">
        <f t="shared" si="59"/>
        <v>683.84619408429626</v>
      </c>
      <c r="AN86" s="59">
        <f ca="1">AVERAGE(OFFSET($AM$3,0,0,'Données projet'!$E$10+1,1))-AVERAGE(OFFSET($H$3,0,0,'Données projet'!$E$10+1,1))</f>
        <v>360.04137410460385</v>
      </c>
      <c r="AO86" s="59">
        <f t="shared" si="90"/>
        <v>287.81656468701829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57.235858551419639</v>
      </c>
      <c r="AV86" s="21">
        <f>EXP(-LN(2)/25)*AV85+(1-EXP(-LN(2)/25))/(LN(2)/25)*Calculateur!AQ86*Calculateur!AS86*VLOOKUP('Données projet'!$B$10,Paramètres!$A$1:$I$89,3,0)*0.475*44/12</f>
        <v>20.647933227768196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77.883791779187831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65.78827729368578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155.76430449447392</v>
      </c>
      <c r="BJ86" s="59">
        <f t="shared" si="92"/>
        <v>363.39275685992129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23.549121757267713</v>
      </c>
      <c r="BQ86" s="21">
        <f>EXP(-LN(2)/25)*BQ85+(1-EXP(-LN(2)/25))/(LN(2)/25)*Calculateur!BL86*Calculateur!BN86*VLOOKUP('Données projet'!$B$11,Paramètres!$A$1:$I$89,3,0)*0.475*44/12</f>
        <v>3.9822685985977291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27.53139035586544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65.78827729368578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8.6770000000000014</v>
      </c>
      <c r="BY86" s="12">
        <f>IF('Données projet'!$A$114&gt;35,BY85+BX86-CG85,IF(A86&lt;'Données projet'!$A$114,$BV$205^A86,IF(A86='Données projet'!$A$114,'Données projet'!$B$114,BY85+BX86-CG85)))</f>
        <v>316.67300000000023</v>
      </c>
      <c r="BZ86" s="13">
        <f>BY86*VLOOKUP('Données projet'!$B$12,Paramètres!$A$1:$I$89,3,0)*VLOOKUP('Données projet'!$B$12,Paramètres!$A$1:$I$89,5,0)</f>
        <v>321.10642200000024</v>
      </c>
      <c r="CA86" s="13">
        <f t="shared" si="93"/>
        <v>75.58352001110228</v>
      </c>
      <c r="CB86" s="20">
        <f t="shared" si="64"/>
        <v>690.90164900267018</v>
      </c>
      <c r="CC86" s="59">
        <f t="shared" si="65"/>
        <v>968.79199907951806</v>
      </c>
      <c r="CD86" s="59">
        <f ca="1">AVERAGE(OFFSET($CC$3,0,0,'Données projet'!$E$12+1,1))-AVERAGE(OFFSET($H$3,0,0,'Données projet'!$E$12+1,1))</f>
        <v>679.4570479719705</v>
      </c>
      <c r="CE86" s="59">
        <f t="shared" si="94"/>
        <v>310.8252119379963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31.188867034980305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31.188867034980305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65.78827729368578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146.95547268081216</v>
      </c>
      <c r="CZ86" s="59">
        <f t="shared" si="96"/>
        <v>343.21355872318065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22.03215379130874</v>
      </c>
      <c r="DG86" s="21">
        <f>EXP(-LN(2)/25)*DG85+(1-EXP(-LN(2)/25))/(LN(2)/25)*Calculateur!DB86*Calculateur!DD86*VLOOKUP('Données projet'!$B$13,Paramètres!$A$1:$I$89,3,0)*0.475*44/12</f>
        <v>3.7257420937800831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25.757895885088825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65.78827729368578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65.78827729368578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65.78827729368578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65.78827729368578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65.78827729368578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3.5999999999999996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13.199999999999998</v>
      </c>
      <c r="H87" s="67">
        <f t="shared" si="56"/>
        <v>203.86666666666667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65.861341266638973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366.78396742205962</v>
      </c>
      <c r="T87" s="59">
        <f t="shared" si="88"/>
        <v>271.89887525994988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153.83193403784759</v>
      </c>
      <c r="AA87" s="21">
        <f>EXP(-LN(2)/25)*AA86+(1-EXP(-LN(2)/25))/(LN(2)/25)*Calculateur!V87*Calculateur!X87*VLOOKUP('Données projet'!$B$9,Paramètres!$A$1:$I$89,3,0)*0.475*44/12</f>
        <v>74.210908997260674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228.04284303510826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65.861341266638973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10.985833333333332</v>
      </c>
      <c r="AI87" s="13">
        <f>IF('Données projet'!$A$62&gt;35,AI86+AH87-AQ86,IF(A87&lt;'Données projet'!$A$62,$AF$205^A87,IF(A87='Données projet'!$A$62,'Données projet'!$B$62,AI86+AH87-AQ86)))</f>
        <v>409.17416666666736</v>
      </c>
      <c r="AJ87" s="13">
        <f>AI87*VLOOKUP('Données projet'!$B$10,Paramètres!$A$1:$I$89,3,0)*VLOOKUP('Données projet'!$B$10,Paramètres!$A$1:$I$89,5,0)</f>
        <v>191.49351000000033</v>
      </c>
      <c r="AK87" s="13">
        <f t="shared" si="89"/>
        <v>47.869996088134386</v>
      </c>
      <c r="AL87" s="20">
        <f t="shared" si="58"/>
        <v>416.89143977016801</v>
      </c>
      <c r="AM87" s="59">
        <f t="shared" si="59"/>
        <v>695.04969108117757</v>
      </c>
      <c r="AN87" s="59">
        <f ca="1">AVERAGE(OFFSET($AM$3,0,0,'Données projet'!$E$10+1,1))-AVERAGE(OFFSET($H$3,0,0,'Données projet'!$E$10+1,1))</f>
        <v>360.04137410460385</v>
      </c>
      <c r="AO87" s="59">
        <f t="shared" si="90"/>
        <v>287.81656468701829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56.113498275652901</v>
      </c>
      <c r="AV87" s="21">
        <f>EXP(-LN(2)/25)*AV86+(1-EXP(-LN(2)/25))/(LN(2)/25)*Calculateur!AQ87*Calculateur!AS87*VLOOKUP('Données projet'!$B$10,Paramètres!$A$1:$I$89,3,0)*0.475*44/12</f>
        <v>20.083314407827256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76.196812683480161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65.861341266638973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155.76430449447392</v>
      </c>
      <c r="BJ87" s="59">
        <f t="shared" si="92"/>
        <v>363.39275685992129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23.087337843153684</v>
      </c>
      <c r="BQ87" s="21">
        <f>EXP(-LN(2)/25)*BQ86+(1-EXP(-LN(2)/25))/(LN(2)/25)*Calculateur!BL87*Calculateur!BN87*VLOOKUP('Données projet'!$B$11,Paramètres!$A$1:$I$89,3,0)*0.475*44/12</f>
        <v>3.8733732543506703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26.960711097504355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65.861341266638973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325.35000000000002</v>
      </c>
      <c r="BW87" s="12">
        <f>VLOOKUP(A87,'Données projet'!$A$113:$I$133,9,0)</f>
        <v>8.6770000000000014</v>
      </c>
      <c r="BX87" s="12">
        <f t="array" ref="BX87">INDEX(BW:BW,MIN(IF(ISNUMBER(BW87:BW283),ROW(BW87:BW283),"")))</f>
        <v>8.6770000000000014</v>
      </c>
      <c r="BY87" s="12">
        <f>IF('Données projet'!$A$114&gt;35,BY86+BX87-CG86,IF(A87&lt;'Données projet'!$A$114,$BV$205^A87,IF(A87='Données projet'!$A$114,'Données projet'!$B$114,BY86+BX87-CG86)))</f>
        <v>325.35000000000025</v>
      </c>
      <c r="BZ87" s="13">
        <f>BY87*VLOOKUP('Données projet'!$B$12,Paramètres!$A$1:$I$89,3,0)*VLOOKUP('Données projet'!$B$12,Paramètres!$A$1:$I$89,5,0)</f>
        <v>329.90490000000028</v>
      </c>
      <c r="CA87" s="13">
        <f t="shared" si="93"/>
        <v>77.410590184772218</v>
      </c>
      <c r="CB87" s="20">
        <f t="shared" si="64"/>
        <v>709.40781207181215</v>
      </c>
      <c r="CC87" s="59">
        <f t="shared" si="65"/>
        <v>987.56606338282177</v>
      </c>
      <c r="CD87" s="59">
        <f ca="1">AVERAGE(OFFSET($CC$3,0,0,'Données projet'!$E$12+1,1))-AVERAGE(OFFSET($H$3,0,0,'Données projet'!$E$12+1,1))</f>
        <v>679.4570479719705</v>
      </c>
      <c r="CE87" s="59">
        <f t="shared" si="94"/>
        <v>310.8252119379963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61.47</v>
      </c>
      <c r="CH87" s="16">
        <f>IF(ISNA(VLOOKUP(A87,'Données projet'!$A$113:$I$133,5,0)),0%,VLOOKUP(A87,'Données projet'!$A$113:$I$133,5,0)*VLOOKUP('Données projet'!$B$12,Paramètres!$A$1:$I$89,7,0))</f>
        <v>0.25800000000000001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48.354661737464937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48.354661737464937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65.861341266638973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146.95547268081216</v>
      </c>
      <c r="CZ87" s="59">
        <f t="shared" si="96"/>
        <v>343.21355872318065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21.600116693748067</v>
      </c>
      <c r="DG87" s="21">
        <f>EXP(-LN(2)/25)*DG86+(1-EXP(-LN(2)/25))/(LN(2)/25)*Calculateur!DB87*Calculateur!DD87*VLOOKUP('Données projet'!$B$13,Paramètres!$A$1:$I$89,3,0)*0.475*44/12</f>
        <v>3.6238614802974052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25.22397817404547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65.861341266638973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65.861341266638973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65.861341266638973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65.861341266638973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65.861341266638973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3.5999999999999996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13.199999999999998</v>
      </c>
      <c r="H88" s="67">
        <f t="shared" si="56"/>
        <v>203.86666666666667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65.933137743008004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366.78396742205962</v>
      </c>
      <c r="T88" s="59">
        <f t="shared" si="88"/>
        <v>271.89887525994988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150.8153836395804</v>
      </c>
      <c r="AA88" s="21">
        <f>EXP(-LN(2)/25)*AA87+(1-EXP(-LN(2)/25))/(LN(2)/25)*Calculateur!V88*Calculateur!X88*VLOOKUP('Données projet'!$B$9,Paramètres!$A$1:$I$89,3,0)*0.475*44/12</f>
        <v>72.181607788148483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222.99699142772889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65.933137743008004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420.16</v>
      </c>
      <c r="AG88" s="12">
        <f>VLOOKUP(A88,'Données projet'!$A$61:$I$81,9,0)</f>
        <v>10.985833333333332</v>
      </c>
      <c r="AH88" s="12">
        <f t="array" ref="AH88">INDEX(AG:AG,MIN(IF(ISNUMBER(AG88:AG284),ROW(AG88:AG284),"")))</f>
        <v>10.985833333333332</v>
      </c>
      <c r="AI88" s="13">
        <f>IF('Données projet'!$A$62&gt;35,AI87+AH88-AQ87,IF(A88&lt;'Données projet'!$A$62,$AF$205^A88,IF(A88='Données projet'!$A$62,'Données projet'!$B$62,AI87+AH88-AQ87)))</f>
        <v>420.16000000000071</v>
      </c>
      <c r="AJ88" s="13">
        <f>AI88*VLOOKUP('Données projet'!$B$10,Paramètres!$A$1:$I$89,3,0)*VLOOKUP('Données projet'!$B$10,Paramètres!$A$1:$I$89,5,0)</f>
        <v>196.63488000000032</v>
      </c>
      <c r="AK88" s="13">
        <f t="shared" si="89"/>
        <v>49.003887420349137</v>
      </c>
      <c r="AL88" s="20">
        <f t="shared" si="58"/>
        <v>427.82085325710864</v>
      </c>
      <c r="AM88" s="59">
        <f t="shared" si="59"/>
        <v>706.24235831480473</v>
      </c>
      <c r="AN88" s="59">
        <f ca="1">AVERAGE(OFFSET($AM$3,0,0,'Données projet'!$E$10+1,1))-AVERAGE(OFFSET($H$3,0,0,'Données projet'!$E$10+1,1))</f>
        <v>360.04137410460385</v>
      </c>
      <c r="AO88" s="59">
        <f t="shared" si="90"/>
        <v>287.81656468701829</v>
      </c>
      <c r="AP88" s="15">
        <f>IF(ISNA(VLOOKUP(A88,'Données projet'!$A$61:$I$81,3,0)),0,VLOOKUP(A88,'Données projet'!$A$61:$I$81,3,0))</f>
        <v>4</v>
      </c>
      <c r="AQ88" s="15">
        <f>IF(ISNA(VLOOKUP(A88,'Données projet'!$A$61:$I$81,4,0)),0,VLOOKUP(A88,'Données projet'!$A$61:$I$81,4,0))</f>
        <v>94.69</v>
      </c>
      <c r="AR88" s="16">
        <f>IF(ISNA(VLOOKUP(A88,'Données projet'!$A$61:$I$81,5,0)),0%,VLOOKUP(A88,'Données projet'!$A$61:$I$81,5,0)*VLOOKUP('Données projet'!$B$10,Paramètres!$A$1:$I$89,7,0))</f>
        <v>0.38500000000000001</v>
      </c>
      <c r="AS88" s="16">
        <f>IF(ISNA(VLOOKUP(A88,'Données projet'!$A$61:$I$81,6,0)),0%,VLOOKUP(A88,'Données projet'!$A$61:$I$81,6,0)*VLOOKUP('Données projet'!$B$10,Paramètres!$A$1:$I$89,7,0))</f>
        <v>0.16500000000000001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77.645986921615787</v>
      </c>
      <c r="AV88" s="21">
        <f>EXP(-LN(2)/25)*AV87+(1-EXP(-LN(2)/25))/(LN(2)/25)*Calculateur!AQ88*Calculateur!AS88*VLOOKUP('Données projet'!$B$10,Paramètres!$A$1:$I$89,3,0)*0.475*44/12</f>
        <v>29.195731978901744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106.84171890051753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65.933137743008004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155.76430449447392</v>
      </c>
      <c r="BJ88" s="59">
        <f t="shared" si="92"/>
        <v>363.39275685992129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22.634609229935052</v>
      </c>
      <c r="BQ88" s="21">
        <f>EXP(-LN(2)/25)*BQ87+(1-EXP(-LN(2)/25))/(LN(2)/25)*Calculateur!BL88*Calculateur!BN88*VLOOKUP('Données projet'!$B$11,Paramètres!$A$1:$I$89,3,0)*0.475*44/12</f>
        <v>3.7674556590186046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26.402064888953657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65.933137743008004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8.2910000000000021</v>
      </c>
      <c r="BY88" s="12">
        <f>IF('Données projet'!$A$114&gt;35,BY87+BX88-CG87,IF(A88&lt;'Données projet'!$A$114,$BV$205^A88,IF(A88='Données projet'!$A$114,'Données projet'!$B$114,BY87+BX88-CG87)))</f>
        <v>272.17100000000028</v>
      </c>
      <c r="BZ88" s="13">
        <f>BY88*VLOOKUP('Données projet'!$B$12,Paramètres!$A$1:$I$89,3,0)*VLOOKUP('Données projet'!$B$12,Paramètres!$A$1:$I$89,5,0)</f>
        <v>275.98139400000031</v>
      </c>
      <c r="CA88" s="13">
        <f t="shared" si="93"/>
        <v>66.117048721763197</v>
      </c>
      <c r="CB88" s="20">
        <f t="shared" si="64"/>
        <v>595.82145440707143</v>
      </c>
      <c r="CC88" s="59">
        <f t="shared" si="65"/>
        <v>874.24295946476741</v>
      </c>
      <c r="CD88" s="59">
        <f ca="1">AVERAGE(OFFSET($CC$3,0,0,'Données projet'!$E$12+1,1))-AVERAGE(OFFSET($H$3,0,0,'Données projet'!$E$12+1,1))</f>
        <v>679.4570479719705</v>
      </c>
      <c r="CE88" s="59">
        <f t="shared" si="94"/>
        <v>310.8252119379963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47.406456314224677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47.406456314224677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65.933137743008004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146.95547268081216</v>
      </c>
      <c r="CZ88" s="59">
        <f t="shared" si="96"/>
        <v>343.21355872318065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21.176551580153951</v>
      </c>
      <c r="DG88" s="21">
        <f>EXP(-LN(2)/25)*DG87+(1-EXP(-LN(2)/25))/(LN(2)/25)*Calculateur!DB88*Calculateur!DD88*VLOOKUP('Données projet'!$B$13,Paramètres!$A$1:$I$89,3,0)*0.475*44/12</f>
        <v>3.5247667975480796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24.70131837770203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65.933137743008004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65.933137743008004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65.933137743008004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65.933137743008004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65.933137743008004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3.5999999999999996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13.199999999999998</v>
      </c>
      <c r="H89" s="67">
        <f t="shared" si="56"/>
        <v>203.86666666666667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66.003688711024921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366.78396742205962</v>
      </c>
      <c r="T89" s="59">
        <f t="shared" si="88"/>
        <v>271.89887525994988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147.85798595470916</v>
      </c>
      <c r="AA89" s="21">
        <f>EXP(-LN(2)/25)*AA88+(1-EXP(-LN(2)/25))/(LN(2)/25)*Calculateur!V89*Calculateur!X89*VLOOKUP('Données projet'!$B$9,Paramètres!$A$1:$I$89,3,0)*0.475*44/12</f>
        <v>70.207797927315781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218.06578388202496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66.003688711024921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10.059999999999997</v>
      </c>
      <c r="AI89" s="13">
        <f>IF('Données projet'!$A$62&gt;35,AI88+AH89-AQ88,IF(A89&lt;'Données projet'!$A$62,$AF$205^A89,IF(A89='Données projet'!$A$62,'Données projet'!$B$62,AI88+AH89-AQ88)))</f>
        <v>335.53000000000071</v>
      </c>
      <c r="AJ89" s="13">
        <f>AI89*VLOOKUP('Données projet'!$B$10,Paramètres!$A$1:$I$89,3,0)*VLOOKUP('Données projet'!$B$10,Paramètres!$A$1:$I$89,5,0)</f>
        <v>157.02804000000032</v>
      </c>
      <c r="AK89" s="13">
        <f t="shared" si="89"/>
        <v>40.171451809334279</v>
      </c>
      <c r="AL89" s="20">
        <f t="shared" si="58"/>
        <v>343.45578156792436</v>
      </c>
      <c r="AM89" s="59">
        <f t="shared" si="59"/>
        <v>622.13597350834902</v>
      </c>
      <c r="AN89" s="59">
        <f ca="1">AVERAGE(OFFSET($AM$3,0,0,'Données projet'!$E$10+1,1))-AVERAGE(OFFSET($H$3,0,0,'Données projet'!$E$10+1,1))</f>
        <v>360.04137410460385</v>
      </c>
      <c r="AO89" s="59">
        <f t="shared" si="90"/>
        <v>287.81656468701829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76.12339647745857</v>
      </c>
      <c r="AV89" s="21">
        <f>EXP(-LN(2)/25)*AV88+(1-EXP(-LN(2)/25))/(LN(2)/25)*Calculateur!AQ89*Calculateur!AS89*VLOOKUP('Données projet'!$B$10,Paramètres!$A$1:$I$89,3,0)*0.475*44/12</f>
        <v>28.397373152601858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104.52076963006043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66.003688711024921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155.76430449447392</v>
      </c>
      <c r="BJ89" s="59">
        <f t="shared" si="92"/>
        <v>363.39275685992129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22.190758348684451</v>
      </c>
      <c r="BQ89" s="21">
        <f>EXP(-LN(2)/25)*BQ88+(1-EXP(-LN(2)/25))/(LN(2)/25)*Calculateur!BL89*Calculateur!BN89*VLOOKUP('Données projet'!$B$11,Paramètres!$A$1:$I$89,3,0)*0.475*44/12</f>
        <v>3.6644343859008583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25.855192734585309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66.003688711024921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8.2910000000000021</v>
      </c>
      <c r="BY89" s="12">
        <f>IF('Données projet'!$A$114&gt;35,BY88+BX89-CG88,IF(A89&lt;'Données projet'!$A$114,$BV$205^A89,IF(A89='Données projet'!$A$114,'Données projet'!$B$114,BY88+BX89-CG88)))</f>
        <v>280.46200000000027</v>
      </c>
      <c r="BZ89" s="13">
        <f>BY89*VLOOKUP('Données projet'!$B$12,Paramètres!$A$1:$I$89,3,0)*VLOOKUP('Données projet'!$B$12,Paramètres!$A$1:$I$89,5,0)</f>
        <v>284.38846800000033</v>
      </c>
      <c r="CA89" s="13">
        <f t="shared" si="93"/>
        <v>67.893577257383939</v>
      </c>
      <c r="CB89" s="20">
        <f t="shared" si="64"/>
        <v>613.55789548994426</v>
      </c>
      <c r="CC89" s="59">
        <f t="shared" si="65"/>
        <v>892.23808743036898</v>
      </c>
      <c r="CD89" s="59">
        <f ca="1">AVERAGE(OFFSET($CC$3,0,0,'Données projet'!$E$12+1,1))-AVERAGE(OFFSET($H$3,0,0,'Données projet'!$E$12+1,1))</f>
        <v>679.4570479719705</v>
      </c>
      <c r="CE89" s="59">
        <f t="shared" si="94"/>
        <v>310.8252119379963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46.476844620985958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46.476844620985958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66.003688711024921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146.95547268081216</v>
      </c>
      <c r="CZ89" s="59">
        <f t="shared" si="96"/>
        <v>343.21355872318065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20.761292320088206</v>
      </c>
      <c r="DG89" s="21">
        <f>EXP(-LN(2)/25)*DG88+(1-EXP(-LN(2)/25))/(LN(2)/25)*Calculateur!DB89*Calculateur!DD89*VLOOKUP('Données projet'!$B$13,Paramètres!$A$1:$I$89,3,0)*0.475*44/12</f>
        <v>3.4283818641096975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24.189674184197905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66.003688711024921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66.003688711024921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66.003688711024921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66.003688711024921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66.003688711024921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3.5999999999999996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13.199999999999998</v>
      </c>
      <c r="H90" s="67">
        <f t="shared" si="56"/>
        <v>203.86666666666667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66.073015777475064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366.78396742205962</v>
      </c>
      <c r="T90" s="59">
        <f t="shared" si="88"/>
        <v>271.89887525994988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144.95858103460378</v>
      </c>
      <c r="AA90" s="21">
        <f>EXP(-LN(2)/25)*AA89+(1-EXP(-LN(2)/25))/(LN(2)/25)*Calculateur!V90*Calculateur!X90*VLOOKUP('Données projet'!$B$9,Paramètres!$A$1:$I$89,3,0)*0.475*44/12</f>
        <v>68.287962000925702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213.2465430355295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66.073015777475064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10.059999999999997</v>
      </c>
      <c r="AI90" s="13">
        <f>IF('Données projet'!$A$62&gt;35,AI89+AH90-AQ89,IF(A90&lt;'Données projet'!$A$62,$AF$205^A90,IF(A90='Données projet'!$A$62,'Données projet'!$B$62,AI89+AH90-AQ89)))</f>
        <v>345.59000000000071</v>
      </c>
      <c r="AJ90" s="13">
        <f>AI90*VLOOKUP('Données projet'!$B$10,Paramètres!$A$1:$I$89,3,0)*VLOOKUP('Données projet'!$B$10,Paramètres!$A$1:$I$89,5,0)</f>
        <v>161.73612000000031</v>
      </c>
      <c r="AK90" s="13">
        <f t="shared" si="89"/>
        <v>41.233855819285765</v>
      </c>
      <c r="AL90" s="20">
        <f t="shared" si="58"/>
        <v>353.50604121858987</v>
      </c>
      <c r="AM90" s="59">
        <f t="shared" si="59"/>
        <v>632.44043240266501</v>
      </c>
      <c r="AN90" s="59">
        <f ca="1">AVERAGE(OFFSET($AM$3,0,0,'Données projet'!$E$10+1,1))-AVERAGE(OFFSET($H$3,0,0,'Données projet'!$E$10+1,1))</f>
        <v>360.04137410460385</v>
      </c>
      <c r="AO90" s="59">
        <f t="shared" si="90"/>
        <v>287.81656468701829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74.630663103222815</v>
      </c>
      <c r="AV90" s="21">
        <f>EXP(-LN(2)/25)*AV89+(1-EXP(-LN(2)/25))/(LN(2)/25)*Calculateur!AQ90*Calculateur!AS90*VLOOKUP('Données projet'!$B$10,Paramètres!$A$1:$I$89,3,0)*0.475*44/12</f>
        <v>27.620845490391009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102.25150859361382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66.073015777475064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155.76430449447392</v>
      </c>
      <c r="BJ90" s="59">
        <f t="shared" si="92"/>
        <v>363.39275685992129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21.755611112492868</v>
      </c>
      <c r="BQ90" s="21">
        <f>EXP(-LN(2)/25)*BQ89+(1-EXP(-LN(2)/25))/(LN(2)/25)*Calculateur!BL90*Calculateur!BN90*VLOOKUP('Données projet'!$B$11,Paramètres!$A$1:$I$89,3,0)*0.475*44/12</f>
        <v>3.5642302349141701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25.319841347407039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66.073015777475064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8.2910000000000021</v>
      </c>
      <c r="BY90" s="12">
        <f>IF('Données projet'!$A$114&gt;35,BY89+BX90-CG89,IF(A90&lt;'Données projet'!$A$114,$BV$205^A90,IF(A90='Données projet'!$A$114,'Données projet'!$B$114,BY89+BX90-CG89)))</f>
        <v>288.75300000000027</v>
      </c>
      <c r="BZ90" s="13">
        <f>BY90*VLOOKUP('Données projet'!$B$12,Paramètres!$A$1:$I$89,3,0)*VLOOKUP('Données projet'!$B$12,Paramètres!$A$1:$I$89,5,0)</f>
        <v>292.7955420000003</v>
      </c>
      <c r="CA90" s="13">
        <f t="shared" si="93"/>
        <v>69.664002307656872</v>
      </c>
      <c r="CB90" s="20">
        <f t="shared" si="64"/>
        <v>631.2837063358362</v>
      </c>
      <c r="CC90" s="59">
        <f t="shared" si="65"/>
        <v>910.21809751991145</v>
      </c>
      <c r="CD90" s="59">
        <f ca="1">AVERAGE(OFFSET($CC$3,0,0,'Données projet'!$E$12+1,1))-AVERAGE(OFFSET($H$3,0,0,'Données projet'!$E$12+1,1))</f>
        <v>679.4570479719705</v>
      </c>
      <c r="CE90" s="59">
        <f t="shared" si="94"/>
        <v>310.8252119379963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45.565462046044502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45.565462046044502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66.073015777475064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146.95547268081216</v>
      </c>
      <c r="CZ90" s="59">
        <f t="shared" si="96"/>
        <v>343.21355872318065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20.354176040829209</v>
      </c>
      <c r="DG90" s="21">
        <f>EXP(-LN(2)/25)*DG89+(1-EXP(-LN(2)/25))/(LN(2)/25)*Calculateur!DB90*Calculateur!DD90*VLOOKUP('Données projet'!$B$13,Paramètres!$A$1:$I$89,3,0)*0.475*44/12</f>
        <v>3.3346325817448514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23.688808622574062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66.073015777475064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66.073015777475064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66.073015777475064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66.073015777475064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66.073015777475064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3.5999999999999996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13.199999999999998</v>
      </c>
      <c r="H91" s="67">
        <f t="shared" si="56"/>
        <v>203.86666666666667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66.141140174314401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366.78396742205962</v>
      </c>
      <c r="T91" s="59">
        <f t="shared" si="88"/>
        <v>271.89887525994988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142.11603167651927</v>
      </c>
      <c r="AA91" s="21">
        <f>EXP(-LN(2)/25)*AA90+(1-EXP(-LN(2)/25))/(LN(2)/25)*Calculateur!V91*Calculateur!X91*VLOOKUP('Données projet'!$B$9,Paramètres!$A$1:$I$89,3,0)*0.475*44/12</f>
        <v>66.420624088902542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208.53665576542181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66.141140174314401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10.059999999999997</v>
      </c>
      <c r="AI91" s="13">
        <f>IF('Données projet'!$A$62&gt;35,AI90+AH91-AQ90,IF(A91&lt;'Données projet'!$A$62,$AF$205^A91,IF(A91='Données projet'!$A$62,'Données projet'!$B$62,AI90+AH91-AQ90)))</f>
        <v>355.65000000000072</v>
      </c>
      <c r="AJ91" s="13">
        <f>AI91*VLOOKUP('Données projet'!$B$10,Paramètres!$A$1:$I$89,3,0)*VLOOKUP('Données projet'!$B$10,Paramètres!$A$1:$I$89,5,0)</f>
        <v>166.44420000000034</v>
      </c>
      <c r="AK91" s="13">
        <f t="shared" si="89"/>
        <v>42.292665575425083</v>
      </c>
      <c r="AL91" s="20">
        <f t="shared" si="58"/>
        <v>363.55004087719925</v>
      </c>
      <c r="AM91" s="59">
        <f t="shared" si="59"/>
        <v>642.73422151635202</v>
      </c>
      <c r="AN91" s="59">
        <f ca="1">AVERAGE(OFFSET($AM$3,0,0,'Données projet'!$E$10+1,1))-AVERAGE(OFFSET($H$3,0,0,'Données projet'!$E$10+1,1))</f>
        <v>360.04137410460385</v>
      </c>
      <c r="AO91" s="59">
        <f t="shared" si="90"/>
        <v>287.81656468701829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73.167201319978361</v>
      </c>
      <c r="AV91" s="21">
        <f>EXP(-LN(2)/25)*AV90+(1-EXP(-LN(2)/25))/(LN(2)/25)*Calculateur!AQ91*Calculateur!AS91*VLOOKUP('Données projet'!$B$10,Paramètres!$A$1:$I$89,3,0)*0.475*44/12</f>
        <v>26.86555201793913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100.03275333791748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66.141140174314401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155.76430449447392</v>
      </c>
      <c r="BJ91" s="59">
        <f t="shared" si="92"/>
        <v>363.39275685992129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21.328996848189398</v>
      </c>
      <c r="BQ91" s="21">
        <f>EXP(-LN(2)/25)*BQ90+(1-EXP(-LN(2)/25))/(LN(2)/25)*Calculateur!BL91*Calculateur!BN91*VLOOKUP('Données projet'!$B$11,Paramètres!$A$1:$I$89,3,0)*0.475*44/12</f>
        <v>3.4667661717057201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24.795763019895119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66.141140174314401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8.2910000000000021</v>
      </c>
      <c r="BY91" s="12">
        <f>IF('Données projet'!$A$114&gt;35,BY90+BX91-CG90,IF(A91&lt;'Données projet'!$A$114,$BV$205^A91,IF(A91='Données projet'!$A$114,'Données projet'!$B$114,BY90+BX91-CG90)))</f>
        <v>297.04400000000027</v>
      </c>
      <c r="BZ91" s="13">
        <f>BY91*VLOOKUP('Données projet'!$B$12,Paramètres!$A$1:$I$89,3,0)*VLOOKUP('Données projet'!$B$12,Paramètres!$A$1:$I$89,5,0)</f>
        <v>301.20261600000032</v>
      </c>
      <c r="CA91" s="13">
        <f t="shared" si="93"/>
        <v>71.428519249633297</v>
      </c>
      <c r="CB91" s="20">
        <f t="shared" si="64"/>
        <v>648.99922722644521</v>
      </c>
      <c r="CC91" s="59">
        <f t="shared" si="65"/>
        <v>928.18340786559793</v>
      </c>
      <c r="CD91" s="59">
        <f ca="1">AVERAGE(OFFSET($CC$3,0,0,'Données projet'!$E$12+1,1))-AVERAGE(OFFSET($H$3,0,0,'Données projet'!$E$12+1,1))</f>
        <v>679.4570479719705</v>
      </c>
      <c r="CE91" s="59">
        <f t="shared" si="94"/>
        <v>310.8252119379963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44.671951127509168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44.671951127509168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66.141140174314401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146.95547268081216</v>
      </c>
      <c r="CZ91" s="59">
        <f t="shared" si="96"/>
        <v>343.21355872318065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19.95504306349007</v>
      </c>
      <c r="DG91" s="21">
        <f>EXP(-LN(2)/25)*DG90+(1-EXP(-LN(2)/25))/(LN(2)/25)*Calculateur!DB91*Calculateur!DD91*VLOOKUP('Données projet'!$B$13,Paramètres!$A$1:$I$89,3,0)*0.475*44/12</f>
        <v>3.2434468784363326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23.198489941926404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66.141140174314401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66.141140174314401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66.141140174314401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66.141140174314401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66.141140174314401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3.5999999999999996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13.199999999999998</v>
      </c>
      <c r="H92" s="67">
        <f t="shared" si="56"/>
        <v>203.86666666666667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66.208082765171909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366.78396742205962</v>
      </c>
      <c r="T92" s="59">
        <f t="shared" si="88"/>
        <v>271.89887525994988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139.32922297756289</v>
      </c>
      <c r="AA92" s="21">
        <f>EXP(-LN(2)/25)*AA91+(1-EXP(-LN(2)/25))/(LN(2)/25)*Calculateur!V92*Calculateur!X92*VLOOKUP('Données projet'!$B$9,Paramètres!$A$1:$I$89,3,0)*0.475*44/12</f>
        <v>64.604348630282686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203.93357160784558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66.208082765171909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10.059999999999997</v>
      </c>
      <c r="AI92" s="13">
        <f>IF('Données projet'!$A$62&gt;35,AI91+AH92-AQ91,IF(A92&lt;'Données projet'!$A$62,$AF$205^A92,IF(A92='Données projet'!$A$62,'Données projet'!$B$62,AI91+AH92-AQ91)))</f>
        <v>365.71000000000072</v>
      </c>
      <c r="AJ92" s="13">
        <f>AI92*VLOOKUP('Données projet'!$B$10,Paramètres!$A$1:$I$89,3,0)*VLOOKUP('Données projet'!$B$10,Paramètres!$A$1:$I$89,5,0)</f>
        <v>171.15228000000033</v>
      </c>
      <c r="AK92" s="13">
        <f t="shared" si="89"/>
        <v>43.347994423787434</v>
      </c>
      <c r="AL92" s="20">
        <f t="shared" si="58"/>
        <v>373.58797795476374</v>
      </c>
      <c r="AM92" s="59">
        <f t="shared" si="59"/>
        <v>653.01761476039405</v>
      </c>
      <c r="AN92" s="59">
        <f ca="1">AVERAGE(OFFSET($AM$3,0,0,'Données projet'!$E$10+1,1))-AVERAGE(OFFSET($H$3,0,0,'Données projet'!$E$10+1,1))</f>
        <v>360.04137410460385</v>
      </c>
      <c r="AO92" s="59">
        <f t="shared" si="90"/>
        <v>287.81656468701829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71.732437129679781</v>
      </c>
      <c r="AV92" s="21">
        <f>EXP(-LN(2)/25)*AV91+(1-EXP(-LN(2)/25))/(LN(2)/25)*Calculateur!AQ92*Calculateur!AS92*VLOOKUP('Données projet'!$B$10,Paramètres!$A$1:$I$89,3,0)*0.475*44/12</f>
        <v>26.130912085210607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97.863349214890391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66.208082765171909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155.76430449447392</v>
      </c>
      <c r="BJ92" s="59">
        <f t="shared" si="92"/>
        <v>363.39275685992129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20.910748229399911</v>
      </c>
      <c r="BQ92" s="21">
        <f>EXP(-LN(2)/25)*BQ91+(1-EXP(-LN(2)/25))/(LN(2)/25)*Calculateur!BL92*Calculateur!BN92*VLOOKUP('Données projet'!$B$11,Paramètres!$A$1:$I$89,3,0)*0.475*44/12</f>
        <v>3.3719672684311175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24.282715497831028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66.208082765171909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8.2910000000000021</v>
      </c>
      <c r="BY92" s="12">
        <f>IF('Données projet'!$A$114&gt;35,BY91+BX92-CG91,IF(A92&lt;'Données projet'!$A$114,$BV$205^A92,IF(A92='Données projet'!$A$114,'Données projet'!$B$114,BY91+BX92-CG91)))</f>
        <v>305.33500000000026</v>
      </c>
      <c r="BZ92" s="13">
        <f>BY92*VLOOKUP('Données projet'!$B$12,Paramètres!$A$1:$I$89,3,0)*VLOOKUP('Données projet'!$B$12,Paramètres!$A$1:$I$89,5,0)</f>
        <v>309.60969000000028</v>
      </c>
      <c r="CA92" s="13">
        <f t="shared" si="93"/>
        <v>73.187311933195204</v>
      </c>
      <c r="CB92" s="20">
        <f t="shared" si="64"/>
        <v>666.70477836698205</v>
      </c>
      <c r="CC92" s="59">
        <f t="shared" si="65"/>
        <v>946.13441517261231</v>
      </c>
      <c r="CD92" s="59">
        <f ca="1">AVERAGE(OFFSET($CC$3,0,0,'Données projet'!$E$12+1,1))-AVERAGE(OFFSET($H$3,0,0,'Données projet'!$E$12+1,1))</f>
        <v>679.4570479719705</v>
      </c>
      <c r="CE92" s="59">
        <f t="shared" si="94"/>
        <v>310.8252119379963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43.79596141309846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43.79596141309846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66.208082765171909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146.95547268081216</v>
      </c>
      <c r="CZ92" s="59">
        <f t="shared" si="96"/>
        <v>343.21355872318065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19.563736840389474</v>
      </c>
      <c r="DG92" s="21">
        <f>EXP(-LN(2)/25)*DG91+(1-EXP(-LN(2)/25))/(LN(2)/25)*Calculateur!DB92*Calculateur!DD92*VLOOKUP('Données projet'!$B$13,Paramètres!$A$1:$I$89,3,0)*0.475*44/12</f>
        <v>3.1547546529800328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22.718491493369505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66.208082765171909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66.208082765171909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66.208082765171909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66.208082765171909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66.208082765171909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3.5999999999999996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13.199999999999998</v>
      </c>
      <c r="H93" s="67">
        <f t="shared" si="56"/>
        <v>203.86666666666667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66.273864051739253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366.78396742205962</v>
      </c>
      <c r="T93" s="59">
        <f t="shared" si="88"/>
        <v>271.89887525994988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136.59706189740757</v>
      </c>
      <c r="AA93" s="21">
        <f>EXP(-LN(2)/25)*AA92+(1-EXP(-LN(2)/25))/(LN(2)/25)*Calculateur!V93*Calculateur!X93*VLOOKUP('Données projet'!$B$9,Paramètres!$A$1:$I$89,3,0)*0.475*44/12</f>
        <v>62.837739319592565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199.43480121700014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66.273864051739253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10.059999999999997</v>
      </c>
      <c r="AI93" s="13">
        <f>IF('Données projet'!$A$62&gt;35,AI92+AH93-AQ92,IF(A93&lt;'Données projet'!$A$62,$AF$205^A93,IF(A93='Données projet'!$A$62,'Données projet'!$B$62,AI92+AH93-AQ92)))</f>
        <v>375.77000000000072</v>
      </c>
      <c r="AJ93" s="13">
        <f>AI93*VLOOKUP('Données projet'!$B$10,Paramètres!$A$1:$I$89,3,0)*VLOOKUP('Données projet'!$B$10,Paramètres!$A$1:$I$89,5,0)</f>
        <v>175.86036000000033</v>
      </c>
      <c r="AK93" s="13">
        <f t="shared" si="89"/>
        <v>44.399949119645072</v>
      </c>
      <c r="AL93" s="20">
        <f t="shared" si="58"/>
        <v>383.62003838338245</v>
      </c>
      <c r="AM93" s="59">
        <f t="shared" si="59"/>
        <v>663.29087323975978</v>
      </c>
      <c r="AN93" s="59">
        <f ca="1">AVERAGE(OFFSET($AM$3,0,0,'Données projet'!$E$10+1,1))-AVERAGE(OFFSET($H$3,0,0,'Données projet'!$E$10+1,1))</f>
        <v>360.04137410460385</v>
      </c>
      <c r="AO93" s="59">
        <f t="shared" si="90"/>
        <v>287.81656468701829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70.32580779003321</v>
      </c>
      <c r="AV93" s="21">
        <f>EXP(-LN(2)/25)*AV92+(1-EXP(-LN(2)/25))/(LN(2)/25)*Calculateur!AQ93*Calculateur!AS93*VLOOKUP('Données projet'!$B$10,Paramètres!$A$1:$I$89,3,0)*0.475*44/12</f>
        <v>25.416360920075579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95.742168710108785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66.273864051739253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155.76430449447392</v>
      </c>
      <c r="BJ93" s="59">
        <f t="shared" si="92"/>
        <v>363.39275685992129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20.500701210918415</v>
      </c>
      <c r="BQ93" s="21">
        <f>EXP(-LN(2)/25)*BQ92+(1-EXP(-LN(2)/25))/(LN(2)/25)*Calculateur!BL93*Calculateur!BN93*VLOOKUP('Données projet'!$B$11,Paramètres!$A$1:$I$89,3,0)*0.475*44/12</f>
        <v>3.2797606461518165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23.780461857070232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66.273864051739253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8.2910000000000021</v>
      </c>
      <c r="BY93" s="12">
        <f>IF('Données projet'!$A$114&gt;35,BY92+BX93-CG92,IF(A93&lt;'Données projet'!$A$114,$BV$205^A93,IF(A93='Données projet'!$A$114,'Données projet'!$B$114,BY92+BX93-CG92)))</f>
        <v>313.62600000000026</v>
      </c>
      <c r="BZ93" s="13">
        <f>BY93*VLOOKUP('Données projet'!$B$12,Paramètres!$A$1:$I$89,3,0)*VLOOKUP('Données projet'!$B$12,Paramètres!$A$1:$I$89,5,0)</f>
        <v>318.01676400000025</v>
      </c>
      <c r="CA93" s="13">
        <f t="shared" si="93"/>
        <v>74.940553655452632</v>
      </c>
      <c r="CB93" s="20">
        <f t="shared" si="64"/>
        <v>684.40066158324714</v>
      </c>
      <c r="CC93" s="59">
        <f t="shared" si="65"/>
        <v>964.07149643962441</v>
      </c>
      <c r="CD93" s="59">
        <f ca="1">AVERAGE(OFFSET($CC$3,0,0,'Données projet'!$E$12+1,1))-AVERAGE(OFFSET($H$3,0,0,'Données projet'!$E$12+1,1))</f>
        <v>679.4570479719705</v>
      </c>
      <c r="CE93" s="59">
        <f t="shared" si="94"/>
        <v>310.8252119379963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42.937149322686381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42.937149322686381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66.273864051739253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146.95547268081216</v>
      </c>
      <c r="CZ93" s="59">
        <f t="shared" si="96"/>
        <v>343.21355872318065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19.180103893650653</v>
      </c>
      <c r="DG93" s="21">
        <f>EXP(-LN(2)/25)*DG92+(1-EXP(-LN(2)/25))/(LN(2)/25)*Calculateur!DB93*Calculateur!DD93*VLOOKUP('Données projet'!$B$13,Paramètres!$A$1:$I$89,3,0)*0.475*44/12</f>
        <v>3.0684877210929566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22.24859161474361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66.273864051739253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66.273864051739253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66.273864051739253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66.273864051739253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66.273864051739253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3.5999999999999996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13.199999999999998</v>
      </c>
      <c r="H94" s="67">
        <f t="shared" si="56"/>
        <v>203.86666666666667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66.338504180049583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366.78396742205962</v>
      </c>
      <c r="T94" s="59">
        <f t="shared" si="88"/>
        <v>271.89887525994988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133.91847682958038</v>
      </c>
      <c r="AA94" s="21">
        <f>EXP(-LN(2)/25)*AA93+(1-EXP(-LN(2)/25))/(LN(2)/25)*Calculateur!V94*Calculateur!X94*VLOOKUP('Données projet'!$B$9,Paramètres!$A$1:$I$89,3,0)*0.475*44/12</f>
        <v>61.11943803340521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195.03791486298559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66.338504180049583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10.059999999999997</v>
      </c>
      <c r="AI94" s="13">
        <f>IF('Données projet'!$A$62&gt;35,AI93+AH94-AQ93,IF(A94&lt;'Données projet'!$A$62,$AF$205^A94,IF(A94='Données projet'!$A$62,'Données projet'!$B$62,AI93+AH94-AQ93)))</f>
        <v>385.83000000000072</v>
      </c>
      <c r="AJ94" s="13">
        <f>AI94*VLOOKUP('Données projet'!$B$10,Paramètres!$A$1:$I$89,3,0)*VLOOKUP('Données projet'!$B$10,Paramètres!$A$1:$I$89,5,0)</f>
        <v>180.56844000000032</v>
      </c>
      <c r="AK94" s="13">
        <f t="shared" si="89"/>
        <v>45.448630376792785</v>
      </c>
      <c r="AL94" s="20">
        <f t="shared" si="58"/>
        <v>393.64639757291462</v>
      </c>
      <c r="AM94" s="59">
        <f t="shared" si="59"/>
        <v>673.55424623309636</v>
      </c>
      <c r="AN94" s="59">
        <f ca="1">AVERAGE(OFFSET($AM$3,0,0,'Données projet'!$E$10+1,1))-AVERAGE(OFFSET($H$3,0,0,'Données projet'!$E$10+1,1))</f>
        <v>360.04137410460385</v>
      </c>
      <c r="AO94" s="59">
        <f t="shared" si="90"/>
        <v>287.81656468701829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68.946761593777936</v>
      </c>
      <c r="AV94" s="21">
        <f>EXP(-LN(2)/25)*AV93+(1-EXP(-LN(2)/25))/(LN(2)/25)*Calculateur!AQ94*Calculateur!AS94*VLOOKUP('Données projet'!$B$10,Paramètres!$A$1:$I$89,3,0)*0.475*44/12</f>
        <v>24.721349194127782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93.668110787905718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66.338504180049583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155.76430449447392</v>
      </c>
      <c r="BJ94" s="59">
        <f t="shared" si="92"/>
        <v>363.39275685992129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20.098694964365357</v>
      </c>
      <c r="BQ94" s="21">
        <f>EXP(-LN(2)/25)*BQ93+(1-EXP(-LN(2)/25))/(LN(2)/25)*Calculateur!BL94*Calculateur!BN94*VLOOKUP('Données projet'!$B$11,Paramètres!$A$1:$I$89,3,0)*0.475*44/12</f>
        <v>3.1900754188076785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23.288770383173038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66.338504180049583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8.2910000000000021</v>
      </c>
      <c r="BY94" s="12">
        <f>IF('Données projet'!$A$114&gt;35,BY93+BX94-CG93,IF(A94&lt;'Données projet'!$A$114,$BV$205^A94,IF(A94='Données projet'!$A$114,'Données projet'!$B$114,BY93+BX94-CG93)))</f>
        <v>321.91700000000026</v>
      </c>
      <c r="BZ94" s="13">
        <f>BY94*VLOOKUP('Données projet'!$B$12,Paramètres!$A$1:$I$89,3,0)*VLOOKUP('Données projet'!$B$12,Paramètres!$A$1:$I$89,5,0)</f>
        <v>326.42383800000027</v>
      </c>
      <c r="CA94" s="13">
        <f t="shared" si="93"/>
        <v>76.688408029206073</v>
      </c>
      <c r="CB94" s="20">
        <f t="shared" si="64"/>
        <v>702.08716183420108</v>
      </c>
      <c r="CC94" s="59">
        <f t="shared" si="65"/>
        <v>981.99501049438288</v>
      </c>
      <c r="CD94" s="59">
        <f ca="1">AVERAGE(OFFSET($CC$3,0,0,'Données projet'!$E$12+1,1))-AVERAGE(OFFSET($H$3,0,0,'Données projet'!$E$12+1,1))</f>
        <v>679.4570479719705</v>
      </c>
      <c r="CE94" s="59">
        <f t="shared" si="94"/>
        <v>310.8252119379963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42.095178013543631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42.095178013543631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66.338504180049583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146.95547268081216</v>
      </c>
      <c r="CZ94" s="59">
        <f t="shared" si="96"/>
        <v>343.21355872318065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18.803993755004388</v>
      </c>
      <c r="DG94" s="21">
        <f>EXP(-LN(2)/25)*DG93+(1-EXP(-LN(2)/25))/(LN(2)/25)*Calculateur!DB94*Calculateur!DD94*VLOOKUP('Données projet'!$B$13,Paramètres!$A$1:$I$89,3,0)*0.475*44/12</f>
        <v>2.9845797629949136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21.788573517999303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66.338504180049583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66.338504180049583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66.338504180049583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66.338504180049583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66.338504180049583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3.5999999999999996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13.199999999999998</v>
      </c>
      <c r="H95" s="67">
        <f t="shared" si="56"/>
        <v>203.86666666666667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66.402022946647406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366.78396742205962</v>
      </c>
      <c r="T95" s="59">
        <f t="shared" si="88"/>
        <v>271.89887525994988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131.29241718115773</v>
      </c>
      <c r="AA95" s="21">
        <f>EXP(-LN(2)/25)*AA94+(1-EXP(-LN(2)/25))/(LN(2)/25)*Calculateur!V95*Calculateur!X95*VLOOKUP('Données projet'!$B$9,Paramètres!$A$1:$I$89,3,0)*0.475*44/12</f>
        <v>59.448123786250186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190.74054096740792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66.402022946647406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10.059999999999997</v>
      </c>
      <c r="AI95" s="13">
        <f>IF('Données projet'!$A$62&gt;35,AI94+AH95-AQ94,IF(A95&lt;'Données projet'!$A$62,$AF$205^A95,IF(A95='Données projet'!$A$62,'Données projet'!$B$62,AI94+AH95-AQ94)))</f>
        <v>395.89000000000073</v>
      </c>
      <c r="AJ95" s="13">
        <f>AI95*VLOOKUP('Données projet'!$B$10,Paramètres!$A$1:$I$89,3,0)*VLOOKUP('Données projet'!$B$10,Paramètres!$A$1:$I$89,5,0)</f>
        <v>185.27652000000035</v>
      </c>
      <c r="AK95" s="13">
        <f t="shared" si="89"/>
        <v>46.494133357933862</v>
      </c>
      <c r="AL95" s="20">
        <f t="shared" si="58"/>
        <v>403.66722126506875</v>
      </c>
      <c r="AM95" s="59">
        <f t="shared" si="59"/>
        <v>683.80797206944249</v>
      </c>
      <c r="AN95" s="59">
        <f ca="1">AVERAGE(OFFSET($AM$3,0,0,'Données projet'!$E$10+1,1))-AVERAGE(OFFSET($H$3,0,0,'Données projet'!$E$10+1,1))</f>
        <v>360.04137410460385</v>
      </c>
      <c r="AO95" s="59">
        <f t="shared" si="90"/>
        <v>287.81656468701829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67.594757652296096</v>
      </c>
      <c r="AV95" s="21">
        <f>EXP(-LN(2)/25)*AV94+(1-EXP(-LN(2)/25))/(LN(2)/25)*Calculateur!AQ95*Calculateur!AS95*VLOOKUP('Données projet'!$B$10,Paramètres!$A$1:$I$89,3,0)*0.475*44/12</f>
        <v>24.045342600375104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91.640100252671203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66.402022946647406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155.76430449447392</v>
      </c>
      <c r="BJ95" s="59">
        <f t="shared" si="92"/>
        <v>363.39275685992129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19.704571815107606</v>
      </c>
      <c r="BQ95" s="21">
        <f>EXP(-LN(2)/25)*BQ94+(1-EXP(-LN(2)/25))/(LN(2)/25)*Calculateur!BL95*Calculateur!BN95*VLOOKUP('Données projet'!$B$11,Paramètres!$A$1:$I$89,3,0)*0.475*44/12</f>
        <v>3.1028426387216075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22.807414453829214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66.402022946647406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8.2910000000000021</v>
      </c>
      <c r="BY95" s="12">
        <f>IF('Données projet'!$A$114&gt;35,BY94+BX95-CG94,IF(A95&lt;'Données projet'!$A$114,$BV$205^A95,IF(A95='Données projet'!$A$114,'Données projet'!$B$114,BY94+BX95-CG94)))</f>
        <v>330.20800000000025</v>
      </c>
      <c r="BZ95" s="13">
        <f>BY95*VLOOKUP('Données projet'!$B$12,Paramètres!$A$1:$I$89,3,0)*VLOOKUP('Données projet'!$B$12,Paramètres!$A$1:$I$89,5,0)</f>
        <v>334.8309120000003</v>
      </c>
      <c r="CA95" s="13">
        <f t="shared" si="93"/>
        <v>78.431029759422557</v>
      </c>
      <c r="CB95" s="20">
        <f t="shared" si="64"/>
        <v>719.76454856432804</v>
      </c>
      <c r="CC95" s="59">
        <f t="shared" si="65"/>
        <v>999.90529936870189</v>
      </c>
      <c r="CD95" s="59">
        <f ca="1">AVERAGE(OFFSET($CC$3,0,0,'Données projet'!$E$12+1,1))-AVERAGE(OFFSET($H$3,0,0,'Données projet'!$E$12+1,1))</f>
        <v>679.4570479719705</v>
      </c>
      <c r="CE95" s="59">
        <f t="shared" si="94"/>
        <v>310.8252119379963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41.269717248221383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41.269717248221383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66.402022946647406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146.95547268081216</v>
      </c>
      <c r="CZ95" s="59">
        <f t="shared" si="96"/>
        <v>343.21355872318065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18.435258906772443</v>
      </c>
      <c r="DG95" s="21">
        <f>EXP(-LN(2)/25)*DG94+(1-EXP(-LN(2)/25))/(LN(2)/25)*Calculateur!DB95*Calculateur!DD95*VLOOKUP('Données projet'!$B$13,Paramètres!$A$1:$I$89,3,0)*0.475*44/12</f>
        <v>2.9029662724235892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21.338225179196034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66.402022946647406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66.402022946647406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66.402022946647406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66.402022946647406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66.402022946647406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3.5999999999999996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13.199999999999998</v>
      </c>
      <c r="H96" s="67">
        <f t="shared" si="56"/>
        <v>203.86666666666667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66.46443980465142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366.78396742205962</v>
      </c>
      <c r="T96" s="59">
        <f t="shared" si="88"/>
        <v>271.89887525994988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128.71785296070243</v>
      </c>
      <c r="AA96" s="21">
        <f>EXP(-LN(2)/25)*AA95+(1-EXP(-LN(2)/25))/(LN(2)/25)*Calculateur!V96*Calculateur!X96*VLOOKUP('Données projet'!$B$9,Paramètres!$A$1:$I$89,3,0)*0.475*44/12</f>
        <v>57.822511715074214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186.54036467577663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66.46443980465142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10.059999999999997</v>
      </c>
      <c r="AI96" s="13">
        <f>IF('Données projet'!$A$62&gt;35,AI95+AH96-AQ95,IF(A96&lt;'Données projet'!$A$62,$AF$205^A96,IF(A96='Données projet'!$A$62,'Données projet'!$B$62,AI95+AH96-AQ95)))</f>
        <v>405.95000000000073</v>
      </c>
      <c r="AJ96" s="13">
        <f>AI96*VLOOKUP('Données projet'!$B$10,Paramètres!$A$1:$I$89,3,0)*VLOOKUP('Données projet'!$B$10,Paramètres!$A$1:$I$89,5,0)</f>
        <v>189.98460000000034</v>
      </c>
      <c r="AK96" s="13">
        <f t="shared" si="89"/>
        <v>47.536548113819151</v>
      </c>
      <c r="AL96" s="20">
        <f t="shared" si="58"/>
        <v>413.68266629823557</v>
      </c>
      <c r="AM96" s="59">
        <f t="shared" si="59"/>
        <v>694.0522789152908</v>
      </c>
      <c r="AN96" s="59">
        <f ca="1">AVERAGE(OFFSET($AM$3,0,0,'Données projet'!$E$10+1,1))-AVERAGE(OFFSET($H$3,0,0,'Données projet'!$E$10+1,1))</f>
        <v>360.04137410460385</v>
      </c>
      <c r="AO96" s="59">
        <f t="shared" si="90"/>
        <v>287.81656468701829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66.269265683465733</v>
      </c>
      <c r="AV96" s="21">
        <f>EXP(-LN(2)/25)*AV95+(1-EXP(-LN(2)/25))/(LN(2)/25)*Calculateur!AQ96*Calculateur!AS96*VLOOKUP('Données projet'!$B$10,Paramètres!$A$1:$I$89,3,0)*0.475*44/12</f>
        <v>23.387821442478234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89.657087125943974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66.46443980465142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155.76430449447392</v>
      </c>
      <c r="BJ96" s="59">
        <f t="shared" si="92"/>
        <v>363.39275685992129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19.318177180415415</v>
      </c>
      <c r="BQ96" s="21">
        <f>EXP(-LN(2)/25)*BQ95+(1-EXP(-LN(2)/25))/(LN(2)/25)*Calculateur!BL96*Calculateur!BN96*VLOOKUP('Données projet'!$B$11,Paramètres!$A$1:$I$89,3,0)*0.475*44/12</f>
        <v>3.0179952435943624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22.336172424009778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66.46443980465142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8.2910000000000021</v>
      </c>
      <c r="BY96" s="12">
        <f>IF('Données projet'!$A$114&gt;35,BY95+BX96-CG95,IF(A96&lt;'Données projet'!$A$114,$BV$205^A96,IF(A96='Données projet'!$A$114,'Données projet'!$B$114,BY95+BX96-CG95)))</f>
        <v>338.49900000000025</v>
      </c>
      <c r="BZ96" s="13">
        <f>BY96*VLOOKUP('Données projet'!$B$12,Paramètres!$A$1:$I$89,3,0)*VLOOKUP('Données projet'!$B$12,Paramètres!$A$1:$I$89,5,0)</f>
        <v>343.23798600000026</v>
      </c>
      <c r="CA96" s="13">
        <f t="shared" si="93"/>
        <v>80.16856533953208</v>
      </c>
      <c r="CB96" s="20">
        <f t="shared" si="64"/>
        <v>737.43307691635209</v>
      </c>
      <c r="CC96" s="59">
        <f t="shared" si="65"/>
        <v>1017.8026895334074</v>
      </c>
      <c r="CD96" s="59">
        <f ca="1">AVERAGE(OFFSET($CC$3,0,0,'Données projet'!$E$12+1,1))-AVERAGE(OFFSET($H$3,0,0,'Données projet'!$E$12+1,1))</f>
        <v>679.4570479719705</v>
      </c>
      <c r="CE96" s="59">
        <f t="shared" si="94"/>
        <v>310.8252119379963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40.460443265025752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40.460443265025752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66.46443980465142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146.95547268081216</v>
      </c>
      <c r="CZ96" s="59">
        <f t="shared" si="96"/>
        <v>343.21355872318065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18.073754724008275</v>
      </c>
      <c r="DG96" s="21">
        <f>EXP(-LN(2)/25)*DG95+(1-EXP(-LN(2)/25))/(LN(2)/25)*Calculateur!DB96*Calculateur!DD96*VLOOKUP('Données projet'!$B$13,Paramètres!$A$1:$I$89,3,0)*0.475*44/12</f>
        <v>2.8235845070438046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20.897339231052079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66.46443980465142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66.46443980465142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66.46443980465142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66.46443980465142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66.46443980465142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3.5999999999999996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13.199999999999998</v>
      </c>
      <c r="H97" s="67">
        <f t="shared" si="56"/>
        <v>203.86666666666667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66.525773869712282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366.78396742205962</v>
      </c>
      <c r="T97" s="59">
        <f t="shared" si="88"/>
        <v>271.89887525994988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126.19377437428113</v>
      </c>
      <c r="AA97" s="21">
        <f>EXP(-LN(2)/25)*AA96+(1-EXP(-LN(2)/25))/(LN(2)/25)*Calculateur!V97*Calculateur!X97*VLOOKUP('Données projet'!$B$9,Paramètres!$A$1:$I$89,3,0)*0.475*44/12</f>
        <v>56.241352091471775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182.43512646575292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66.525773869712282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10.059999999999997</v>
      </c>
      <c r="AI97" s="13">
        <f>IF('Données projet'!$A$62&gt;35,AI96+AH97-AQ96,IF(A97&lt;'Données projet'!$A$62,$AF$205^A97,IF(A97='Données projet'!$A$62,'Données projet'!$B$62,AI96+AH97-AQ96)))</f>
        <v>416.01000000000073</v>
      </c>
      <c r="AJ97" s="13">
        <f>AI97*VLOOKUP('Données projet'!$B$10,Paramètres!$A$1:$I$89,3,0)*VLOOKUP('Données projet'!$B$10,Paramètres!$A$1:$I$89,5,0)</f>
        <v>194.69268000000034</v>
      </c>
      <c r="AK97" s="13">
        <f t="shared" si="89"/>
        <v>48.575959977629871</v>
      </c>
      <c r="AL97" s="20">
        <f t="shared" si="58"/>
        <v>423.69288129437263</v>
      </c>
      <c r="AM97" s="59">
        <f t="shared" si="59"/>
        <v>704.28738548331762</v>
      </c>
      <c r="AN97" s="59">
        <f ca="1">AVERAGE(OFFSET($AM$3,0,0,'Données projet'!$E$10+1,1))-AVERAGE(OFFSET($H$3,0,0,'Données projet'!$E$10+1,1))</f>
        <v>360.04137410460385</v>
      </c>
      <c r="AO97" s="59">
        <f t="shared" si="90"/>
        <v>287.81656468701829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64.969765803673866</v>
      </c>
      <c r="AV97" s="21">
        <f>EXP(-LN(2)/25)*AV96+(1-EXP(-LN(2)/25))/(LN(2)/25)*Calculateur!AQ97*Calculateur!AS97*VLOOKUP('Données projet'!$B$10,Paramètres!$A$1:$I$89,3,0)*0.475*44/12</f>
        <v>22.748280235221589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87.718046038895451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66.525773869712282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155.76430449447392</v>
      </c>
      <c r="BJ97" s="59">
        <f t="shared" si="92"/>
        <v>363.39275685992129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18.93935950883208</v>
      </c>
      <c r="BQ97" s="21">
        <f>EXP(-LN(2)/25)*BQ96+(1-EXP(-LN(2)/25))/(LN(2)/25)*Calculateur!BL97*Calculateur!BN97*VLOOKUP('Données projet'!$B$11,Paramètres!$A$1:$I$89,3,0)*0.475*44/12</f>
        <v>2.9354680049488024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21.874827513780883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66.525773869712282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>
        <f>VLOOKUP(A97,'Données projet'!$A$113:$I$133,2,0)</f>
        <v>346.79</v>
      </c>
      <c r="BW97" s="12">
        <f>VLOOKUP(A97,'Données projet'!$A$113:$I$133,9,0)</f>
        <v>8.2910000000000021</v>
      </c>
      <c r="BX97" s="12">
        <f t="array" ref="BX97">INDEX(BW:BW,MIN(IF(ISNUMBER(BW97:BW293),ROW(BW97:BW293),"")))</f>
        <v>8.2910000000000021</v>
      </c>
      <c r="BY97" s="12">
        <f>IF('Données projet'!$A$114&gt;35,BY96+BX97-CG96,IF(A97&lt;'Données projet'!$A$114,$BV$205^A97,IF(A97='Données projet'!$A$114,'Données projet'!$B$114,BY96+BX97-CG96)))</f>
        <v>346.79000000000025</v>
      </c>
      <c r="BZ97" s="13">
        <f>BY97*VLOOKUP('Données projet'!$B$12,Paramètres!$A$1:$I$89,3,0)*VLOOKUP('Données projet'!$B$12,Paramètres!$A$1:$I$89,5,0)</f>
        <v>351.64506000000029</v>
      </c>
      <c r="CA97" s="13">
        <f t="shared" si="93"/>
        <v>81.901153677584574</v>
      </c>
      <c r="CB97" s="20">
        <f t="shared" si="64"/>
        <v>755.09298882179371</v>
      </c>
      <c r="CC97" s="59">
        <f t="shared" si="65"/>
        <v>1035.6874930107388</v>
      </c>
      <c r="CD97" s="59">
        <f ca="1">AVERAGE(OFFSET($CC$3,0,0,'Données projet'!$E$12+1,1))-AVERAGE(OFFSET($H$3,0,0,'Données projet'!$E$12+1,1))</f>
        <v>679.4570479719705</v>
      </c>
      <c r="CE97" s="59">
        <f t="shared" si="94"/>
        <v>310.8252119379963</v>
      </c>
      <c r="CF97" s="15">
        <f>IF(ISNA(VLOOKUP(A97,'Données projet'!$A$113:$I$133,3,0)),0,VLOOKUP(A97,'Données projet'!$A$113:$I$133,3,0))</f>
        <v>7</v>
      </c>
      <c r="CG97" s="15">
        <f>IF(ISNA(VLOOKUP(A97,'Données projet'!$A$113:$I$133,4,0)),0,VLOOKUP(A97,'Données projet'!$A$113:$I$133,4,0))</f>
        <v>61.85</v>
      </c>
      <c r="CH97" s="16">
        <f>IF(ISNA(VLOOKUP(A97,'Données projet'!$A$113:$I$133,5,0)),0%,VLOOKUP(A97,'Données projet'!$A$113:$I$133,5,0)*VLOOKUP('Données projet'!$B$12,Paramètres!$A$1:$I$89,7,0))</f>
        <v>0.25800000000000001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57.554325653175837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57.554325653175837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66.525773869712282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146.95547268081216</v>
      </c>
      <c r="CZ97" s="59">
        <f t="shared" si="96"/>
        <v>343.21355872318065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17.719339417772336</v>
      </c>
      <c r="DG97" s="21">
        <f>EXP(-LN(2)/25)*DG96+(1-EXP(-LN(2)/25))/(LN(2)/25)*Calculateur!DB97*Calculateur!DD97*VLOOKUP('Données projet'!$B$13,Paramètres!$A$1:$I$89,3,0)*0.475*44/12</f>
        <v>2.7463734402128361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20.465712857985171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66.525773869712282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66.525773869712282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66.525773869712282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66.525773869712282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66.525773869712282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3.5999999999999996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13.199999999999998</v>
      </c>
      <c r="H98" s="67">
        <f t="shared" si="56"/>
        <v>203.86666666666667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66.586043925866761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366.78396742205962</v>
      </c>
      <c r="T98" s="59">
        <f t="shared" si="88"/>
        <v>271.89887525994988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123.71919142940364</v>
      </c>
      <c r="AA98" s="21">
        <f>EXP(-LN(2)/25)*AA97+(1-EXP(-LN(2)/25))/(LN(2)/25)*Calculateur!V98*Calculateur!X98*VLOOKUP('Données projet'!$B$9,Paramètres!$A$1:$I$89,3,0)*0.475*44/12</f>
        <v>54.703429360926314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178.42262079032994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66.586043925866761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10.059999999999997</v>
      </c>
      <c r="AI98" s="13">
        <f>IF('Données projet'!$A$62&gt;35,AI97+AH98-AQ97,IF(A98&lt;'Données projet'!$A$62,$AF$205^A98,IF(A98='Données projet'!$A$62,'Données projet'!$B$62,AI97+AH98-AQ97)))</f>
        <v>426.07000000000073</v>
      </c>
      <c r="AJ98" s="13">
        <f>AI98*VLOOKUP('Données projet'!$B$10,Paramètres!$A$1:$I$89,3,0)*VLOOKUP('Données projet'!$B$10,Paramètres!$A$1:$I$89,5,0)</f>
        <v>199.40076000000033</v>
      </c>
      <c r="AK98" s="13">
        <f t="shared" si="89"/>
        <v>49.612449920138786</v>
      </c>
      <c r="AL98" s="20">
        <f t="shared" si="58"/>
        <v>433.69800727757553</v>
      </c>
      <c r="AM98" s="59">
        <f t="shared" si="59"/>
        <v>714.51350167242026</v>
      </c>
      <c r="AN98" s="59">
        <f ca="1">AVERAGE(OFFSET($AM$3,0,0,'Données projet'!$E$10+1,1))-AVERAGE(OFFSET($H$3,0,0,'Données projet'!$E$10+1,1))</f>
        <v>360.04137410460385</v>
      </c>
      <c r="AO98" s="59">
        <f t="shared" si="90"/>
        <v>287.81656468701829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63.695748323908056</v>
      </c>
      <c r="AV98" s="21">
        <f>EXP(-LN(2)/25)*AV97+(1-EXP(-LN(2)/25))/(LN(2)/25)*Calculateur!AQ98*Calculateur!AS98*VLOOKUP('Données projet'!$B$10,Paramètres!$A$1:$I$89,3,0)*0.475*44/12</f>
        <v>22.126227315909389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85.821975639817452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66.586043925866761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155.76430449447392</v>
      </c>
      <c r="BJ98" s="59">
        <f t="shared" si="92"/>
        <v>363.39275685992129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18.56797022073253</v>
      </c>
      <c r="BQ98" s="21">
        <f>EXP(-LN(2)/25)*BQ97+(1-EXP(-LN(2)/25))/(LN(2)/25)*Calculateur!BL98*Calculateur!BN98*VLOOKUP('Données projet'!$B$11,Paramètres!$A$1:$I$89,3,0)*0.475*44/12</f>
        <v>2.855197477983924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21.423167698716455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66.586043925866761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8.0470000000000024</v>
      </c>
      <c r="BY98" s="12">
        <f>IF('Données projet'!$A$114&gt;35,BY97+BX98-CG97,IF(A98&lt;'Données projet'!$A$114,$BV$205^A98,IF(A98='Données projet'!$A$114,'Données projet'!$B$114,BY97+BX98-CG97)))</f>
        <v>292.98700000000025</v>
      </c>
      <c r="BZ98" s="13">
        <f>BY98*VLOOKUP('Données projet'!$B$12,Paramètres!$A$1:$I$89,3,0)*VLOOKUP('Données projet'!$B$12,Paramètres!$A$1:$I$89,5,0)</f>
        <v>297.08881800000029</v>
      </c>
      <c r="CA98" s="13">
        <f t="shared" si="93"/>
        <v>70.565821981438845</v>
      </c>
      <c r="CB98" s="20">
        <f t="shared" si="64"/>
        <v>640.33183130100645</v>
      </c>
      <c r="CC98" s="59">
        <f t="shared" si="65"/>
        <v>921.14732569585124</v>
      </c>
      <c r="CD98" s="59">
        <f ca="1">AVERAGE(OFFSET($CC$3,0,0,'Données projet'!$E$12+1,1))-AVERAGE(OFFSET($H$3,0,0,'Données projet'!$E$12+1,1))</f>
        <v>679.4570479719705</v>
      </c>
      <c r="CE98" s="59">
        <f t="shared" si="94"/>
        <v>310.8252119379963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56.425720431789408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56.425720431789408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66.586043925866761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146.95547268081216</v>
      </c>
      <c r="CZ98" s="59">
        <f t="shared" si="96"/>
        <v>343.21355872318065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17.371873979519691</v>
      </c>
      <c r="DG98" s="21">
        <f>EXP(-LN(2)/25)*DG97+(1-EXP(-LN(2)/25))/(LN(2)/25)*Calculateur!DB98*Calculateur!DD98*VLOOKUP('Données projet'!$B$13,Paramètres!$A$1:$I$89,3,0)*0.475*44/12</f>
        <v>2.6712737140647138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20.043147693584405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66.586043925866761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66.586043925866761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66.586043925866761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66.586043925866761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66.586043925866761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3.5999999999999996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13.199999999999998</v>
      </c>
      <c r="H99" s="67">
        <f t="shared" si="56"/>
        <v>203.86666666666667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66.645268431290617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366.78396742205962</v>
      </c>
      <c r="T99" s="59">
        <f t="shared" si="88"/>
        <v>271.89887525994988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121.29313354672863</v>
      </c>
      <c r="AA99" s="21">
        <f>EXP(-LN(2)/25)*AA98+(1-EXP(-LN(2)/25))/(LN(2)/25)*Calculateur!V99*Calculateur!X99*VLOOKUP('Données projet'!$B$9,Paramètres!$A$1:$I$89,3,0)*0.475*44/12</f>
        <v>53.207561208323462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174.50069475505208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66.645268431290617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10.059999999999997</v>
      </c>
      <c r="AI99" s="13">
        <f>IF('Données projet'!$A$62&gt;35,AI98+AH99-AQ98,IF(A99&lt;'Données projet'!$A$62,$AF$205^A99,IF(A99='Données projet'!$A$62,'Données projet'!$B$62,AI98+AH99-AQ98)))</f>
        <v>436.13000000000073</v>
      </c>
      <c r="AJ99" s="13">
        <f>AI99*VLOOKUP('Données projet'!$B$10,Paramètres!$A$1:$I$89,3,0)*VLOOKUP('Données projet'!$B$10,Paramètres!$A$1:$I$89,5,0)</f>
        <v>204.10884000000033</v>
      </c>
      <c r="AK99" s="13">
        <f t="shared" si="89"/>
        <v>50.646094870383052</v>
      </c>
      <c r="AL99" s="20">
        <f t="shared" si="58"/>
        <v>443.69817823258433</v>
      </c>
      <c r="AM99" s="59">
        <f t="shared" si="59"/>
        <v>724.73082914731663</v>
      </c>
      <c r="AN99" s="59">
        <f ca="1">AVERAGE(OFFSET($AM$3,0,0,'Données projet'!$E$10+1,1))-AVERAGE(OFFSET($H$3,0,0,'Données projet'!$E$10+1,1))</f>
        <v>360.04137410460385</v>
      </c>
      <c r="AO99" s="59">
        <f t="shared" si="90"/>
        <v>287.81656468701829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62.446713549846521</v>
      </c>
      <c r="AV99" s="21">
        <f>EXP(-LN(2)/25)*AV98+(1-EXP(-LN(2)/25))/(LN(2)/25)*Calculateur!AQ99*Calculateur!AS99*VLOOKUP('Données projet'!$B$10,Paramètres!$A$1:$I$89,3,0)*0.475*44/12</f>
        <v>21.521184466388124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83.967898016234642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66.645268431290617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155.76430449447392</v>
      </c>
      <c r="BJ99" s="59">
        <f t="shared" si="92"/>
        <v>363.39275685992129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18.203863650047516</v>
      </c>
      <c r="BQ99" s="21">
        <f>EXP(-LN(2)/25)*BQ98+(1-EXP(-LN(2)/25))/(LN(2)/25)*Calculateur!BL99*Calculateur!BN99*VLOOKUP('Données projet'!$B$11,Paramètres!$A$1:$I$89,3,0)*0.475*44/12</f>
        <v>2.7771219528001438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20.98098560284766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66.645268431290617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8.0470000000000024</v>
      </c>
      <c r="BY99" s="12">
        <f>IF('Données projet'!$A$114&gt;35,BY98+BX99-CG98,IF(A99&lt;'Données projet'!$A$114,$BV$205^A99,IF(A99='Données projet'!$A$114,'Données projet'!$B$114,BY98+BX99-CG98)))</f>
        <v>301.03400000000028</v>
      </c>
      <c r="BZ99" s="13">
        <f>BY99*VLOOKUP('Données projet'!$B$12,Paramètres!$A$1:$I$89,3,0)*VLOOKUP('Données projet'!$B$12,Paramètres!$A$1:$I$89,5,0)</f>
        <v>305.24847600000032</v>
      </c>
      <c r="CA99" s="13">
        <f t="shared" si="93"/>
        <v>72.275632556335026</v>
      </c>
      <c r="CB99" s="20">
        <f t="shared" si="64"/>
        <v>657.52115573561741</v>
      </c>
      <c r="CC99" s="59">
        <f t="shared" si="65"/>
        <v>938.55380665034977</v>
      </c>
      <c r="CD99" s="59">
        <f ca="1">AVERAGE(OFFSET($CC$3,0,0,'Données projet'!$E$12+1,1))-AVERAGE(OFFSET($H$3,0,0,'Données projet'!$E$12+1,1))</f>
        <v>679.4570479719705</v>
      </c>
      <c r="CE99" s="59">
        <f t="shared" si="94"/>
        <v>310.8252119379963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55.319246470413155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55.319246470413155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66.645268431290617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146.95547268081216</v>
      </c>
      <c r="CZ99" s="59">
        <f t="shared" si="96"/>
        <v>343.21355872318065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17.031222126578189</v>
      </c>
      <c r="DG99" s="21">
        <f>EXP(-LN(2)/25)*DG98+(1-EXP(-LN(2)/25))/(LN(2)/25)*Calculateur!DB99*Calculateur!DD99*VLOOKUP('Données projet'!$B$13,Paramètres!$A$1:$I$89,3,0)*0.475*44/12</f>
        <v>2.5982275938774348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19.629449720455625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66.645268431290617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66.645268431290617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66.645268431290617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66.645268431290617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66.645268431290617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3.5999999999999996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13.199999999999998</v>
      </c>
      <c r="H100" s="67">
        <f t="shared" si="56"/>
        <v>203.86666666666667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66.703465523951536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366.78396742205962</v>
      </c>
      <c r="T100" s="59">
        <f t="shared" si="88"/>
        <v>271.89887525994988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118.91464917938367</v>
      </c>
      <c r="AA100" s="21">
        <f>EXP(-LN(2)/25)*AA99+(1-EXP(-LN(2)/25))/(LN(2)/25)*Calculateur!V100*Calculateur!X100*VLOOKUP('Données projet'!$B$9,Paramètres!$A$1:$I$89,3,0)*0.475*44/12</f>
        <v>51.752597649017822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170.66724682840149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66.703465523951536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>
        <f>VLOOKUP(A100,'Données projet'!$A$61:$I$81,2,0)</f>
        <v>446.19</v>
      </c>
      <c r="AG100" s="12">
        <f>VLOOKUP(A100,'Données projet'!$A$61:$I$81,9,0)</f>
        <v>10.059999999999997</v>
      </c>
      <c r="AH100" s="12">
        <f t="array" ref="AH100">INDEX(AG:AG,MIN(IF(ISNUMBER(AG100:AG296),ROW(AG100:AG296),"")))</f>
        <v>10.059999999999997</v>
      </c>
      <c r="AI100" s="13">
        <f>IF('Données projet'!$A$62&gt;35,AI99+AH100-AQ99,IF(A100&lt;'Données projet'!$A$62,$AF$205^A100,IF(A100='Données projet'!$A$62,'Données projet'!$B$62,AI99+AH100-AQ99)))</f>
        <v>446.19000000000074</v>
      </c>
      <c r="AJ100" s="13">
        <f>AI100*VLOOKUP('Données projet'!$B$10,Paramètres!$A$1:$I$89,3,0)*VLOOKUP('Données projet'!$B$10,Paramètres!$A$1:$I$89,5,0)</f>
        <v>208.81692000000035</v>
      </c>
      <c r="AK100" s="13">
        <f t="shared" si="89"/>
        <v>51.676968005916123</v>
      </c>
      <c r="AL100" s="20">
        <f t="shared" si="58"/>
        <v>453.69352161030451</v>
      </c>
      <c r="AM100" s="59">
        <f t="shared" si="59"/>
        <v>734.9395618647934</v>
      </c>
      <c r="AN100" s="59">
        <f ca="1">AVERAGE(OFFSET($AM$3,0,0,'Données projet'!$E$10+1,1))-AVERAGE(OFFSET($H$3,0,0,'Données projet'!$E$10+1,1))</f>
        <v>360.04137410460385</v>
      </c>
      <c r="AO100" s="59">
        <f t="shared" si="90"/>
        <v>287.81656468701829</v>
      </c>
      <c r="AP100" s="15">
        <f>IF(ISNA(VLOOKUP(A100,'Données projet'!$A$61:$I$81,3,0)),0,VLOOKUP(A100,'Données projet'!$A$61:$I$81,3,0))</f>
        <v>5</v>
      </c>
      <c r="AQ100" s="15">
        <f>IF(ISNA(VLOOKUP(A100,'Données projet'!$A$61:$I$81,4,0)),0,VLOOKUP(A100,'Données projet'!$A$61:$I$81,4,0))</f>
        <v>89.6</v>
      </c>
      <c r="AR100" s="16">
        <f>IF(ISNA(VLOOKUP(A100,'Données projet'!$A$61:$I$81,5,0)),0%,VLOOKUP(A100,'Données projet'!$A$61:$I$81,5,0)*VLOOKUP('Données projet'!$B$10,Paramètres!$A$1:$I$89,7,0))</f>
        <v>0.38500000000000001</v>
      </c>
      <c r="AS100" s="16">
        <f>IF(ISNA(VLOOKUP(A100,'Données projet'!$A$61:$I$81,6,0)),0%,VLOOKUP(A100,'Données projet'!$A$61:$I$81,6,0)*VLOOKUP('Données projet'!$B$10,Paramètres!$A$1:$I$89,7,0))</f>
        <v>0.16500000000000001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82.638397954734586</v>
      </c>
      <c r="AV100" s="21">
        <f>EXP(-LN(2)/25)*AV99+(1-EXP(-LN(2)/25))/(LN(2)/25)*Calculateur!AQ100*Calculateur!AS100*VLOOKUP('Données projet'!$B$10,Paramètres!$A$1:$I$89,3,0)*0.475*44/12</f>
        <v>30.074930484874841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112.71332843960943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66.703465523951536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155.76430449447392</v>
      </c>
      <c r="BJ100" s="59">
        <f t="shared" si="92"/>
        <v>363.39275685992129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17.846896987130556</v>
      </c>
      <c r="BQ100" s="21">
        <f>EXP(-LN(2)/25)*BQ99+(1-EXP(-LN(2)/25))/(LN(2)/25)*Calculateur!BL100*Calculateur!BN100*VLOOKUP('Données projet'!$B$11,Paramètres!$A$1:$I$89,3,0)*0.475*44/12</f>
        <v>2.7011814069583275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20.548078394088883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66.703465523951536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8.0470000000000024</v>
      </c>
      <c r="BY100" s="12">
        <f>IF('Données projet'!$A$114&gt;35,BY99+BX100-CG99,IF(A100&lt;'Données projet'!$A$114,$BV$205^A100,IF(A100='Données projet'!$A$114,'Données projet'!$B$114,BY99+BX100-CG99)))</f>
        <v>309.0810000000003</v>
      </c>
      <c r="BZ100" s="13">
        <f>BY100*VLOOKUP('Données projet'!$B$12,Paramètres!$A$1:$I$89,3,0)*VLOOKUP('Données projet'!$B$12,Paramètres!$A$1:$I$89,5,0)</f>
        <v>313.4081340000003</v>
      </c>
      <c r="CA100" s="13">
        <f t="shared" si="93"/>
        <v>73.980130635311994</v>
      </c>
      <c r="CB100" s="20">
        <f t="shared" si="64"/>
        <v>674.70122757316892</v>
      </c>
      <c r="CC100" s="59">
        <f t="shared" si="65"/>
        <v>955.94726782765792</v>
      </c>
      <c r="CD100" s="59">
        <f ca="1">AVERAGE(OFFSET($CC$3,0,0,'Données projet'!$E$12+1,1))-AVERAGE(OFFSET($H$3,0,0,'Données projet'!$E$12+1,1))</f>
        <v>679.4570479719705</v>
      </c>
      <c r="CE100" s="59">
        <f t="shared" si="94"/>
        <v>310.8252119379963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54.234469788537012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54.234469788537012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66.703465523951536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146.95547268081216</v>
      </c>
      <c r="CZ100" s="59">
        <f t="shared" si="96"/>
        <v>343.21355872318065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16.697250248695756</v>
      </c>
      <c r="DG100" s="21">
        <f>EXP(-LN(2)/25)*DG99+(1-EXP(-LN(2)/25))/(LN(2)/25)*Calculateur!DB100*Calculateur!DD100*VLOOKUP('Données projet'!$B$13,Paramètres!$A$1:$I$89,3,0)*0.475*44/12</f>
        <v>2.5271789236880053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19.224429172383761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66.703465523951536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66.703465523951536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66.703465523951536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66.703465523951536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66.703465523951536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3.5999999999999996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13.199999999999998</v>
      </c>
      <c r="H101" s="67">
        <f t="shared" si="56"/>
        <v>203.86666666666667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66.760653027163983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366.78396742205962</v>
      </c>
      <c r="T101" s="59">
        <f t="shared" si="88"/>
        <v>271.89887525994988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116.58280543975015</v>
      </c>
      <c r="AA101" s="21">
        <f>EXP(-LN(2)/25)*AA100+(1-EXP(-LN(2)/25))/(LN(2)/25)*Calculateur!V101*Calculateur!X101*VLOOKUP('Données projet'!$B$9,Paramètres!$A$1:$I$89,3,0)*0.475*44/12</f>
        <v>50.337420144754603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166.92022558450475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66.760653027163983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9.0474999999999994</v>
      </c>
      <c r="AI101" s="13">
        <f>IF('Données projet'!$A$62&gt;35,AI100+AH101-AQ100,IF(A101&lt;'Données projet'!$A$62,$AF$205^A101,IF(A101='Données projet'!$A$62,'Données projet'!$B$62,AI100+AH101-AQ100)))</f>
        <v>365.63750000000073</v>
      </c>
      <c r="AJ101" s="13">
        <f>AI101*VLOOKUP('Données projet'!$B$10,Paramètres!$A$1:$I$89,3,0)*VLOOKUP('Données projet'!$B$10,Paramètres!$A$1:$I$89,5,0)</f>
        <v>171.11835000000036</v>
      </c>
      <c r="AK101" s="13">
        <f t="shared" si="89"/>
        <v>43.340401117854505</v>
      </c>
      <c r="AL101" s="20">
        <f t="shared" si="58"/>
        <v>373.51565819693059</v>
      </c>
      <c r="AM101" s="59">
        <f t="shared" si="59"/>
        <v>654.9713859631986</v>
      </c>
      <c r="AN101" s="59">
        <f ca="1">AVERAGE(OFFSET($AM$3,0,0,'Données projet'!$E$10+1,1))-AVERAGE(OFFSET($H$3,0,0,'Données projet'!$E$10+1,1))</f>
        <v>360.04137410460385</v>
      </c>
      <c r="AO101" s="59">
        <f t="shared" si="90"/>
        <v>287.81656468701829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81.017909375287971</v>
      </c>
      <c r="AV101" s="21">
        <f>EXP(-LN(2)/25)*AV100+(1-EXP(-LN(2)/25))/(LN(2)/25)*Calculateur!AQ101*Calculateur!AS101*VLOOKUP('Données projet'!$B$10,Paramètres!$A$1:$I$89,3,0)*0.475*44/12</f>
        <v>29.252529929194083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110.27043930448205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66.760653027163983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155.76430449447392</v>
      </c>
      <c r="BJ101" s="59">
        <f t="shared" si="92"/>
        <v>363.39275685992129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17.496930222745231</v>
      </c>
      <c r="BQ101" s="21">
        <f>EXP(-LN(2)/25)*BQ100+(1-EXP(-LN(2)/25))/(LN(2)/25)*Calculateur!BL101*Calculateur!BN101*VLOOKUP('Données projet'!$B$11,Paramètres!$A$1:$I$89,3,0)*0.475*44/12</f>
        <v>2.6273174593360955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20.124247682081325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66.760653027163983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8.0470000000000024</v>
      </c>
      <c r="BY101" s="12">
        <f>IF('Données projet'!$A$114&gt;35,BY100+BX101-CG100,IF(A101&lt;'Données projet'!$A$114,$BV$205^A101,IF(A101='Données projet'!$A$114,'Données projet'!$B$114,BY100+BX101-CG100)))</f>
        <v>317.12800000000033</v>
      </c>
      <c r="BZ101" s="13">
        <f>BY101*VLOOKUP('Données projet'!$B$12,Paramètres!$A$1:$I$89,3,0)*VLOOKUP('Données projet'!$B$12,Paramètres!$A$1:$I$89,5,0)</f>
        <v>321.56779200000034</v>
      </c>
      <c r="CA101" s="13">
        <f t="shared" si="93"/>
        <v>75.679470431568902</v>
      </c>
      <c r="CB101" s="20">
        <f t="shared" si="64"/>
        <v>691.87231540164976</v>
      </c>
      <c r="CC101" s="59">
        <f t="shared" si="65"/>
        <v>973.32804316791771</v>
      </c>
      <c r="CD101" s="59">
        <f ca="1">AVERAGE(OFFSET($CC$3,0,0,'Données projet'!$E$12+1,1))-AVERAGE(OFFSET($H$3,0,0,'Données projet'!$E$12+1,1))</f>
        <v>679.4570479719705</v>
      </c>
      <c r="CE101" s="59">
        <f t="shared" si="94"/>
        <v>310.8252119379963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53.170964915744015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53.170964915744015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66.760653027163983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146.95547268081216</v>
      </c>
      <c r="CZ101" s="59">
        <f t="shared" si="96"/>
        <v>343.21355872318065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16.369827355635866</v>
      </c>
      <c r="DG101" s="21">
        <f>EXP(-LN(2)/25)*DG100+(1-EXP(-LN(2)/25))/(LN(2)/25)*Calculateur!DB101*Calculateur!DD101*VLOOKUP('Données projet'!$B$13,Paramètres!$A$1:$I$89,3,0)*0.475*44/12</f>
        <v>2.4580730831211932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18.827900438757059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66.760653027163983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66.760653027163983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66.760653027163983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66.760653027163983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66.760653027163983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3.5999999999999996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13.199999999999998</v>
      </c>
      <c r="H102" s="67">
        <f t="shared" si="56"/>
        <v>203.86666666666667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66.816848455047804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366.78396742205962</v>
      </c>
      <c r="T102" s="59">
        <f t="shared" si="88"/>
        <v>271.89887525994988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114.29668773356659</v>
      </c>
      <c r="AA102" s="21">
        <f>EXP(-LN(2)/25)*AA101+(1-EXP(-LN(2)/25))/(LN(2)/25)*Calculateur!V102*Calculateur!X102*VLOOKUP('Données projet'!$B$9,Paramètres!$A$1:$I$89,3,0)*0.475*44/12</f>
        <v>48.960940743766407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163.25762847733299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66.816848455047804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9.0474999999999994</v>
      </c>
      <c r="AI102" s="13">
        <f>IF('Données projet'!$A$62&gt;35,AI101+AH102-AQ101,IF(A102&lt;'Données projet'!$A$62,$AF$205^A102,IF(A102='Données projet'!$A$62,'Données projet'!$B$62,AI101+AH102-AQ101)))</f>
        <v>374.68500000000074</v>
      </c>
      <c r="AJ102" s="13">
        <f>AI102*VLOOKUP('Données projet'!$B$10,Paramètres!$A$1:$I$89,3,0)*VLOOKUP('Données projet'!$B$10,Paramètres!$A$1:$I$89,5,0)</f>
        <v>175.35258000000036</v>
      </c>
      <c r="AK102" s="13">
        <f t="shared" si="89"/>
        <v>44.286652000427587</v>
      </c>
      <c r="AL102" s="20">
        <f t="shared" si="58"/>
        <v>382.53832906741195</v>
      </c>
      <c r="AM102" s="59">
        <f t="shared" si="59"/>
        <v>664.2001067359206</v>
      </c>
      <c r="AN102" s="59">
        <f ca="1">AVERAGE(OFFSET($AM$3,0,0,'Données projet'!$E$10+1,1))-AVERAGE(OFFSET($H$3,0,0,'Données projet'!$E$10+1,1))</f>
        <v>360.04137410460385</v>
      </c>
      <c r="AO102" s="59">
        <f t="shared" si="90"/>
        <v>287.81656468701829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79.429197588483859</v>
      </c>
      <c r="AV102" s="21">
        <f>EXP(-LN(2)/25)*AV101+(1-EXP(-LN(2)/25))/(LN(2)/25)*Calculateur!AQ102*Calculateur!AS102*VLOOKUP('Données projet'!$B$10,Paramètres!$A$1:$I$89,3,0)*0.475*44/12</f>
        <v>28.45261795995658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107.88181554844044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66.816848455047804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155.76430449447392</v>
      </c>
      <c r="BJ102" s="59">
        <f t="shared" si="92"/>
        <v>363.39275685992129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17.153826093150855</v>
      </c>
      <c r="BQ102" s="21">
        <f>EXP(-LN(2)/25)*BQ101+(1-EXP(-LN(2)/25))/(LN(2)/25)*Calculateur!BL102*Calculateur!BN102*VLOOKUP('Données projet'!$B$11,Paramètres!$A$1:$I$89,3,0)*0.475*44/12</f>
        <v>2.5554733252459294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19.709299418396785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66.816848455047804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8.0470000000000024</v>
      </c>
      <c r="BY102" s="12">
        <f>IF('Données projet'!$A$114&gt;35,BY101+BX102-CG101,IF(A102&lt;'Données projet'!$A$114,$BV$205^A102,IF(A102='Données projet'!$A$114,'Données projet'!$B$114,BY101+BX102-CG101)))</f>
        <v>325.17500000000035</v>
      </c>
      <c r="BZ102" s="13">
        <f>BY102*VLOOKUP('Données projet'!$B$12,Paramètres!$A$1:$I$89,3,0)*VLOOKUP('Données projet'!$B$12,Paramètres!$A$1:$I$89,5,0)</f>
        <v>329.72745000000037</v>
      </c>
      <c r="CA102" s="13">
        <f t="shared" si="93"/>
        <v>77.373797886161128</v>
      </c>
      <c r="CB102" s="20">
        <f t="shared" si="64"/>
        <v>709.0346734017312</v>
      </c>
      <c r="CC102" s="59">
        <f t="shared" si="65"/>
        <v>990.69645107023985</v>
      </c>
      <c r="CD102" s="59">
        <f ca="1">AVERAGE(OFFSET($CC$3,0,0,'Données projet'!$E$12+1,1))-AVERAGE(OFFSET($H$3,0,0,'Données projet'!$E$12+1,1))</f>
        <v>679.4570479719705</v>
      </c>
      <c r="CE102" s="59">
        <f t="shared" si="94"/>
        <v>310.8252119379963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52.12831472483257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52.12831472483257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66.816848455047804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146.95547268081216</v>
      </c>
      <c r="CZ102" s="59">
        <f t="shared" si="96"/>
        <v>343.21355872318065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16.048825025800635</v>
      </c>
      <c r="DG102" s="21">
        <f>EXP(-LN(2)/25)*DG101+(1-EXP(-LN(2)/25))/(LN(2)/25)*Calculateur!DB102*Calculateur!DD102*VLOOKUP('Données projet'!$B$13,Paramètres!$A$1:$I$89,3,0)*0.475*44/12</f>
        <v>2.3908569453987987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18.439681971199434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66.816848455047804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66.816848455047804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66.816848455047804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66.816848455047804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66.816848455047804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3.5999999999999996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13.199999999999998</v>
      </c>
      <c r="H103" s="67">
        <f t="shared" si="56"/>
        <v>203.86666666666667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66.872069017891988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366.78396742205962</v>
      </c>
      <c r="T103" s="59">
        <f t="shared" si="88"/>
        <v>271.89887525994988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112.05539940120717</v>
      </c>
      <c r="AA103" s="21">
        <f>EXP(-LN(2)/25)*AA102+(1-EXP(-LN(2)/25))/(LN(2)/25)*Calculateur!V103*Calculateur!X103*VLOOKUP('Données projet'!$B$9,Paramètres!$A$1:$I$89,3,0)*0.475*44/12</f>
        <v>47.62210124438414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159.67750064559129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66.872069017891988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9.0474999999999994</v>
      </c>
      <c r="AI103" s="13">
        <f>IF('Données projet'!$A$62&gt;35,AI102+AH103-AQ102,IF(A103&lt;'Données projet'!$A$62,$AF$205^A103,IF(A103='Données projet'!$A$62,'Données projet'!$B$62,AI102+AH103-AQ102)))</f>
        <v>383.73250000000075</v>
      </c>
      <c r="AJ103" s="13">
        <f>AI103*VLOOKUP('Données projet'!$B$10,Paramètres!$A$1:$I$89,3,0)*VLOOKUP('Données projet'!$B$10,Paramètres!$A$1:$I$89,5,0)</f>
        <v>179.58681000000038</v>
      </c>
      <c r="AK103" s="13">
        <f t="shared" si="89"/>
        <v>45.230246712340069</v>
      </c>
      <c r="AL103" s="20">
        <f t="shared" si="58"/>
        <v>391.5563737739929</v>
      </c>
      <c r="AM103" s="59">
        <f t="shared" si="59"/>
        <v>673.42062683959682</v>
      </c>
      <c r="AN103" s="59">
        <f ca="1">AVERAGE(OFFSET($AM$3,0,0,'Données projet'!$E$10+1,1))-AVERAGE(OFFSET($H$3,0,0,'Données projet'!$E$10+1,1))</f>
        <v>360.04137410460385</v>
      </c>
      <c r="AO103" s="59">
        <f t="shared" si="90"/>
        <v>287.81656468701829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77.871639470800474</v>
      </c>
      <c r="AV103" s="21">
        <f>EXP(-LN(2)/25)*AV102+(1-EXP(-LN(2)/25))/(LN(2)/25)*Calculateur!AQ103*Calculateur!AS103*VLOOKUP('Données projet'!$B$10,Paramètres!$A$1:$I$89,3,0)*0.475*44/12</f>
        <v>27.674579625583419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105.54621909638389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66.872069017891988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155.76430449447392</v>
      </c>
      <c r="BJ103" s="59">
        <f t="shared" si="92"/>
        <v>363.39275685992129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16.817450026264968</v>
      </c>
      <c r="BQ103" s="21">
        <f>EXP(-LN(2)/25)*BQ102+(1-EXP(-LN(2)/25))/(LN(2)/25)*Calculateur!BL103*Calculateur!BN103*VLOOKUP('Données projet'!$B$11,Paramètres!$A$1:$I$89,3,0)*0.475*44/12</f>
        <v>2.4855937727805779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19.303043799045547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66.872069017891988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8.0470000000000024</v>
      </c>
      <c r="BY103" s="12">
        <f>IF('Données projet'!$A$114&gt;35,BY102+BX103-CG102,IF(A103&lt;'Données projet'!$A$114,$BV$205^A103,IF(A103='Données projet'!$A$114,'Données projet'!$B$114,BY102+BX103-CG102)))</f>
        <v>333.22200000000038</v>
      </c>
      <c r="BZ103" s="13">
        <f>BY103*VLOOKUP('Données projet'!$B$12,Paramètres!$A$1:$I$89,3,0)*VLOOKUP('Données projet'!$B$12,Paramètres!$A$1:$I$89,5,0)</f>
        <v>337.88710800000041</v>
      </c>
      <c r="CA103" s="13">
        <f t="shared" si="93"/>
        <v>79.063251305296689</v>
      </c>
      <c r="CB103" s="20">
        <f t="shared" si="64"/>
        <v>726.18854245672571</v>
      </c>
      <c r="CC103" s="59">
        <f t="shared" si="65"/>
        <v>1008.0527955223297</v>
      </c>
      <c r="CD103" s="59">
        <f ca="1">AVERAGE(OFFSET($CC$3,0,0,'Données projet'!$E$12+1,1))-AVERAGE(OFFSET($H$3,0,0,'Données projet'!$E$12+1,1))</f>
        <v>679.4570479719705</v>
      </c>
      <c r="CE103" s="59">
        <f t="shared" si="94"/>
        <v>310.8252119379963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51.106110268211076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51.106110268211076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66.872069017891988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146.95547268081216</v>
      </c>
      <c r="CZ103" s="59">
        <f t="shared" si="96"/>
        <v>343.21355872318065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15.734117355861386</v>
      </c>
      <c r="DG103" s="21">
        <f>EXP(-LN(2)/25)*DG102+(1-EXP(-LN(2)/25))/(LN(2)/25)*Calculateur!DB103*Calculateur!DD103*VLOOKUP('Données projet'!$B$13,Paramètres!$A$1:$I$89,3,0)*0.475*44/12</f>
        <v>2.3254788364971661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18.059596192358551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66.872069017891988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66.872069017891988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66.872069017891988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66.872069017891988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66.872069017891988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3.5999999999999996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13.199999999999998</v>
      </c>
      <c r="H104" s="67">
        <f t="shared" si="56"/>
        <v>203.86666666666667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66.926331627425526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366.78396742205962</v>
      </c>
      <c r="T104" s="59">
        <f t="shared" si="88"/>
        <v>271.89887525994988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109.85806136599442</v>
      </c>
      <c r="AA104" s="21">
        <f>EXP(-LN(2)/25)*AA103+(1-EXP(-LN(2)/25))/(LN(2)/25)*Calculateur!V104*Calculateur!X104*VLOOKUP('Données projet'!$B$9,Paramètres!$A$1:$I$89,3,0)*0.475*44/12</f>
        <v>46.319872381518991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156.17793374751341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66.926331627425526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9.0474999999999994</v>
      </c>
      <c r="AI104" s="13">
        <f>IF('Données projet'!$A$62&gt;35,AI103+AH104-AQ103,IF(A104&lt;'Données projet'!$A$62,$AF$205^A104,IF(A104='Données projet'!$A$62,'Données projet'!$B$62,AI103+AH104-AQ103)))</f>
        <v>392.78000000000077</v>
      </c>
      <c r="AJ104" s="13">
        <f>AI104*VLOOKUP('Données projet'!$B$10,Paramètres!$A$1:$I$89,3,0)*VLOOKUP('Données projet'!$B$10,Paramètres!$A$1:$I$89,5,0)</f>
        <v>183.82104000000035</v>
      </c>
      <c r="AK104" s="13">
        <f t="shared" si="89"/>
        <v>46.17125508669745</v>
      </c>
      <c r="AL104" s="20">
        <f t="shared" si="58"/>
        <v>400.56991394266532</v>
      </c>
      <c r="AM104" s="59">
        <f t="shared" si="59"/>
        <v>682.6331299098922</v>
      </c>
      <c r="AN104" s="59">
        <f ca="1">AVERAGE(OFFSET($AM$3,0,0,'Données projet'!$E$10+1,1))-AVERAGE(OFFSET($H$3,0,0,'Données projet'!$E$10+1,1))</f>
        <v>360.04137410460385</v>
      </c>
      <c r="AO104" s="59">
        <f t="shared" si="90"/>
        <v>287.81656468701829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76.344624117788214</v>
      </c>
      <c r="AV104" s="21">
        <f>EXP(-LN(2)/25)*AV103+(1-EXP(-LN(2)/25))/(LN(2)/25)*Calculateur!AQ104*Calculateur!AS104*VLOOKUP('Données projet'!$B$10,Paramètres!$A$1:$I$89,3,0)*0.475*44/12</f>
        <v>26.91781679037895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103.26244090816716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66.926331627425526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155.76430449447392</v>
      </c>
      <c r="BJ104" s="59">
        <f t="shared" si="92"/>
        <v>363.39275685992129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16.487670088881572</v>
      </c>
      <c r="BQ104" s="21">
        <f>EXP(-LN(2)/25)*BQ103+(1-EXP(-LN(2)/25))/(LN(2)/25)*Calculateur!BL104*Calculateur!BN104*VLOOKUP('Données projet'!$B$11,Paramètres!$A$1:$I$89,3,0)*0.475*44/12</f>
        <v>2.4176250803521975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18.905295169233771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66.926331627425526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8.0470000000000024</v>
      </c>
      <c r="BY104" s="12">
        <f>IF('Données projet'!$A$114&gt;35,BY103+BX104-CG103,IF(A104&lt;'Données projet'!$A$114,$BV$205^A104,IF(A104='Données projet'!$A$114,'Données projet'!$B$114,BY103+BX104-CG103)))</f>
        <v>341.2690000000004</v>
      </c>
      <c r="BZ104" s="13">
        <f>BY104*VLOOKUP('Données projet'!$B$12,Paramètres!$A$1:$I$89,3,0)*VLOOKUP('Données projet'!$B$12,Paramètres!$A$1:$I$89,5,0)</f>
        <v>346.04676600000045</v>
      </c>
      <c r="CA104" s="13">
        <f t="shared" si="93"/>
        <v>80.747961934338676</v>
      </c>
      <c r="CB104" s="20">
        <f t="shared" si="64"/>
        <v>743.33415115230719</v>
      </c>
      <c r="CC104" s="59">
        <f t="shared" si="65"/>
        <v>1025.397367119534</v>
      </c>
      <c r="CD104" s="59">
        <f ca="1">AVERAGE(OFFSET($CC$3,0,0,'Données projet'!$E$12+1,1))-AVERAGE(OFFSET($H$3,0,0,'Données projet'!$E$12+1,1))</f>
        <v>679.4570479719705</v>
      </c>
      <c r="CE104" s="59">
        <f t="shared" si="94"/>
        <v>310.8252119379963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50.103950617500779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50.103950617500779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66.926331627425526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146.95547268081216</v>
      </c>
      <c r="CZ104" s="59">
        <f t="shared" si="96"/>
        <v>343.21355872318065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15.425580911376919</v>
      </c>
      <c r="DG104" s="21">
        <f>EXP(-LN(2)/25)*DG103+(1-EXP(-LN(2)/25))/(LN(2)/25)*Calculateur!DB104*Calculateur!DD104*VLOOKUP('Données projet'!$B$13,Paramètres!$A$1:$I$89,3,0)*0.475*44/12</f>
        <v>2.2618884954215339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17.687469406798453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66.926331627425526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66.926331627425526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66.926331627425526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66.926331627425526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66.926331627425526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3.5999999999999996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13.199999999999998</v>
      </c>
      <c r="H105" s="67">
        <f t="shared" si="56"/>
        <v>203.86666666666667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66.979652901996644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366.78396742205962</v>
      </c>
      <c r="T105" s="59">
        <f t="shared" si="88"/>
        <v>271.89887525994988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107.70381178940832</v>
      </c>
      <c r="AA105" s="21">
        <f>EXP(-LN(2)/25)*AA104+(1-EXP(-LN(2)/25))/(LN(2)/25)*Calculateur!V105*Calculateur!X105*VLOOKUP('Données projet'!$B$9,Paramètres!$A$1:$I$89,3,0)*0.475*44/12</f>
        <v>45.053253035390128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152.75706482479845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66.979652901996644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9.0474999999999994</v>
      </c>
      <c r="AI105" s="13">
        <f>IF('Données projet'!$A$62&gt;35,AI104+AH105-AQ104,IF(A105&lt;'Données projet'!$A$62,$AF$205^A105,IF(A105='Données projet'!$A$62,'Données projet'!$B$62,AI104+AH105-AQ104)))</f>
        <v>401.82750000000078</v>
      </c>
      <c r="AJ105" s="13">
        <f>AI105*VLOOKUP('Données projet'!$B$10,Paramètres!$A$1:$I$89,3,0)*VLOOKUP('Données projet'!$B$10,Paramètres!$A$1:$I$89,5,0)</f>
        <v>188.05527000000035</v>
      </c>
      <c r="AK105" s="13">
        <f t="shared" si="89"/>
        <v>47.109743555877948</v>
      </c>
      <c r="AL105" s="20">
        <f t="shared" si="58"/>
        <v>409.57906527648794</v>
      </c>
      <c r="AM105" s="59">
        <f t="shared" si="59"/>
        <v>691.83779258380901</v>
      </c>
      <c r="AN105" s="59">
        <f ca="1">AVERAGE(OFFSET($AM$3,0,0,'Données projet'!$E$10+1,1))-AVERAGE(OFFSET($H$3,0,0,'Données projet'!$E$10+1,1))</f>
        <v>360.04137410460385</v>
      </c>
      <c r="AO105" s="59">
        <f t="shared" si="90"/>
        <v>287.81656468701829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74.847552604461129</v>
      </c>
      <c r="AV105" s="21">
        <f>EXP(-LN(2)/25)*AV104+(1-EXP(-LN(2)/25))/(LN(2)/25)*Calculateur!AQ105*Calculateur!AS105*VLOOKUP('Données projet'!$B$10,Paramètres!$A$1:$I$89,3,0)*0.475*44/12</f>
        <v>26.181747674699576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101.02930027916071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66.979652901996644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155.76430449447392</v>
      </c>
      <c r="BJ105" s="59">
        <f t="shared" si="92"/>
        <v>363.39275685992129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16.164356934924363</v>
      </c>
      <c r="BQ105" s="21">
        <f>EXP(-LN(2)/25)*BQ104+(1-EXP(-LN(2)/25))/(LN(2)/25)*Calculateur!BL105*Calculateur!BN105*VLOOKUP('Données projet'!$B$11,Paramètres!$A$1:$I$89,3,0)*0.475*44/12</f>
        <v>2.3515149953925891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18.515871930316951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66.979652901996644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8.0470000000000024</v>
      </c>
      <c r="BY105" s="12">
        <f>IF('Données projet'!$A$114&gt;35,BY104+BX105-CG104,IF(A105&lt;'Données projet'!$A$114,$BV$205^A105,IF(A105='Données projet'!$A$114,'Données projet'!$B$114,BY104+BX105-CG104)))</f>
        <v>349.31600000000043</v>
      </c>
      <c r="BZ105" s="13">
        <f>BY105*VLOOKUP('Données projet'!$B$12,Paramètres!$A$1:$I$89,3,0)*VLOOKUP('Données projet'!$B$12,Paramètres!$A$1:$I$89,5,0)</f>
        <v>354.20642400000042</v>
      </c>
      <c r="CA105" s="13">
        <f t="shared" si="93"/>
        <v>82.42805447614306</v>
      </c>
      <c r="CB105" s="20">
        <f t="shared" si="64"/>
        <v>760.4717166792833</v>
      </c>
      <c r="CC105" s="59">
        <f t="shared" si="65"/>
        <v>1042.7304439866043</v>
      </c>
      <c r="CD105" s="59">
        <f ca="1">AVERAGE(OFFSET($CC$3,0,0,'Données projet'!$E$12+1,1))-AVERAGE(OFFSET($H$3,0,0,'Données projet'!$E$12+1,1))</f>
        <v>679.4570479719705</v>
      </c>
      <c r="CE105" s="59">
        <f t="shared" si="94"/>
        <v>310.8252119379963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49.121442706283879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49.121442706283879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66.979652901996644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146.95547268081216</v>
      </c>
      <c r="CZ105" s="59">
        <f t="shared" si="96"/>
        <v>343.21355872318065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15.123094678380143</v>
      </c>
      <c r="DG105" s="21">
        <f>EXP(-LN(2)/25)*DG104+(1-EXP(-LN(2)/25))/(LN(2)/25)*Calculateur!DB105*Calculateur!DD105*VLOOKUP('Données projet'!$B$13,Paramètres!$A$1:$I$89,3,0)*0.475*44/12</f>
        <v>2.2000370355666856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17.323131713946829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66.979652901996644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66.979652901996644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66.979652901996644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66.979652901996644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66.979652901996644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3.5999999999999996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13.199999999999998</v>
      </c>
      <c r="H106" s="67">
        <f t="shared" si="56"/>
        <v>203.86666666666667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67.032049171662493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366.78396742205962</v>
      </c>
      <c r="T106" s="59">
        <f t="shared" si="88"/>
        <v>271.89887525994988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105.59180573305659</v>
      </c>
      <c r="AA106" s="21">
        <f>EXP(-LN(2)/25)*AA105+(1-EXP(-LN(2)/25))/(LN(2)/25)*Calculateur!V106*Calculateur!X106*VLOOKUP('Données projet'!$B$9,Paramètres!$A$1:$I$89,3,0)*0.475*44/12</f>
        <v>43.821269461889777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149.41307519494637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67.032049171662493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9.0474999999999994</v>
      </c>
      <c r="AI106" s="13">
        <f>IF('Données projet'!$A$62&gt;35,AI105+AH106-AQ105,IF(A106&lt;'Données projet'!$A$62,$AF$205^A106,IF(A106='Données projet'!$A$62,'Données projet'!$B$62,AI105+AH106-AQ105)))</f>
        <v>410.8750000000008</v>
      </c>
      <c r="AJ106" s="13">
        <f>AI106*VLOOKUP('Données projet'!$B$10,Paramètres!$A$1:$I$89,3,0)*VLOOKUP('Données projet'!$B$10,Paramètres!$A$1:$I$89,5,0)</f>
        <v>192.28950000000037</v>
      </c>
      <c r="AK106" s="13">
        <f t="shared" si="89"/>
        <v>48.045775389924884</v>
      </c>
      <c r="AL106" s="20">
        <f t="shared" si="58"/>
        <v>418.58393797078651</v>
      </c>
      <c r="AM106" s="59">
        <f t="shared" si="59"/>
        <v>701.03478493354896</v>
      </c>
      <c r="AN106" s="59">
        <f ca="1">AVERAGE(OFFSET($AM$3,0,0,'Données projet'!$E$10+1,1))-AVERAGE(OFFSET($H$3,0,0,'Données projet'!$E$10+1,1))</f>
        <v>360.04137410460385</v>
      </c>
      <c r="AO106" s="59">
        <f t="shared" si="90"/>
        <v>287.81656468701829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73.379837750386926</v>
      </c>
      <c r="AV106" s="21">
        <f>EXP(-LN(2)/25)*AV105+(1-EXP(-LN(2)/25))/(LN(2)/25)*Calculateur!AQ106*Calculateur!AS106*VLOOKUP('Données projet'!$B$10,Paramètres!$A$1:$I$89,3,0)*0.475*44/12</f>
        <v>25.465806407696643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98.845644158083573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67.032049171662493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155.76430449447392</v>
      </c>
      <c r="BJ106" s="59">
        <f t="shared" si="92"/>
        <v>363.39275685992129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15.847383754714704</v>
      </c>
      <c r="BQ106" s="21">
        <f>EXP(-LN(2)/25)*BQ105+(1-EXP(-LN(2)/25))/(LN(2)/25)*Calculateur!BL106*Calculateur!BN106*VLOOKUP('Données projet'!$B$11,Paramètres!$A$1:$I$89,3,0)*0.475*44/12</f>
        <v>2.2872126941827795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18.134596448897483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67.032049171662493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8.0470000000000024</v>
      </c>
      <c r="BY106" s="12">
        <f>IF('Données projet'!$A$114&gt;35,BY105+BX106-CG105,IF(A106&lt;'Données projet'!$A$114,$BV$205^A106,IF(A106='Données projet'!$A$114,'Données projet'!$B$114,BY105+BX106-CG105)))</f>
        <v>357.36300000000045</v>
      </c>
      <c r="BZ106" s="13">
        <f>BY106*VLOOKUP('Données projet'!$B$12,Paramètres!$A$1:$I$89,3,0)*VLOOKUP('Données projet'!$B$12,Paramètres!$A$1:$I$89,5,0)</f>
        <v>362.36608200000046</v>
      </c>
      <c r="CA106" s="13">
        <f t="shared" si="93"/>
        <v>84.103647560288479</v>
      </c>
      <c r="CB106" s="20">
        <f t="shared" si="64"/>
        <v>777.60144565083658</v>
      </c>
      <c r="CC106" s="59">
        <f t="shared" si="65"/>
        <v>1060.0522926135991</v>
      </c>
      <c r="CD106" s="59">
        <f ca="1">AVERAGE(OFFSET($CC$3,0,0,'Données projet'!$E$12+1,1))-AVERAGE(OFFSET($H$3,0,0,'Données projet'!$E$12+1,1))</f>
        <v>679.4570479719705</v>
      </c>
      <c r="CE106" s="59">
        <f t="shared" si="94"/>
        <v>310.8252119379963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48.158201175935289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48.158201175935289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67.032049171662493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146.95547268081216</v>
      </c>
      <c r="CZ106" s="59">
        <f t="shared" si="96"/>
        <v>343.21355872318065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14.82654001591405</v>
      </c>
      <c r="DG106" s="21">
        <f>EXP(-LN(2)/25)*DG105+(1-EXP(-LN(2)/25))/(LN(2)/25)*Calculateur!DB106*Calculateur!DD106*VLOOKUP('Données projet'!$B$13,Paramètres!$A$1:$I$89,3,0)*0.475*44/12</f>
        <v>2.139876907134195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16.966416923048246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67.032049171662493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67.032049171662493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67.032049171662493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67.032049171662493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67.032049171662493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3.5999999999999996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13.199999999999998</v>
      </c>
      <c r="H107" s="67">
        <f t="shared" si="56"/>
        <v>203.86666666666667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67.083536483190144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366.78396742205962</v>
      </c>
      <c r="T107" s="59">
        <f t="shared" si="88"/>
        <v>271.89887525994988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103.52121482727341</v>
      </c>
      <c r="AA107" s="21">
        <f>EXP(-LN(2)/25)*AA106+(1-EXP(-LN(2)/25))/(LN(2)/25)*Calculateur!V107*Calculateur!X107*VLOOKUP('Données projet'!$B$9,Paramètres!$A$1:$I$89,3,0)*0.475*44/12</f>
        <v>42.622974543993998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146.1441893712674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67.083536483190144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9.0474999999999994</v>
      </c>
      <c r="AI107" s="13">
        <f>IF('Données projet'!$A$62&gt;35,AI106+AH107-AQ106,IF(A107&lt;'Données projet'!$A$62,$AF$205^A107,IF(A107='Données projet'!$A$62,'Données projet'!$B$62,AI106+AH107-AQ106)))</f>
        <v>419.92250000000081</v>
      </c>
      <c r="AJ107" s="13">
        <f>AI107*VLOOKUP('Données projet'!$B$10,Paramètres!$A$1:$I$89,3,0)*VLOOKUP('Données projet'!$B$10,Paramètres!$A$1:$I$89,5,0)</f>
        <v>196.52373000000037</v>
      </c>
      <c r="AK107" s="13">
        <f t="shared" si="89"/>
        <v>48.979410913349057</v>
      </c>
      <c r="AL107" s="20">
        <f t="shared" si="58"/>
        <v>427.58463709075022</v>
      </c>
      <c r="AM107" s="59">
        <f t="shared" si="59"/>
        <v>710.22427086244738</v>
      </c>
      <c r="AN107" s="59">
        <f ca="1">AVERAGE(OFFSET($AM$3,0,0,'Données projet'!$E$10+1,1))-AVERAGE(OFFSET($H$3,0,0,'Données projet'!$E$10+1,1))</f>
        <v>360.04137410460385</v>
      </c>
      <c r="AO107" s="59">
        <f t="shared" si="90"/>
        <v>287.81656468701829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71.940903889383449</v>
      </c>
      <c r="AV107" s="21">
        <f>EXP(-LN(2)/25)*AV106+(1-EXP(-LN(2)/25))/(LN(2)/25)*Calculateur!AQ107*Calculateur!AS107*VLOOKUP('Données projet'!$B$10,Paramètres!$A$1:$I$89,3,0)*0.475*44/12</f>
        <v>24.769442592289622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96.710346481673071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67.083536483190144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155.76430449447392</v>
      </c>
      <c r="BJ107" s="59">
        <f t="shared" si="92"/>
        <v>363.39275685992129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15.536626225234405</v>
      </c>
      <c r="BQ107" s="21">
        <f>EXP(-LN(2)/25)*BQ106+(1-EXP(-LN(2)/25))/(LN(2)/25)*Calculateur!BL107*Calculateur!BN107*VLOOKUP('Données projet'!$B$11,Paramètres!$A$1:$I$89,3,0)*0.475*44/12</f>
        <v>2.2246687427810632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17.76129496801547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67.083536483190144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365.41</v>
      </c>
      <c r="BW107" s="12">
        <f>VLOOKUP(A107,'Données projet'!$A$113:$I$133,9,0)</f>
        <v>8.0470000000000024</v>
      </c>
      <c r="BX107" s="12">
        <f t="array" ref="BX107">INDEX(BW:BW,MIN(IF(ISNUMBER(BW107:BW303),ROW(BW107:BW303),"")))</f>
        <v>8.0470000000000024</v>
      </c>
      <c r="BY107" s="12">
        <f>IF('Données projet'!$A$114&gt;35,BY106+BX107-CG106,IF(A107&lt;'Données projet'!$A$114,$BV$205^A107,IF(A107='Données projet'!$A$114,'Données projet'!$B$114,BY106+BX107-CG106)))</f>
        <v>365.41000000000048</v>
      </c>
      <c r="BZ107" s="13">
        <f>BY107*VLOOKUP('Données projet'!$B$12,Paramètres!$A$1:$I$89,3,0)*VLOOKUP('Données projet'!$B$12,Paramètres!$A$1:$I$89,5,0)</f>
        <v>370.5257400000005</v>
      </c>
      <c r="CA107" s="13">
        <f t="shared" si="93"/>
        <v>85.774854168850283</v>
      </c>
      <c r="CB107" s="20">
        <f t="shared" si="64"/>
        <v>794.72353484408177</v>
      </c>
      <c r="CC107" s="59">
        <f t="shared" si="65"/>
        <v>1077.3631686157789</v>
      </c>
      <c r="CD107" s="59">
        <f ca="1">AVERAGE(OFFSET($CC$3,0,0,'Données projet'!$E$12+1,1))-AVERAGE(OFFSET($H$3,0,0,'Données projet'!$E$12+1,1))</f>
        <v>679.4570479719705</v>
      </c>
      <c r="CE107" s="59">
        <f t="shared" si="94"/>
        <v>310.8252119379963</v>
      </c>
      <c r="CF107" s="15">
        <f>IF(ISNA(VLOOKUP(A107,'Données projet'!$A$113:$I$133,3,0)),0,VLOOKUP(A107,'Données projet'!$A$113:$I$133,3,0))</f>
        <v>8</v>
      </c>
      <c r="CG107" s="15">
        <f>IF(ISNA(VLOOKUP(A107,'Données projet'!$A$113:$I$133,4,0)),0,VLOOKUP(A107,'Données projet'!$A$113:$I$133,4,0))</f>
        <v>60.19</v>
      </c>
      <c r="CH107" s="16">
        <f>IF(ISNA(VLOOKUP(A107,'Données projet'!$A$113:$I$133,5,0)),0%,VLOOKUP(A107,'Données projet'!$A$113:$I$133,5,0)*VLOOKUP('Données projet'!$B$12,Paramètres!$A$1:$I$89,7,0))</f>
        <v>0.25800000000000001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64.621056060516736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64.621056060516736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67.083536483190144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146.95547268081216</v>
      </c>
      <c r="CZ107" s="59">
        <f t="shared" si="96"/>
        <v>343.21355872318065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14.535800609498434</v>
      </c>
      <c r="DG107" s="21">
        <f>EXP(-LN(2)/25)*DG106+(1-EXP(-LN(2)/25))/(LN(2)/25)*Calculateur!DB107*Calculateur!DD107*VLOOKUP('Données projet'!$B$13,Paramètres!$A$1:$I$89,3,0)*0.475*44/12</f>
        <v>2.0813618605773745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16.617162470075808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67.083536483190144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67.083536483190144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67.083536483190144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67.083536483190144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67.083536483190144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3.5999999999999996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13.199999999999998</v>
      </c>
      <c r="H108" s="67">
        <f t="shared" si="56"/>
        <v>203.86666666666667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67.134130604971176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366.78396742205962</v>
      </c>
      <c r="T108" s="59">
        <f t="shared" si="88"/>
        <v>271.89887525994988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101.4912269462169</v>
      </c>
      <c r="AA108" s="21">
        <f>EXP(-LN(2)/25)*AA107+(1-EXP(-LN(2)/25))/(LN(2)/25)*Calculateur!V108*Calculateur!X108*VLOOKUP('Données projet'!$B$9,Paramètres!$A$1:$I$89,3,0)*0.475*44/12</f>
        <v>41.45744706364367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142.94867400986055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67.134130604971176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9.0474999999999994</v>
      </c>
      <c r="AI108" s="13">
        <f>IF('Données projet'!$A$62&gt;35,AI107+AH108-AQ107,IF(A108&lt;'Données projet'!$A$62,$AF$205^A108,IF(A108='Données projet'!$A$62,'Données projet'!$B$62,AI107+AH108-AQ107)))</f>
        <v>428.97000000000082</v>
      </c>
      <c r="AJ108" s="13">
        <f>AI108*VLOOKUP('Données projet'!$B$10,Paramètres!$A$1:$I$89,3,0)*VLOOKUP('Données projet'!$B$10,Paramètres!$A$1:$I$89,5,0)</f>
        <v>200.75796000000039</v>
      </c>
      <c r="AK108" s="13">
        <f t="shared" si="89"/>
        <v>49.910707702719861</v>
      </c>
      <c r="AL108" s="20">
        <f t="shared" si="58"/>
        <v>436.58126291557113</v>
      </c>
      <c r="AM108" s="59">
        <f t="shared" si="59"/>
        <v>719.40640846713211</v>
      </c>
      <c r="AN108" s="59">
        <f ca="1">AVERAGE(OFFSET($AM$3,0,0,'Données projet'!$E$10+1,1))-AVERAGE(OFFSET($H$3,0,0,'Données projet'!$E$10+1,1))</f>
        <v>360.04137410460385</v>
      </c>
      <c r="AO108" s="59">
        <f t="shared" si="90"/>
        <v>287.81656468701829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70.530186643731255</v>
      </c>
      <c r="AV108" s="21">
        <f>EXP(-LN(2)/25)*AV107+(1-EXP(-LN(2)/25))/(LN(2)/25)*Calculateur!AQ108*Calculateur!AS108*VLOOKUP('Données projet'!$B$10,Paramètres!$A$1:$I$89,3,0)*0.475*44/12</f>
        <v>24.092120882035086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94.622307525766345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67.134130604971176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155.76430449447392</v>
      </c>
      <c r="BJ108" s="59">
        <f t="shared" si="92"/>
        <v>363.39275685992129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15.231962461363839</v>
      </c>
      <c r="BQ108" s="21">
        <f>EXP(-LN(2)/25)*BQ107+(1-EXP(-LN(2)/25))/(LN(2)/25)*Calculateur!BL108*Calculateur!BN108*VLOOKUP('Données projet'!$B$11,Paramètres!$A$1:$I$89,3,0)*0.475*44/12</f>
        <v>2.1638350590194704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17.395797520383308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67.134130604971176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7.9349999999999969</v>
      </c>
      <c r="BY108" s="12">
        <f>IF('Données projet'!$A$114&gt;35,BY107+BX108-CG107,IF(A108&lt;'Données projet'!$A$114,$BV$205^A108,IF(A108='Données projet'!$A$114,'Données projet'!$B$114,BY107+BX108-CG107)))</f>
        <v>313.15500000000048</v>
      </c>
      <c r="BZ108" s="13">
        <f>BY108*VLOOKUP('Données projet'!$B$12,Paramètres!$A$1:$I$89,3,0)*VLOOKUP('Données projet'!$B$12,Paramètres!$A$1:$I$89,5,0)</f>
        <v>317.53917000000052</v>
      </c>
      <c r="CA108" s="13">
        <f t="shared" si="93"/>
        <v>74.841100302084755</v>
      </c>
      <c r="CB108" s="20">
        <f t="shared" si="64"/>
        <v>683.39563744279849</v>
      </c>
      <c r="CC108" s="59">
        <f t="shared" si="65"/>
        <v>966.22078299435952</v>
      </c>
      <c r="CD108" s="59">
        <f ca="1">AVERAGE(OFFSET($CC$3,0,0,'Données projet'!$E$12+1,1))-AVERAGE(OFFSET($H$3,0,0,'Données projet'!$E$12+1,1))</f>
        <v>679.4570479719705</v>
      </c>
      <c r="CE108" s="59">
        <f t="shared" si="94"/>
        <v>310.8252119379963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63.353876566122295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63.353876566122295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67.134130604971176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146.95547268081216</v>
      </c>
      <c r="CZ108" s="59">
        <f t="shared" si="96"/>
        <v>343.21355872318065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14.2507624255091</v>
      </c>
      <c r="DG108" s="21">
        <f>EXP(-LN(2)/25)*DG107+(1-EXP(-LN(2)/25))/(LN(2)/25)*Calculateur!DB108*Calculateur!DD108*VLOOKUP('Données projet'!$B$13,Paramètres!$A$1:$I$89,3,0)*0.475*44/12</f>
        <v>2.024446911045823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16.275209336554923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67.134130604971176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67.134130604971176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67.134130604971176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67.134130604971176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67.134130604971176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3.5999999999999996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13.199999999999998</v>
      </c>
      <c r="H109" s="67">
        <f t="shared" si="56"/>
        <v>203.86666666666667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67.183847031850803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366.78396742205962</v>
      </c>
      <c r="T109" s="59">
        <f t="shared" si="88"/>
        <v>271.89887525994988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99.501045889337561</v>
      </c>
      <c r="AA109" s="21">
        <f>EXP(-LN(2)/25)*AA108+(1-EXP(-LN(2)/25))/(LN(2)/25)*Calculateur!V109*Calculateur!X109*VLOOKUP('Données projet'!$B$9,Paramètres!$A$1:$I$89,3,0)*0.475*44/12</f>
        <v>40.323790993535944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139.82483688287351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67.183847031850803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9.0474999999999994</v>
      </c>
      <c r="AI109" s="13">
        <f>IF('Données projet'!$A$62&gt;35,AI108+AH109-AQ108,IF(A109&lt;'Données projet'!$A$62,$AF$205^A109,IF(A109='Données projet'!$A$62,'Données projet'!$B$62,AI108+AH109-AQ108)))</f>
        <v>438.01750000000084</v>
      </c>
      <c r="AJ109" s="13">
        <f>AI109*VLOOKUP('Données projet'!$B$10,Paramètres!$A$1:$I$89,3,0)*VLOOKUP('Données projet'!$B$10,Paramètres!$A$1:$I$89,5,0)</f>
        <v>204.99219000000039</v>
      </c>
      <c r="AK109" s="13">
        <f t="shared" si="89"/>
        <v>50.839720767115892</v>
      </c>
      <c r="AL109" s="20">
        <f t="shared" si="58"/>
        <v>445.57391125272744</v>
      </c>
      <c r="AM109" s="59">
        <f t="shared" si="59"/>
        <v>728.58135036951376</v>
      </c>
      <c r="AN109" s="59">
        <f ca="1">AVERAGE(OFFSET($AM$3,0,0,'Données projet'!$E$10+1,1))-AVERAGE(OFFSET($H$3,0,0,'Données projet'!$E$10+1,1))</f>
        <v>360.04137410460385</v>
      </c>
      <c r="AO109" s="59">
        <f t="shared" si="90"/>
        <v>287.81656468701829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69.147132702813749</v>
      </c>
      <c r="AV109" s="21">
        <f>EXP(-LN(2)/25)*AV108+(1-EXP(-LN(2)/25))/(LN(2)/25)*Calculateur!AQ109*Calculateur!AS109*VLOOKUP('Données projet'!$B$10,Paramètres!$A$1:$I$89,3,0)*0.475*44/12</f>
        <v>23.433320569566263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92.580453272380012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67.183847031850803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155.76430449447392</v>
      </c>
      <c r="BJ109" s="59">
        <f t="shared" si="92"/>
        <v>363.39275685992129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14.933272968076228</v>
      </c>
      <c r="BQ109" s="21">
        <f>EXP(-LN(2)/25)*BQ108+(1-EXP(-LN(2)/25))/(LN(2)/25)*Calculateur!BL109*Calculateur!BN109*VLOOKUP('Données projet'!$B$11,Paramètres!$A$1:$I$89,3,0)*0.475*44/12</f>
        <v>2.1046648755394428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17.037937843615669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67.183847031850803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7.9349999999999969</v>
      </c>
      <c r="BY109" s="12">
        <f>IF('Données projet'!$A$114&gt;35,BY108+BX109-CG108,IF(A109&lt;'Données projet'!$A$114,$BV$205^A109,IF(A109='Données projet'!$A$114,'Données projet'!$B$114,BY108+BX109-CG108)))</f>
        <v>321.09000000000049</v>
      </c>
      <c r="BZ109" s="13">
        <f>BY109*VLOOKUP('Données projet'!$B$12,Paramètres!$A$1:$I$89,3,0)*VLOOKUP('Données projet'!$B$12,Paramètres!$A$1:$I$89,5,0)</f>
        <v>325.58526000000052</v>
      </c>
      <c r="CA109" s="13">
        <f t="shared" si="93"/>
        <v>76.514302718659977</v>
      </c>
      <c r="CB109" s="20">
        <f t="shared" si="64"/>
        <v>700.32340506833361</v>
      </c>
      <c r="CC109" s="59">
        <f t="shared" si="65"/>
        <v>983.33084418511999</v>
      </c>
      <c r="CD109" s="59">
        <f ca="1">AVERAGE(OFFSET($CC$3,0,0,'Données projet'!$E$12+1,1))-AVERAGE(OFFSET($H$3,0,0,'Données projet'!$E$12+1,1))</f>
        <v>679.4570479719705</v>
      </c>
      <c r="CE109" s="59">
        <f t="shared" si="94"/>
        <v>310.8252119379963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62.111545688709754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62.111545688709754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67.183847031850803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146.95547268081216</v>
      </c>
      <c r="CZ109" s="59">
        <f t="shared" si="96"/>
        <v>343.21355872318065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13.971313666451671</v>
      </c>
      <c r="DG109" s="21">
        <f>EXP(-LN(2)/25)*DG108+(1-EXP(-LN(2)/25))/(LN(2)/25)*Calculateur!DB109*Calculateur!DD109*VLOOKUP('Données projet'!$B$13,Paramètres!$A$1:$I$89,3,0)*0.475*44/12</f>
        <v>1.9690883038022389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15.940401970253911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67.183847031850803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67.183847031850803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67.183847031850803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67.183847031850803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67.183847031850803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3.5999999999999996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13.199999999999998</v>
      </c>
      <c r="H110" s="67">
        <f t="shared" si="56"/>
        <v>203.86666666666667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67.232700989873365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366.78396742205962</v>
      </c>
      <c r="T110" s="59">
        <f t="shared" si="88"/>
        <v>271.89887525994988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97.549891069093036</v>
      </c>
      <c r="AA110" s="21">
        <f>EXP(-LN(2)/25)*AA109+(1-EXP(-LN(2)/25))/(LN(2)/25)*Calculateur!V110*Calculateur!X110*VLOOKUP('Données projet'!$B$9,Paramètres!$A$1:$I$89,3,0)*0.475*44/12</f>
        <v>39.221134808281697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136.77102587737474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67.232700989873365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9.0474999999999994</v>
      </c>
      <c r="AI110" s="13">
        <f>IF('Données projet'!$A$62&gt;35,AI109+AH110-AQ109,IF(A110&lt;'Données projet'!$A$62,$AF$205^A110,IF(A110='Données projet'!$A$62,'Données projet'!$B$62,AI109+AH110-AQ109)))</f>
        <v>447.06500000000085</v>
      </c>
      <c r="AJ110" s="13">
        <f>AI110*VLOOKUP('Données projet'!$B$10,Paramètres!$A$1:$I$89,3,0)*VLOOKUP('Données projet'!$B$10,Paramètres!$A$1:$I$89,5,0)</f>
        <v>209.22642000000042</v>
      </c>
      <c r="AK110" s="13">
        <f t="shared" si="89"/>
        <v>51.76650271324506</v>
      </c>
      <c r="AL110" s="20">
        <f t="shared" si="58"/>
        <v>454.56267372556914</v>
      </c>
      <c r="AM110" s="59">
        <f t="shared" si="59"/>
        <v>737.74924402177146</v>
      </c>
      <c r="AN110" s="59">
        <f ca="1">AVERAGE(OFFSET($AM$3,0,0,'Données projet'!$E$10+1,1))-AVERAGE(OFFSET($H$3,0,0,'Données projet'!$E$10+1,1))</f>
        <v>360.04137410460385</v>
      </c>
      <c r="AO110" s="59">
        <f t="shared" si="90"/>
        <v>287.81656468701829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67.791199606098033</v>
      </c>
      <c r="AV110" s="21">
        <f>EXP(-LN(2)/25)*AV109+(1-EXP(-LN(2)/25))/(LN(2)/25)*Calculateur!AQ110*Calculateur!AS110*VLOOKUP('Données projet'!$B$10,Paramètres!$A$1:$I$89,3,0)*0.475*44/12</f>
        <v>22.792535186286702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90.583734792384732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67.232700989873365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155.76430449447392</v>
      </c>
      <c r="BJ110" s="59">
        <f t="shared" si="92"/>
        <v>363.39275685992129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14.640440593569384</v>
      </c>
      <c r="BQ110" s="21">
        <f>EXP(-LN(2)/25)*BQ109+(1-EXP(-LN(2)/25))/(LN(2)/25)*Calculateur!BL110*Calculateur!BN110*VLOOKUP('Données projet'!$B$11,Paramètres!$A$1:$I$89,3,0)*0.475*44/12</f>
        <v>2.0471127038383012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16.687553297407685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67.232700989873365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7.9349999999999969</v>
      </c>
      <c r="BY110" s="12">
        <f>IF('Données projet'!$A$114&gt;35,BY109+BX110-CG109,IF(A110&lt;'Données projet'!$A$114,$BV$205^A110,IF(A110='Données projet'!$A$114,'Données projet'!$B$114,BY109+BX110-CG109)))</f>
        <v>329.02500000000049</v>
      </c>
      <c r="BZ110" s="13">
        <f>BY110*VLOOKUP('Données projet'!$B$12,Paramètres!$A$1:$I$89,3,0)*VLOOKUP('Données projet'!$B$12,Paramètres!$A$1:$I$89,5,0)</f>
        <v>333.63135000000051</v>
      </c>
      <c r="CA110" s="13">
        <f t="shared" si="93"/>
        <v>78.182698470317533</v>
      </c>
      <c r="CB110" s="20">
        <f t="shared" si="64"/>
        <v>717.24280108580388</v>
      </c>
      <c r="CC110" s="59">
        <f t="shared" si="65"/>
        <v>1000.4293713820061</v>
      </c>
      <c r="CD110" s="59">
        <f ca="1">AVERAGE(OFFSET($CC$3,0,0,'Données projet'!$E$12+1,1))-AVERAGE(OFFSET($H$3,0,0,'Données projet'!$E$12+1,1))</f>
        <v>679.4570479719705</v>
      </c>
      <c r="CE110" s="59">
        <f t="shared" si="94"/>
        <v>310.8252119379963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60.893576162056263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60.893576162056263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67.232700989873365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146.95547268081216</v>
      </c>
      <c r="CZ110" s="59">
        <f t="shared" si="96"/>
        <v>343.21355872318065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13.697344727112446</v>
      </c>
      <c r="DG110" s="21">
        <f>EXP(-LN(2)/25)*DG109+(1-EXP(-LN(2)/25))/(LN(2)/25)*Calculateur!DB110*Calculateur!DD110*VLOOKUP('Données projet'!$B$13,Paramètres!$A$1:$I$89,3,0)*0.475*44/12</f>
        <v>1.9152434805849132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15.612588207697359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67.232700989873365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67.232700989873365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67.232700989873365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67.232700989873365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67.232700989873365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3.5999999999999996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13.199999999999998</v>
      </c>
      <c r="H111" s="67">
        <f t="shared" si="56"/>
        <v>203.86666666666667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67.280707440945321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366.78396742205962</v>
      </c>
      <c r="T111" s="59">
        <f t="shared" si="88"/>
        <v>271.89887525994988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95.636997204786582</v>
      </c>
      <c r="AA111" s="21">
        <f>EXP(-LN(2)/25)*AA110+(1-EXP(-LN(2)/25))/(LN(2)/25)*Calculateur!V111*Calculateur!X111*VLOOKUP('Données projet'!$B$9,Paramètres!$A$1:$I$89,3,0)*0.475*44/12</f>
        <v>38.148630814399397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133.78562801918599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67.280707440945321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9.0474999999999994</v>
      </c>
      <c r="AI111" s="13">
        <f>IF('Données projet'!$A$62&gt;35,AI110+AH111-AQ110,IF(A111&lt;'Données projet'!$A$62,$AF$205^A111,IF(A111='Données projet'!$A$62,'Données projet'!$B$62,AI110+AH111-AQ110)))</f>
        <v>456.11250000000086</v>
      </c>
      <c r="AJ111" s="13">
        <f>AI111*VLOOKUP('Données projet'!$B$10,Paramètres!$A$1:$I$89,3,0)*VLOOKUP('Données projet'!$B$10,Paramètres!$A$1:$I$89,5,0)</f>
        <v>213.46065000000041</v>
      </c>
      <c r="AK111" s="13">
        <f t="shared" si="89"/>
        <v>52.691103896821531</v>
      </c>
      <c r="AL111" s="20">
        <f t="shared" si="58"/>
        <v>463.54763803696488</v>
      </c>
      <c r="AM111" s="59">
        <f t="shared" si="59"/>
        <v>746.91023198709775</v>
      </c>
      <c r="AN111" s="59">
        <f ca="1">AVERAGE(OFFSET($AM$3,0,0,'Données projet'!$E$10+1,1))-AVERAGE(OFFSET($H$3,0,0,'Données projet'!$E$10+1,1))</f>
        <v>360.04137410460385</v>
      </c>
      <c r="AO111" s="59">
        <f t="shared" si="90"/>
        <v>287.81656468701829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66.46185553037138</v>
      </c>
      <c r="AV111" s="21">
        <f>EXP(-LN(2)/25)*AV110+(1-EXP(-LN(2)/25))/(LN(2)/25)*Calculateur!AQ111*Calculateur!AS111*VLOOKUP('Données projet'!$B$10,Paramètres!$A$1:$I$89,3,0)*0.475*44/12</f>
        <v>22.169272113010361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88.631127643381745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67.280707440945321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155.76430449447392</v>
      </c>
      <c r="BJ111" s="59">
        <f t="shared" si="92"/>
        <v>363.39275685992129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14.353350483316508</v>
      </c>
      <c r="BQ111" s="21">
        <f>EXP(-LN(2)/25)*BQ110+(1-EXP(-LN(2)/25))/(LN(2)/25)*Calculateur!BL111*Calculateur!BN111*VLOOKUP('Données projet'!$B$11,Paramètres!$A$1:$I$89,3,0)*0.475*44/12</f>
        <v>1.9911342992988645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16.344484782615371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67.280707440945321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7.9349999999999969</v>
      </c>
      <c r="BY111" s="12">
        <f>IF('Données projet'!$A$114&gt;35,BY110+BX111-CG110,IF(A111&lt;'Données projet'!$A$114,$BV$205^A111,IF(A111='Données projet'!$A$114,'Données projet'!$B$114,BY110+BX111-CG110)))</f>
        <v>336.96000000000049</v>
      </c>
      <c r="BZ111" s="13">
        <f>BY111*VLOOKUP('Données projet'!$B$12,Paramètres!$A$1:$I$89,3,0)*VLOOKUP('Données projet'!$B$12,Paramètres!$A$1:$I$89,5,0)</f>
        <v>341.6774400000005</v>
      </c>
      <c r="CA111" s="13">
        <f t="shared" si="93"/>
        <v>79.846416815053246</v>
      </c>
      <c r="CB111" s="20">
        <f t="shared" si="64"/>
        <v>734.15405061955198</v>
      </c>
      <c r="CC111" s="59">
        <f t="shared" si="65"/>
        <v>1017.5166445696848</v>
      </c>
      <c r="CD111" s="59">
        <f ca="1">AVERAGE(OFFSET($CC$3,0,0,'Données projet'!$E$12+1,1))-AVERAGE(OFFSET($H$3,0,0,'Données projet'!$E$12+1,1))</f>
        <v>679.4570479719705</v>
      </c>
      <c r="CE111" s="59">
        <f t="shared" si="94"/>
        <v>310.8252119379963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59.699490274932387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59.699490274932387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67.280707440945321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146.95547268081216</v>
      </c>
      <c r="CZ111" s="59">
        <f t="shared" si="96"/>
        <v>343.21355872318065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13.42874815156911</v>
      </c>
      <c r="DG111" s="21">
        <f>EXP(-LN(2)/25)*DG110+(1-EXP(-LN(2)/25))/(LN(2)/25)*Calculateur!DB111*Calculateur!DD111*VLOOKUP('Données projet'!$B$13,Paramètres!$A$1:$I$89,3,0)*0.475*44/12</f>
        <v>1.8628710468900416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15.291619198459152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67.280707440945321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67.280707440945321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67.280707440945321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67.280707440945321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67.280707440945321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3.5999999999999996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13.199999999999998</v>
      </c>
      <c r="H112" s="67">
        <f t="shared" si="56"/>
        <v>203.86666666666667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67.327881087417524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366.78396742205962</v>
      </c>
      <c r="T112" s="59">
        <f t="shared" si="88"/>
        <v>271.89887525994988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93.76161402240912</v>
      </c>
      <c r="AA112" s="21">
        <f>EXP(-LN(2)/25)*AA111+(1-EXP(-LN(2)/25))/(LN(2)/25)*Calculateur!V112*Calculateur!X112*VLOOKUP('Données projet'!$B$9,Paramètres!$A$1:$I$89,3,0)*0.475*44/12</f>
        <v>37.105454498630337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130.86706852103947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67.327881087417524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465.16</v>
      </c>
      <c r="AG112" s="12">
        <f>VLOOKUP(A112,'Données projet'!$A$61:$I$81,9,0)</f>
        <v>9.0474999999999994</v>
      </c>
      <c r="AH112" s="12">
        <f t="array" ref="AH112">INDEX(AG:AG,MIN(IF(ISNUMBER(AG112:AG308),ROW(AG112:AG308),"")))</f>
        <v>9.0474999999999994</v>
      </c>
      <c r="AI112" s="13">
        <f>IF('Données projet'!$A$62&gt;35,AI111+AH112-AQ111,IF(A112&lt;'Données projet'!$A$62,$AF$205^A112,IF(A112='Données projet'!$A$62,'Données projet'!$B$62,AI111+AH112-AQ111)))</f>
        <v>465.16000000000088</v>
      </c>
      <c r="AJ112" s="13">
        <f>AI112*VLOOKUP('Données projet'!$B$10,Paramètres!$A$1:$I$89,3,0)*VLOOKUP('Données projet'!$B$10,Paramètres!$A$1:$I$89,5,0)</f>
        <v>217.69488000000038</v>
      </c>
      <c r="AK112" s="13">
        <f t="shared" si="89"/>
        <v>53.613572561591781</v>
      </c>
      <c r="AL112" s="20">
        <f t="shared" si="58"/>
        <v>472.52888821143966</v>
      </c>
      <c r="AM112" s="59">
        <f t="shared" si="59"/>
        <v>756.06445219863724</v>
      </c>
      <c r="AN112" s="59">
        <f ca="1">AVERAGE(OFFSET($AM$3,0,0,'Données projet'!$E$10+1,1))-AVERAGE(OFFSET($H$3,0,0,'Données projet'!$E$10+1,1))</f>
        <v>360.04137410460385</v>
      </c>
      <c r="AO112" s="59">
        <f t="shared" si="90"/>
        <v>287.81656468701829</v>
      </c>
      <c r="AP112" s="15">
        <f>IF(ISNA(VLOOKUP(A112,'Données projet'!$A$61:$I$81,3,0)),0,VLOOKUP(A112,'Données projet'!$A$61:$I$81,3,0))</f>
        <v>6</v>
      </c>
      <c r="AQ112" s="15">
        <f>IF(ISNA(VLOOKUP(A112,'Données projet'!$A$61:$I$81,4,0)),0,VLOOKUP(A112,'Données projet'!$A$61:$I$81,4,0))</f>
        <v>91.09</v>
      </c>
      <c r="AR112" s="16">
        <f>IF(ISNA(VLOOKUP(A112,'Données projet'!$A$61:$I$81,5,0)),0%,VLOOKUP(A112,'Données projet'!$A$61:$I$81,5,0)*VLOOKUP('Données projet'!$B$10,Paramètres!$A$1:$I$89,7,0))</f>
        <v>0.38500000000000001</v>
      </c>
      <c r="AS112" s="16">
        <f>IF(ISNA(VLOOKUP(A112,'Données projet'!$A$61:$I$81,6,0)),0%,VLOOKUP(A112,'Données projet'!$A$61:$I$81,6,0)*VLOOKUP('Données projet'!$B$10,Paramètres!$A$1:$I$89,7,0))</f>
        <v>0.16500000000000001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86.930945821551987</v>
      </c>
      <c r="AV112" s="21">
        <f>EXP(-LN(2)/25)*AV111+(1-EXP(-LN(2)/25))/(LN(2)/25)*Calculateur!AQ112*Calculateur!AS112*VLOOKUP('Données projet'!$B$10,Paramètres!$A$1:$I$89,3,0)*0.475*44/12</f>
        <v>30.857326759801449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117.78827258135344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67.327881087417524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155.76430449447392</v>
      </c>
      <c r="BJ112" s="59">
        <f t="shared" si="92"/>
        <v>363.39275685992129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14.071890035018013</v>
      </c>
      <c r="BQ112" s="21">
        <f>EXP(-LN(2)/25)*BQ111+(1-EXP(-LN(2)/25))/(LN(2)/25)*Calculateur!BL112*Calculateur!BN112*VLOOKUP('Données projet'!$B$11,Paramètres!$A$1:$I$89,3,0)*0.475*44/12</f>
        <v>1.9366866271753351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16.008576662193349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67.327881087417524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7.9349999999999969</v>
      </c>
      <c r="BY112" s="12">
        <f>IF('Données projet'!$A$114&gt;35,BY111+BX112-CG111,IF(A112&lt;'Données projet'!$A$114,$BV$205^A112,IF(A112='Données projet'!$A$114,'Données projet'!$B$114,BY111+BX112-CG111)))</f>
        <v>344.89500000000049</v>
      </c>
      <c r="BZ112" s="13">
        <f>BY112*VLOOKUP('Données projet'!$B$12,Paramètres!$A$1:$I$89,3,0)*VLOOKUP('Données projet'!$B$12,Paramètres!$A$1:$I$89,5,0)</f>
        <v>349.72353000000055</v>
      </c>
      <c r="CA112" s="13">
        <f t="shared" si="93"/>
        <v>81.505580575848711</v>
      </c>
      <c r="CB112" s="20">
        <f t="shared" si="64"/>
        <v>751.05736758627074</v>
      </c>
      <c r="CC112" s="59">
        <f t="shared" si="65"/>
        <v>1034.5929315734684</v>
      </c>
      <c r="CD112" s="59">
        <f ca="1">AVERAGE(OFFSET($CC$3,0,0,'Données projet'!$E$12+1,1))-AVERAGE(OFFSET($H$3,0,0,'Données projet'!$E$12+1,1))</f>
        <v>679.4570479719705</v>
      </c>
      <c r="CE112" s="59">
        <f t="shared" si="94"/>
        <v>310.8252119379963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58.52881968373454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58.52881968373454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67.327881087417524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146.95547268081216</v>
      </c>
      <c r="CZ112" s="59">
        <f t="shared" si="96"/>
        <v>343.21355872318065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13.165418591044444</v>
      </c>
      <c r="DG112" s="21">
        <f>EXP(-LN(2)/25)*DG111+(1-EXP(-LN(2)/25))/(LN(2)/25)*Calculateur!DB112*Calculateur!DD112*VLOOKUP('Données projet'!$B$13,Paramètres!$A$1:$I$89,3,0)*0.475*44/12</f>
        <v>1.8119307401487026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14.977349331193146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67.327881087417524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67.327881087417524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67.327881087417524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67.327881087417524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67.327881087417524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3.5999999999999996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13.199999999999998</v>
      </c>
      <c r="H113" s="67">
        <f t="shared" si="56"/>
        <v>203.86666666666667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67.374236376587902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366.78396742205962</v>
      </c>
      <c r="T113" s="59">
        <f t="shared" si="88"/>
        <v>271.89887525994988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91.923005960367291</v>
      </c>
      <c r="AA113" s="21">
        <f>EXP(-LN(2)/25)*AA112+(1-EXP(-LN(2)/25))/(LN(2)/25)*Calculateur!V113*Calculateur!X113*VLOOKUP('Données projet'!$B$9,Paramètres!$A$1:$I$89,3,0)*0.475*44/12</f>
        <v>36.090803894074241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128.01380985444155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67.374236376587902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8.0958333333333314</v>
      </c>
      <c r="AI113" s="13">
        <f>IF('Données projet'!$A$62&gt;35,AI112+AH113-AQ112,IF(A113&lt;'Données projet'!$A$62,$AF$205^A113,IF(A113='Données projet'!$A$62,'Données projet'!$B$62,AI112+AH113-AQ112)))</f>
        <v>382.16583333333415</v>
      </c>
      <c r="AJ113" s="13">
        <f>AI113*VLOOKUP('Données projet'!$B$10,Paramètres!$A$1:$I$89,3,0)*VLOOKUP('Données projet'!$B$10,Paramètres!$A$1:$I$89,5,0)</f>
        <v>178.85361000000037</v>
      </c>
      <c r="AK113" s="13">
        <f t="shared" si="89"/>
        <v>45.067040749095575</v>
      </c>
      <c r="AL113" s="20">
        <f t="shared" si="58"/>
        <v>389.99513338800875</v>
      </c>
      <c r="AM113" s="59">
        <f t="shared" si="59"/>
        <v>673.70066676883107</v>
      </c>
      <c r="AN113" s="59">
        <f ca="1">AVERAGE(OFFSET($AM$3,0,0,'Données projet'!$E$10+1,1))-AVERAGE(OFFSET($H$3,0,0,'Données projet'!$E$10+1,1))</f>
        <v>360.04137410460385</v>
      </c>
      <c r="AO113" s="59">
        <f t="shared" si="90"/>
        <v>287.81656468701829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85.226282996632747</v>
      </c>
      <c r="AV113" s="21">
        <f>EXP(-LN(2)/25)*AV112+(1-EXP(-LN(2)/25))/(LN(2)/25)*Calculateur!AQ113*Calculateur!AS113*VLOOKUP('Données projet'!$B$10,Paramètres!$A$1:$I$89,3,0)*0.475*44/12</f>
        <v>30.013531536838389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115.23981453347113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67.374236376587902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155.76430449447392</v>
      </c>
      <c r="BJ113" s="59">
        <f t="shared" si="92"/>
        <v>363.39275685992129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13.79594885443673</v>
      </c>
      <c r="BQ113" s="21">
        <f>EXP(-LN(2)/25)*BQ112+(1-EXP(-LN(2)/25))/(LN(2)/25)*Calculateur!BL113*Calculateur!BN113*VLOOKUP('Données projet'!$B$11,Paramètres!$A$1:$I$89,3,0)*0.475*44/12</f>
        <v>1.8837278295093023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15.679676683946033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67.374236376587902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7.9349999999999969</v>
      </c>
      <c r="BY113" s="12">
        <f>IF('Données projet'!$A$114&gt;35,BY112+BX113-CG112,IF(A113&lt;'Données projet'!$A$114,$BV$205^A113,IF(A113='Données projet'!$A$114,'Données projet'!$B$114,BY112+BX113-CG112)))</f>
        <v>352.8300000000005</v>
      </c>
      <c r="BZ113" s="13">
        <f>BY113*VLOOKUP('Données projet'!$B$12,Paramètres!$A$1:$I$89,3,0)*VLOOKUP('Données projet'!$B$12,Paramètres!$A$1:$I$89,5,0)</f>
        <v>357.76962000000054</v>
      </c>
      <c r="CA113" s="13">
        <f t="shared" si="93"/>
        <v>83.160306601601619</v>
      </c>
      <c r="CB113" s="20">
        <f t="shared" si="64"/>
        <v>767.95295549779041</v>
      </c>
      <c r="CC113" s="59">
        <f t="shared" si="65"/>
        <v>1051.6584888786128</v>
      </c>
      <c r="CD113" s="59">
        <f ca="1">AVERAGE(OFFSET($CC$3,0,0,'Données projet'!$E$12+1,1))-AVERAGE(OFFSET($H$3,0,0,'Données projet'!$E$12+1,1))</f>
        <v>679.4570479719705</v>
      </c>
      <c r="CE113" s="59">
        <f t="shared" si="94"/>
        <v>310.8252119379963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57.381105228791526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57.381105228791526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67.374236376587902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146.95547268081216</v>
      </c>
      <c r="CZ113" s="59">
        <f t="shared" si="96"/>
        <v>343.21355872318065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12.907252762586495</v>
      </c>
      <c r="DG113" s="21">
        <f>EXP(-LN(2)/25)*DG112+(1-EXP(-LN(2)/25))/(LN(2)/25)*Calculateur!DB113*Calculateur!DD113*VLOOKUP('Données projet'!$B$13,Paramètres!$A$1:$I$89,3,0)*0.475*44/12</f>
        <v>1.7623833987740398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14.669636161360534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67.374236376587902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67.374236376587902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67.374236376587902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67.374236376587902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67.374236376587902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3.5999999999999996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13.199999999999998</v>
      </c>
      <c r="H114" s="67">
        <f t="shared" si="56"/>
        <v>203.86666666666667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67.419787505126081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366.78396742205962</v>
      </c>
      <c r="T114" s="59">
        <f t="shared" si="88"/>
        <v>271.89887525994988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90.120451880981918</v>
      </c>
      <c r="AA114" s="21">
        <f>EXP(-LN(2)/25)*AA113+(1-EXP(-LN(2)/25))/(LN(2)/25)*Calculateur!V114*Calculateur!X114*VLOOKUP('Données projet'!$B$9,Paramètres!$A$1:$I$89,3,0)*0.475*44/12</f>
        <v>35.10389896365789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125.22435084463982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67.419787505126081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8.0958333333333314</v>
      </c>
      <c r="AI114" s="13">
        <f>IF('Données projet'!$A$62&gt;35,AI113+AH114-AQ113,IF(A114&lt;'Données projet'!$A$62,$AF$205^A114,IF(A114='Données projet'!$A$62,'Données projet'!$B$62,AI113+AH114-AQ113)))</f>
        <v>390.26166666666745</v>
      </c>
      <c r="AJ114" s="13">
        <f>AI114*VLOOKUP('Données projet'!$B$10,Paramètres!$A$1:$I$89,3,0)*VLOOKUP('Données projet'!$B$10,Paramètres!$A$1:$I$89,5,0)</f>
        <v>182.6424600000004</v>
      </c>
      <c r="AK114" s="13">
        <f t="shared" si="89"/>
        <v>45.909585257164984</v>
      </c>
      <c r="AL114" s="20">
        <f t="shared" si="58"/>
        <v>398.06147882289639</v>
      </c>
      <c r="AM114" s="59">
        <f t="shared" si="59"/>
        <v>681.93403300835871</v>
      </c>
      <c r="AN114" s="59">
        <f ca="1">AVERAGE(OFFSET($AM$3,0,0,'Données projet'!$E$10+1,1))-AVERAGE(OFFSET($H$3,0,0,'Données projet'!$E$10+1,1))</f>
        <v>360.04137410460385</v>
      </c>
      <c r="AO114" s="59">
        <f t="shared" si="90"/>
        <v>287.81656468701829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83.555047569968522</v>
      </c>
      <c r="AV114" s="21">
        <f>EXP(-LN(2)/25)*AV113+(1-EXP(-LN(2)/25))/(LN(2)/25)*Calculateur!AQ114*Calculateur!AS114*VLOOKUP('Données projet'!$B$10,Paramètres!$A$1:$I$89,3,0)*0.475*44/12</f>
        <v>29.192809938620517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112.74785750858904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67.419787505126081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155.76430449447392</v>
      </c>
      <c r="BJ114" s="59">
        <f t="shared" si="92"/>
        <v>363.39275685992129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13.525418712099144</v>
      </c>
      <c r="BQ114" s="21">
        <f>EXP(-LN(2)/25)*BQ113+(1-EXP(-LN(2)/25))/(LN(2)/25)*Calculateur!BL114*Calculateur!BN114*VLOOKUP('Données projet'!$B$11,Paramètres!$A$1:$I$89,3,0)*0.475*44/12</f>
        <v>1.8322171929504292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15.357635905049573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67.419787505126081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7.9349999999999969</v>
      </c>
      <c r="BY114" s="12">
        <f>IF('Données projet'!$A$114&gt;35,BY113+BX114-CG113,IF(A114&lt;'Données projet'!$A$114,$BV$205^A114,IF(A114='Données projet'!$A$114,'Données projet'!$B$114,BY113+BX114-CG113)))</f>
        <v>360.7650000000005</v>
      </c>
      <c r="BZ114" s="13">
        <f>BY114*VLOOKUP('Données projet'!$B$12,Paramètres!$A$1:$I$89,3,0)*VLOOKUP('Données projet'!$B$12,Paramètres!$A$1:$I$89,5,0)</f>
        <v>365.81571000000054</v>
      </c>
      <c r="CA114" s="13">
        <f t="shared" si="93"/>
        <v>84.810706185422944</v>
      </c>
      <c r="CB114" s="20">
        <f t="shared" si="64"/>
        <v>784.84100818961235</v>
      </c>
      <c r="CC114" s="59">
        <f t="shared" si="65"/>
        <v>1068.7135623750746</v>
      </c>
      <c r="CD114" s="59">
        <f ca="1">AVERAGE(OFFSET($CC$3,0,0,'Données projet'!$E$12+1,1))-AVERAGE(OFFSET($H$3,0,0,'Données projet'!$E$12+1,1))</f>
        <v>679.4570479719705</v>
      </c>
      <c r="CE114" s="59">
        <f t="shared" si="94"/>
        <v>310.8252119379963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56.255896754273245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56.255896754273245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67.419787505126081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146.95547268081216</v>
      </c>
      <c r="CZ114" s="59">
        <f t="shared" si="96"/>
        <v>343.21355872318065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12.654149408559</v>
      </c>
      <c r="DG114" s="21">
        <f>EXP(-LN(2)/25)*DG113+(1-EXP(-LN(2)/25))/(LN(2)/25)*Calculateur!DB114*Calculateur!DD114*VLOOKUP('Données projet'!$B$13,Paramètres!$A$1:$I$89,3,0)*0.475*44/12</f>
        <v>1.7141909320548487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14.368340340613848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67.419787505126081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67.419787505126081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67.419787505126081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67.419787505126081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67.419787505126081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3.5999999999999996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13.199999999999998</v>
      </c>
      <c r="H115" s="67">
        <f t="shared" si="56"/>
        <v>203.86666666666667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67.464548423421192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366.78396742205962</v>
      </c>
      <c r="T115" s="59">
        <f t="shared" si="88"/>
        <v>271.89887525994988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88.35324478764386</v>
      </c>
      <c r="AA115" s="21">
        <f>EXP(-LN(2)/25)*AA114+(1-EXP(-LN(2)/25))/(LN(2)/25)*Calculateur!V115*Calculateur!X115*VLOOKUP('Données projet'!$B$9,Paramètres!$A$1:$I$89,3,0)*0.475*44/12</f>
        <v>34.143981000462851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122.4972257881067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67.464548423421192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8.0958333333333314</v>
      </c>
      <c r="AI115" s="13">
        <f>IF('Données projet'!$A$62&gt;35,AI114+AH115-AQ114,IF(A115&lt;'Données projet'!$A$62,$AF$205^A115,IF(A115='Données projet'!$A$62,'Données projet'!$B$62,AI114+AH115-AQ114)))</f>
        <v>398.35750000000075</v>
      </c>
      <c r="AJ115" s="13">
        <f>AI115*VLOOKUP('Données projet'!$B$10,Paramètres!$A$1:$I$89,3,0)*VLOOKUP('Données projet'!$B$10,Paramètres!$A$1:$I$89,5,0)</f>
        <v>186.43131000000037</v>
      </c>
      <c r="AK115" s="13">
        <f t="shared" si="89"/>
        <v>46.750097594518834</v>
      </c>
      <c r="AL115" s="20">
        <f t="shared" si="58"/>
        <v>406.12428489378766</v>
      </c>
      <c r="AM115" s="59">
        <f t="shared" si="59"/>
        <v>690.16096244633206</v>
      </c>
      <c r="AN115" s="59">
        <f ca="1">AVERAGE(OFFSET($AM$3,0,0,'Données projet'!$E$10+1,1))-AVERAGE(OFFSET($H$3,0,0,'Données projet'!$E$10+1,1))</f>
        <v>360.04137410460385</v>
      </c>
      <c r="AO115" s="59">
        <f t="shared" si="90"/>
        <v>287.81656468701829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81.91658405066822</v>
      </c>
      <c r="AV115" s="21">
        <f>EXP(-LN(2)/25)*AV114+(1-EXP(-LN(2)/25))/(LN(2)/25)*Calculateur!AQ115*Calculateur!AS115*VLOOKUP('Données projet'!$B$10,Paramètres!$A$1:$I$89,3,0)*0.475*44/12</f>
        <v>28.394531015665784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110.311115066334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67.464548423421192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155.76430449447392</v>
      </c>
      <c r="BJ115" s="59">
        <f t="shared" si="92"/>
        <v>363.39275685992129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13.260193500845705</v>
      </c>
      <c r="BQ115" s="21">
        <f>EXP(-LN(2)/25)*BQ114+(1-EXP(-LN(2)/25))/(LN(2)/25)*Calculateur!BL115*Calculateur!BN115*VLOOKUP('Données projet'!$B$11,Paramètres!$A$1:$I$89,3,0)*0.475*44/12</f>
        <v>1.7821151174570851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15.042308618302791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67.464548423421192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7.9349999999999969</v>
      </c>
      <c r="BY115" s="12">
        <f>IF('Données projet'!$A$114&gt;35,BY114+BX115-CG114,IF(A115&lt;'Données projet'!$A$114,$BV$205^A115,IF(A115='Données projet'!$A$114,'Données projet'!$B$114,BY114+BX115-CG114)))</f>
        <v>368.7000000000005</v>
      </c>
      <c r="BZ115" s="13">
        <f>BY115*VLOOKUP('Données projet'!$B$12,Paramètres!$A$1:$I$89,3,0)*VLOOKUP('Données projet'!$B$12,Paramètres!$A$1:$I$89,5,0)</f>
        <v>373.86180000000053</v>
      </c>
      <c r="CA115" s="13">
        <f t="shared" si="93"/>
        <v>86.456885445094045</v>
      </c>
      <c r="CB115" s="20">
        <f t="shared" si="64"/>
        <v>801.7217104835396</v>
      </c>
      <c r="CC115" s="59">
        <f t="shared" si="65"/>
        <v>1085.7583880360839</v>
      </c>
      <c r="CD115" s="59">
        <f ca="1">AVERAGE(OFFSET($CC$3,0,0,'Données projet'!$E$12+1,1))-AVERAGE(OFFSET($H$3,0,0,'Données projet'!$E$12+1,1))</f>
        <v>679.4570479719705</v>
      </c>
      <c r="CE115" s="59">
        <f t="shared" si="94"/>
        <v>310.8252119379963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55.152752931630864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55.152752931630864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67.464548423421192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146.95547268081216</v>
      </c>
      <c r="CZ115" s="59">
        <f t="shared" si="96"/>
        <v>343.21355872318065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12.406009256926183</v>
      </c>
      <c r="DG115" s="21">
        <f>EXP(-LN(2)/25)*DG114+(1-EXP(-LN(2)/25))/(LN(2)/25)*Calculateur!DB115*Calculateur!DD115*VLOOKUP('Données projet'!$B$13,Paramètres!$A$1:$I$89,3,0)*0.475*44/12</f>
        <v>1.6673162908724257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14.073325547798609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67.464548423421192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67.464548423421192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67.464548423421192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67.464548423421192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67.464548423421192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3.5999999999999996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13.199999999999998</v>
      </c>
      <c r="H116" s="67">
        <f t="shared" si="56"/>
        <v>203.86666666666667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67.508532839854297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366.78396742205962</v>
      </c>
      <c r="T116" s="59">
        <f t="shared" si="88"/>
        <v>271.89887525994988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86.620691547516273</v>
      </c>
      <c r="AA116" s="21">
        <f>EXP(-LN(2)/25)*AA115+(1-EXP(-LN(2)/25))/(LN(2)/25)*Calculateur!V116*Calculateur!X116*VLOOKUP('Données projet'!$B$9,Paramètres!$A$1:$I$89,3,0)*0.475*44/12</f>
        <v>33.210312044451271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119.83100359196754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67.508532839854297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8.0958333333333314</v>
      </c>
      <c r="AI116" s="13">
        <f>IF('Données projet'!$A$62&gt;35,AI115+AH116-AQ115,IF(A116&lt;'Données projet'!$A$62,$AF$205^A116,IF(A116='Données projet'!$A$62,'Données projet'!$B$62,AI115+AH116-AQ115)))</f>
        <v>406.45333333333406</v>
      </c>
      <c r="AJ116" s="13">
        <f>AI116*VLOOKUP('Données projet'!$B$10,Paramètres!$A$1:$I$89,3,0)*VLOOKUP('Données projet'!$B$10,Paramètres!$A$1:$I$89,5,0)</f>
        <v>190.22016000000033</v>
      </c>
      <c r="AK116" s="13">
        <f t="shared" si="89"/>
        <v>47.58862382024622</v>
      </c>
      <c r="AL116" s="20">
        <f t="shared" si="58"/>
        <v>414.18363182026269</v>
      </c>
      <c r="AM116" s="59">
        <f t="shared" si="59"/>
        <v>698.38158556639519</v>
      </c>
      <c r="AN116" s="59">
        <f ca="1">AVERAGE(OFFSET($AM$3,0,0,'Données projet'!$E$10+1,1))-AVERAGE(OFFSET($H$3,0,0,'Données projet'!$E$10+1,1))</f>
        <v>360.04137410460385</v>
      </c>
      <c r="AO116" s="59">
        <f t="shared" si="90"/>
        <v>287.81656468701829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80.310249801617331</v>
      </c>
      <c r="AV116" s="21">
        <f>EXP(-LN(2)/25)*AV115+(1-EXP(-LN(2)/25))/(LN(2)/25)*Calculateur!AQ116*Calculateur!AS116*VLOOKUP('Données projet'!$B$10,Paramètres!$A$1:$I$89,3,0)*0.475*44/12</f>
        <v>27.618081071838912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107.92833087345625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67.508532839854297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155.76430449447392</v>
      </c>
      <c r="BJ116" s="59">
        <f t="shared" si="92"/>
        <v>363.39275685992129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13.000169194213541</v>
      </c>
      <c r="BQ116" s="21">
        <f>EXP(-LN(2)/25)*BQ115+(1-EXP(-LN(2)/25))/(LN(2)/25)*Calculateur!BL116*Calculateur!BN116*VLOOKUP('Données projet'!$B$11,Paramètres!$A$1:$I$89,3,0)*0.475*44/12</f>
        <v>1.7333830858528601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14.733552280066402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67.508532839854297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7.9349999999999969</v>
      </c>
      <c r="BY116" s="12">
        <f>IF('Données projet'!$A$114&gt;35,BY115+BX116-CG115,IF(A116&lt;'Données projet'!$A$114,$BV$205^A116,IF(A116='Données projet'!$A$114,'Données projet'!$B$114,BY115+BX116-CG115)))</f>
        <v>376.6350000000005</v>
      </c>
      <c r="BZ116" s="13">
        <f>BY116*VLOOKUP('Données projet'!$B$12,Paramètres!$A$1:$I$89,3,0)*VLOOKUP('Données projet'!$B$12,Paramètres!$A$1:$I$89,5,0)</f>
        <v>381.90789000000052</v>
      </c>
      <c r="CA116" s="13">
        <f t="shared" si="93"/>
        <v>88.098945669848248</v>
      </c>
      <c r="CB116" s="20">
        <f t="shared" si="64"/>
        <v>818.59523879165329</v>
      </c>
      <c r="CC116" s="59">
        <f t="shared" si="65"/>
        <v>1102.7931925377857</v>
      </c>
      <c r="CD116" s="59">
        <f ca="1">AVERAGE(OFFSET($CC$3,0,0,'Données projet'!$E$12+1,1))-AVERAGE(OFFSET($H$3,0,0,'Données projet'!$E$12+1,1))</f>
        <v>679.4570479719705</v>
      </c>
      <c r="CE116" s="59">
        <f t="shared" si="94"/>
        <v>310.8252119379963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54.071241086499214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54.071241086499214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67.508532839854297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146.95547268081216</v>
      </c>
      <c r="CZ116" s="59">
        <f t="shared" si="96"/>
        <v>343.21355872318065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12.162734982316335</v>
      </c>
      <c r="DG116" s="21">
        <f>EXP(-LN(2)/25)*DG115+(1-EXP(-LN(2)/25))/(LN(2)/25)*Calculateur!DB116*Calculateur!DD116*VLOOKUP('Données projet'!$B$13,Paramètres!$A$1:$I$89,3,0)*0.475*44/12</f>
        <v>1.6217234392181663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13.784458421534502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67.508532839854297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67.508532839854297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67.508532839854297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67.508532839854297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67.508532839854297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3.5999999999999996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13.199999999999998</v>
      </c>
      <c r="H117" s="67">
        <f t="shared" si="56"/>
        <v>203.86666666666667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67.551754224996714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366.78396742205962</v>
      </c>
      <c r="T117" s="59">
        <f t="shared" si="88"/>
        <v>271.89887525994988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84.922112619674451</v>
      </c>
      <c r="AA117" s="21">
        <f>EXP(-LN(2)/25)*AA116+(1-EXP(-LN(2)/25))/(LN(2)/25)*Calculateur!V117*Calculateur!X117*VLOOKUP('Données projet'!$B$9,Paramètres!$A$1:$I$89,3,0)*0.475*44/12</f>
        <v>32.302174315141343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117.22428693481579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67.551754224996714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8.0958333333333314</v>
      </c>
      <c r="AI117" s="13">
        <f>IF('Données projet'!$A$62&gt;35,AI116+AH117-AQ116,IF(A117&lt;'Données projet'!$A$62,$AF$205^A117,IF(A117='Données projet'!$A$62,'Données projet'!$B$62,AI116+AH117-AQ116)))</f>
        <v>414.54916666666736</v>
      </c>
      <c r="AJ117" s="13">
        <f>AI117*VLOOKUP('Données projet'!$B$10,Paramètres!$A$1:$I$89,3,0)*VLOOKUP('Données projet'!$B$10,Paramètres!$A$1:$I$89,5,0)</f>
        <v>194.00901000000033</v>
      </c>
      <c r="AK117" s="13">
        <f t="shared" si="89"/>
        <v>48.425208053681985</v>
      </c>
      <c r="AL117" s="20">
        <f t="shared" si="58"/>
        <v>422.23959644349662</v>
      </c>
      <c r="AM117" s="59">
        <f t="shared" si="59"/>
        <v>706.59602860181792</v>
      </c>
      <c r="AN117" s="59">
        <f ca="1">AVERAGE(OFFSET($AM$3,0,0,'Données projet'!$E$10+1,1))-AVERAGE(OFFSET($H$3,0,0,'Données projet'!$E$10+1,1))</f>
        <v>360.04137410460385</v>
      </c>
      <c r="AO117" s="59">
        <f t="shared" si="90"/>
        <v>287.81656468701829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78.735414787423181</v>
      </c>
      <c r="AV117" s="21">
        <f>EXP(-LN(2)/25)*AV116+(1-EXP(-LN(2)/25))/(LN(2)/25)*Calculateur!AQ117*Calculateur!AS117*VLOOKUP('Données projet'!$B$10,Paramètres!$A$1:$I$89,3,0)*0.475*44/12</f>
        <v>26.862863192557715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105.59827797998089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67.551754224996714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155.76430449447392</v>
      </c>
      <c r="BJ117" s="59">
        <f t="shared" si="92"/>
        <v>363.39275685992129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12.745243805635267</v>
      </c>
      <c r="BQ117" s="21">
        <f>EXP(-LN(2)/25)*BQ116+(1-EXP(-LN(2)/25))/(LN(2)/25)*Calculateur!BL117*Calculateur!BN117*VLOOKUP('Données projet'!$B$11,Paramètres!$A$1:$I$89,3,0)*0.475*44/12</f>
        <v>1.6859836342155587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14.431227439850826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67.551754224996714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>
        <f>VLOOKUP(A117,'Données projet'!$A$113:$I$133,2,0)</f>
        <v>384.57</v>
      </c>
      <c r="BW117" s="12">
        <f>VLOOKUP(A117,'Données projet'!$A$113:$I$133,9,0)</f>
        <v>7.9349999999999969</v>
      </c>
      <c r="BX117" s="12">
        <f t="array" ref="BX117">INDEX(BW:BW,MIN(IF(ISNUMBER(BW117:BW313),ROW(BW117:BW313),"")))</f>
        <v>7.9349999999999969</v>
      </c>
      <c r="BY117" s="12">
        <f>IF('Données projet'!$A$114&gt;35,BY116+BX117-CG116,IF(A117&lt;'Données projet'!$A$114,$BV$205^A117,IF(A117='Données projet'!$A$114,'Données projet'!$B$114,BY116+BX117-CG116)))</f>
        <v>384.5700000000005</v>
      </c>
      <c r="BZ117" s="13">
        <f>BY117*VLOOKUP('Données projet'!$B$12,Paramètres!$A$1:$I$89,3,0)*VLOOKUP('Données projet'!$B$12,Paramètres!$A$1:$I$89,5,0)</f>
        <v>389.95398000000051</v>
      </c>
      <c r="CA117" s="13">
        <f t="shared" si="93"/>
        <v>89.736983637102725</v>
      </c>
      <c r="CB117" s="20">
        <f t="shared" si="64"/>
        <v>835.46176166795476</v>
      </c>
      <c r="CC117" s="59">
        <f t="shared" si="65"/>
        <v>1119.818193826276</v>
      </c>
      <c r="CD117" s="59">
        <f ca="1">AVERAGE(OFFSET($CC$3,0,0,'Données projet'!$E$12+1,1))-AVERAGE(OFFSET($H$3,0,0,'Données projet'!$E$12+1,1))</f>
        <v>679.4570479719705</v>
      </c>
      <c r="CE117" s="59">
        <f t="shared" si="94"/>
        <v>310.8252119379963</v>
      </c>
      <c r="CF117" s="15">
        <f>IF(ISNA(VLOOKUP(A117,'Données projet'!$A$113:$I$133,3,0)),0,VLOOKUP(A117,'Données projet'!$A$113:$I$133,3,0))</f>
        <v>9</v>
      </c>
      <c r="CG117" s="15">
        <f>IF(ISNA(VLOOKUP(A117,'Données projet'!$A$113:$I$133,4,0)),0,VLOOKUP(A117,'Données projet'!$A$113:$I$133,4,0))</f>
        <v>56.07</v>
      </c>
      <c r="CH117" s="16">
        <f>IF(ISNA(VLOOKUP(A117,'Données projet'!$A$113:$I$133,5,0)),0%,VLOOKUP(A117,'Données projet'!$A$113:$I$133,5,0)*VLOOKUP('Données projet'!$B$12,Paramètres!$A$1:$I$89,7,0))</f>
        <v>0.25800000000000001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69.226623079279591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69.226623079279591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67.551754224996714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146.95547268081216</v>
      </c>
      <c r="CZ117" s="59">
        <f t="shared" si="96"/>
        <v>343.21355872318065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11.924231167848932</v>
      </c>
      <c r="DG117" s="21">
        <f>EXP(-LN(2)/25)*DG116+(1-EXP(-LN(2)/25))/(LN(2)/25)*Calculateur!DB117*Calculateur!DD117*VLOOKUP('Données projet'!$B$13,Paramètres!$A$1:$I$89,3,0)*0.475*44/12</f>
        <v>1.5773773264900164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13.501608494338948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67.551754224996714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67.551754224996714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67.551754224996714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67.551754224996714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67.551754224996714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3.5999999999999996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13.199999999999998</v>
      </c>
      <c r="H118" s="67">
        <f t="shared" si="56"/>
        <v>203.86666666666667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67.594225815735456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366.78396742205962</v>
      </c>
      <c r="T118" s="59">
        <f t="shared" si="88"/>
        <v>271.89887525994988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83.256841788576764</v>
      </c>
      <c r="AA118" s="21">
        <f>EXP(-LN(2)/25)*AA117+(1-EXP(-LN(2)/25))/(LN(2)/25)*Calculateur!V118*Calculateur!X118*VLOOKUP('Données projet'!$B$9,Paramètres!$A$1:$I$89,3,0)*0.475*44/12</f>
        <v>31.418869659796282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114.67571144837305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67.594225815735456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8.0958333333333314</v>
      </c>
      <c r="AI118" s="13">
        <f>IF('Données projet'!$A$62&gt;35,AI117+AH118-AQ117,IF(A118&lt;'Données projet'!$A$62,$AF$205^A118,IF(A118='Données projet'!$A$62,'Données projet'!$B$62,AI117+AH118-AQ117)))</f>
        <v>422.64500000000066</v>
      </c>
      <c r="AJ118" s="13">
        <f>AI118*VLOOKUP('Données projet'!$B$10,Paramètres!$A$1:$I$89,3,0)*VLOOKUP('Données projet'!$B$10,Paramètres!$A$1:$I$89,5,0)</f>
        <v>197.7978600000003</v>
      </c>
      <c r="AK118" s="13">
        <f t="shared" si="89"/>
        <v>49.259892592357573</v>
      </c>
      <c r="AL118" s="20">
        <f t="shared" si="58"/>
        <v>430.29225243168997</v>
      </c>
      <c r="AM118" s="59">
        <f t="shared" si="59"/>
        <v>714.80441375605335</v>
      </c>
      <c r="AN118" s="59">
        <f ca="1">AVERAGE(OFFSET($AM$3,0,0,'Données projet'!$E$10+1,1))-AVERAGE(OFFSET($H$3,0,0,'Données projet'!$E$10+1,1))</f>
        <v>360.04137410460385</v>
      </c>
      <c r="AO118" s="59">
        <f t="shared" si="90"/>
        <v>287.81656468701829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77.191461327302875</v>
      </c>
      <c r="AV118" s="21">
        <f>EXP(-LN(2)/25)*AV117+(1-EXP(-LN(2)/25))/(LN(2)/25)*Calculateur!AQ118*Calculateur!AS118*VLOOKUP('Données projet'!$B$10,Paramètres!$A$1:$I$89,3,0)*0.475*44/12</f>
        <v>26.128296785900645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103.31975811320352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67.594225815735456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155.76430449447392</v>
      </c>
      <c r="BJ118" s="59">
        <f t="shared" si="92"/>
        <v>363.39275685992129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12.495317348437879</v>
      </c>
      <c r="BQ118" s="21">
        <f>EXP(-LN(2)/25)*BQ117+(1-EXP(-LN(2)/25))/(LN(2)/25)*Calculateur!BL118*Calculateur!BN118*VLOOKUP('Données projet'!$B$11,Paramètres!$A$1:$I$89,3,0)*0.475*44/12</f>
        <v>1.6398803230759083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14.135197671513788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67.594225815735456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7.9920000000000018</v>
      </c>
      <c r="BY118" s="12">
        <f>IF('Données projet'!$A$114&gt;35,BY117+BX118-CG117,IF(A118&lt;'Données projet'!$A$114,$BV$205^A118,IF(A118='Données projet'!$A$114,'Données projet'!$B$114,BY117+BX118-CG117)))</f>
        <v>336.49200000000053</v>
      </c>
      <c r="BZ118" s="13">
        <f>BY118*VLOOKUP('Données projet'!$B$12,Paramètres!$A$1:$I$89,3,0)*VLOOKUP('Données projet'!$B$12,Paramètres!$A$1:$I$89,5,0)</f>
        <v>341.2028880000006</v>
      </c>
      <c r="CA118" s="13">
        <f t="shared" si="93"/>
        <v>79.748419593074587</v>
      </c>
      <c r="CB118" s="20">
        <f t="shared" si="64"/>
        <v>733.15686072460585</v>
      </c>
      <c r="CC118" s="59">
        <f t="shared" si="65"/>
        <v>1017.6690220489693</v>
      </c>
      <c r="CD118" s="59">
        <f ca="1">AVERAGE(OFFSET($CC$3,0,0,'Données projet'!$E$12+1,1))-AVERAGE(OFFSET($H$3,0,0,'Données projet'!$E$12+1,1))</f>
        <v>679.4570479719705</v>
      </c>
      <c r="CE118" s="59">
        <f t="shared" si="94"/>
        <v>310.8252119379963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67.869131224765709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67.869131224765709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67.594225815735456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146.95547268081216</v>
      </c>
      <c r="CZ118" s="59">
        <f t="shared" si="96"/>
        <v>343.21355872318065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11.690404267710271</v>
      </c>
      <c r="DG118" s="21">
        <f>EXP(-LN(2)/25)*DG117+(1-EXP(-LN(2)/25))/(LN(2)/25)*Calculateur!DB118*Calculateur!DD118*VLOOKUP('Données projet'!$B$13,Paramètres!$A$1:$I$89,3,0)*0.475*44/12</f>
        <v>1.5342438605464783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13.224648128256749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67.594225815735456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67.594225815735456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67.594225815735456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67.594225815735456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67.594225815735456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3.5999999999999996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13.199999999999998</v>
      </c>
      <c r="H119" s="67">
        <f t="shared" si="56"/>
        <v>203.86666666666667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67.635960619327136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366.78396742205962</v>
      </c>
      <c r="T119" s="59">
        <f t="shared" si="88"/>
        <v>271.89887525994988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81.624225902761992</v>
      </c>
      <c r="AA119" s="21">
        <f>EXP(-LN(2)/25)*AA118+(1-EXP(-LN(2)/25))/(LN(2)/25)*Calculateur!V119*Calculateur!X119*VLOOKUP('Données projet'!$B$9,Paramètres!$A$1:$I$89,3,0)*0.475*44/12</f>
        <v>30.559719016702605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112.18394491946459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67.635960619327136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8.0958333333333314</v>
      </c>
      <c r="AI119" s="13">
        <f>IF('Données projet'!$A$62&gt;35,AI118+AH119-AQ118,IF(A119&lt;'Données projet'!$A$62,$AF$205^A119,IF(A119='Données projet'!$A$62,'Données projet'!$B$62,AI118+AH119-AQ118)))</f>
        <v>430.74083333333397</v>
      </c>
      <c r="AJ119" s="13">
        <f>AI119*VLOOKUP('Données projet'!$B$10,Paramètres!$A$1:$I$89,3,0)*VLOOKUP('Données projet'!$B$10,Paramètres!$A$1:$I$89,5,0)</f>
        <v>201.58671000000029</v>
      </c>
      <c r="AK119" s="13">
        <f t="shared" si="89"/>
        <v>50.092718020659504</v>
      </c>
      <c r="AL119" s="20">
        <f t="shared" si="58"/>
        <v>438.34167046931583</v>
      </c>
      <c r="AM119" s="59">
        <f t="shared" si="59"/>
        <v>723.00685940684866</v>
      </c>
      <c r="AN119" s="59">
        <f ca="1">AVERAGE(OFFSET($AM$3,0,0,'Données projet'!$E$10+1,1))-AVERAGE(OFFSET($H$3,0,0,'Données projet'!$E$10+1,1))</f>
        <v>360.04137410460385</v>
      </c>
      <c r="AO119" s="59">
        <f t="shared" si="90"/>
        <v>287.81656468701829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75.677783852816901</v>
      </c>
      <c r="AV119" s="21">
        <f>EXP(-LN(2)/25)*AV118+(1-EXP(-LN(2)/25))/(LN(2)/25)*Calculateur!AQ119*Calculateur!AS119*VLOOKUP('Données projet'!$B$10,Paramètres!$A$1:$I$89,3,0)*0.475*44/12</f>
        <v>25.413817136262782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101.09160098907968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67.635960619327136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155.76430449447392</v>
      </c>
      <c r="BJ119" s="59">
        <f t="shared" si="92"/>
        <v>363.39275685992129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12.250291796626046</v>
      </c>
      <c r="BQ119" s="21">
        <f>EXP(-LN(2)/25)*BQ118+(1-EXP(-LN(2)/25))/(LN(2)/25)*Calculateur!BL119*Calculateur!BN119*VLOOKUP('Données projet'!$B$11,Paramètres!$A$1:$I$89,3,0)*0.475*44/12</f>
        <v>1.5950377094038393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13.845329506029884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67.635960619327136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7.9920000000000018</v>
      </c>
      <c r="BY119" s="12">
        <f>IF('Données projet'!$A$114&gt;35,BY118+BX119-CG118,IF(A119&lt;'Données projet'!$A$114,$BV$205^A119,IF(A119='Données projet'!$A$114,'Données projet'!$B$114,BY118+BX119-CG118)))</f>
        <v>344.48400000000055</v>
      </c>
      <c r="BZ119" s="13">
        <f>BY119*VLOOKUP('Données projet'!$B$12,Paramètres!$A$1:$I$89,3,0)*VLOOKUP('Données projet'!$B$12,Paramètres!$A$1:$I$89,5,0)</f>
        <v>349.30677600000058</v>
      </c>
      <c r="CA119" s="13">
        <f t="shared" si="93"/>
        <v>81.419752750490431</v>
      </c>
      <c r="CB119" s="20">
        <f t="shared" si="64"/>
        <v>750.18203757377194</v>
      </c>
      <c r="CC119" s="59">
        <f t="shared" si="65"/>
        <v>1034.8472265113048</v>
      </c>
      <c r="CD119" s="59">
        <f ca="1">AVERAGE(OFFSET($CC$3,0,0,'Données projet'!$E$12+1,1))-AVERAGE(OFFSET($H$3,0,0,'Données projet'!$E$12+1,1))</f>
        <v>679.4570479719705</v>
      </c>
      <c r="CE119" s="59">
        <f t="shared" si="94"/>
        <v>310.8252119379963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66.538258957530573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66.538258957530573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67.635960619327136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146.95547268081216</v>
      </c>
      <c r="CZ119" s="59">
        <f t="shared" si="96"/>
        <v>343.21355872318065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11.461162570463003</v>
      </c>
      <c r="DG119" s="21">
        <f>EXP(-LN(2)/25)*DG118+(1-EXP(-LN(2)/25))/(LN(2)/25)*Calculateur!DB119*Calculateur!DD119*VLOOKUP('Données projet'!$B$13,Paramètres!$A$1:$I$89,3,0)*0.475*44/12</f>
        <v>1.4922898814974568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12.953452451960459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67.635960619327136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67.635960619327136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67.635960619327136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67.635960619327136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67.635960619327136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3.5999999999999996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13.199999999999998</v>
      </c>
      <c r="H120" s="67">
        <f t="shared" si="56"/>
        <v>203.86666666666667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67.676971417381537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366.78396742205962</v>
      </c>
      <c r="T120" s="59">
        <f t="shared" si="88"/>
        <v>271.89887525994988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80.023624618670681</v>
      </c>
      <c r="AA120" s="21">
        <f>EXP(-LN(2)/25)*AA119+(1-EXP(-LN(2)/25))/(LN(2)/25)*Calculateur!V120*Calculateur!X120*VLOOKUP('Données projet'!$B$9,Paramètres!$A$1:$I$89,3,0)*0.475*44/12</f>
        <v>29.724061893125093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109.74768651179578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67.676971417381537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8.0958333333333314</v>
      </c>
      <c r="AI120" s="13">
        <f>IF('Données projet'!$A$62&gt;35,AI119+AH120-AQ119,IF(A120&lt;'Données projet'!$A$62,$AF$205^A120,IF(A120='Données projet'!$A$62,'Données projet'!$B$62,AI119+AH120-AQ119)))</f>
        <v>438.83666666666727</v>
      </c>
      <c r="AJ120" s="13">
        <f>AI120*VLOOKUP('Données projet'!$B$10,Paramètres!$A$1:$I$89,3,0)*VLOOKUP('Données projet'!$B$10,Paramètres!$A$1:$I$89,5,0)</f>
        <v>205.37556000000026</v>
      </c>
      <c r="AK120" s="13">
        <f t="shared" si="89"/>
        <v>50.923723310087418</v>
      </c>
      <c r="AL120" s="20">
        <f t="shared" si="58"/>
        <v>446.38791843173607</v>
      </c>
      <c r="AM120" s="59">
        <f t="shared" si="59"/>
        <v>731.20348029546835</v>
      </c>
      <c r="AN120" s="59">
        <f ca="1">AVERAGE(OFFSET($AM$3,0,0,'Données projet'!$E$10+1,1))-AVERAGE(OFFSET($H$3,0,0,'Données projet'!$E$10+1,1))</f>
        <v>360.04137410460385</v>
      </c>
      <c r="AO120" s="59">
        <f t="shared" si="90"/>
        <v>287.81656468701829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74.193788670353499</v>
      </c>
      <c r="AV120" s="21">
        <f>EXP(-LN(2)/25)*AV119+(1-EXP(-LN(2)/25))/(LN(2)/25)*Calculateur!AQ120*Calculateur!AS120*VLOOKUP('Données projet'!$B$10,Paramètres!$A$1:$I$89,3,0)*0.475*44/12</f>
        <v>24.718874970217119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98.912663640570614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67.676971417381537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155.76430449447392</v>
      </c>
      <c r="BJ120" s="59">
        <f t="shared" si="92"/>
        <v>363.39275685992129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12.010071046434412</v>
      </c>
      <c r="BQ120" s="21">
        <f>EXP(-LN(2)/25)*BQ119+(1-EXP(-LN(2)/25))/(LN(2)/25)*Calculateur!BL120*Calculateur!BN120*VLOOKUP('Données projet'!$B$11,Paramètres!$A$1:$I$89,3,0)*0.475*44/12</f>
        <v>1.5514213193608037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13.561492365795216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67.676971417381537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7.9920000000000018</v>
      </c>
      <c r="BY120" s="12">
        <f>IF('Données projet'!$A$114&gt;35,BY119+BX120-CG119,IF(A120&lt;'Données projet'!$A$114,$BV$205^A120,IF(A120='Données projet'!$A$114,'Données projet'!$B$114,BY119+BX120-CG119)))</f>
        <v>352.47600000000057</v>
      </c>
      <c r="BZ120" s="13">
        <f>BY120*VLOOKUP('Données projet'!$B$12,Paramètres!$A$1:$I$89,3,0)*VLOOKUP('Données projet'!$B$12,Paramètres!$A$1:$I$89,5,0)</f>
        <v>357.41066400000057</v>
      </c>
      <c r="CA120" s="13">
        <f t="shared" si="93"/>
        <v>83.086578183672941</v>
      </c>
      <c r="CB120" s="20">
        <f t="shared" si="64"/>
        <v>767.199363469898</v>
      </c>
      <c r="CC120" s="59">
        <f t="shared" si="65"/>
        <v>1052.0149253336303</v>
      </c>
      <c r="CD120" s="59">
        <f ca="1">AVERAGE(OFFSET($CC$3,0,0,'Données projet'!$E$12+1,1))-AVERAGE(OFFSET($H$3,0,0,'Données projet'!$E$12+1,1))</f>
        <v>679.4570479719705</v>
      </c>
      <c r="CE120" s="59">
        <f t="shared" si="94"/>
        <v>310.8252119379963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65.233484283703987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65.233484283703987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67.676971417381537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146.95547268081216</v>
      </c>
      <c r="CZ120" s="59">
        <f t="shared" si="96"/>
        <v>343.21355872318065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11.236416163075125</v>
      </c>
      <c r="DG120" s="21">
        <f>EXP(-LN(2)/25)*DG119+(1-EXP(-LN(2)/25))/(LN(2)/25)*Calculateur!DB120*Calculateur!DD120*VLOOKUP('Données projet'!$B$13,Paramètres!$A$1:$I$89,3,0)*0.475*44/12</f>
        <v>1.4514831362117946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12.68789929928692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67.676971417381537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67.676971417381537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67.676971417381537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67.676971417381537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67.676971417381537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3.5999999999999996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13.199999999999998</v>
      </c>
      <c r="H121" s="67">
        <f t="shared" si="56"/>
        <v>203.86666666666667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67.717270769776093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366.78396742205962</v>
      </c>
      <c r="T121" s="59">
        <f t="shared" si="88"/>
        <v>271.89887525994988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78.454410149490016</v>
      </c>
      <c r="AA121" s="21">
        <f>EXP(-LN(2)/25)*AA120+(1-EXP(-LN(2)/25))/(LN(2)/25)*Calculateur!V121*Calculateur!X121*VLOOKUP('Données projet'!$B$9,Paramètres!$A$1:$I$89,3,0)*0.475*44/12</f>
        <v>28.911255857537107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107.36566600702713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67.717270769776093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8.0958333333333314</v>
      </c>
      <c r="AI121" s="13">
        <f>IF('Données projet'!$A$62&gt;35,AI120+AH121-AQ120,IF(A121&lt;'Données projet'!$A$62,$AF$205^A121,IF(A121='Données projet'!$A$62,'Données projet'!$B$62,AI120+AH121-AQ120)))</f>
        <v>446.93250000000057</v>
      </c>
      <c r="AJ121" s="13">
        <f>AI121*VLOOKUP('Données projet'!$B$10,Paramètres!$A$1:$I$89,3,0)*VLOOKUP('Données projet'!$B$10,Paramètres!$A$1:$I$89,5,0)</f>
        <v>209.16441000000026</v>
      </c>
      <c r="AK121" s="13">
        <f t="shared" si="89"/>
        <v>51.752945911904789</v>
      </c>
      <c r="AL121" s="20">
        <f t="shared" si="58"/>
        <v>454.43106154656789</v>
      </c>
      <c r="AM121" s="59">
        <f t="shared" si="59"/>
        <v>739.3943877024135</v>
      </c>
      <c r="AN121" s="59">
        <f ca="1">AVERAGE(OFFSET($AM$3,0,0,'Données projet'!$E$10+1,1))-AVERAGE(OFFSET($H$3,0,0,'Données projet'!$E$10+1,1))</f>
        <v>360.04137410460385</v>
      </c>
      <c r="AO121" s="59">
        <f t="shared" si="90"/>
        <v>287.81656468701829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72.738893728270526</v>
      </c>
      <c r="AV121" s="21">
        <f>EXP(-LN(2)/25)*AV120+(1-EXP(-LN(2)/25))/(LN(2)/25)*Calculateur!AQ121*Calculateur!AS121*VLOOKUP('Données projet'!$B$10,Paramètres!$A$1:$I$89,3,0)*0.475*44/12</f>
        <v>24.042936034247393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96.781829762517916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67.717270769776093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155.76430449447392</v>
      </c>
      <c r="BJ121" s="59">
        <f t="shared" si="92"/>
        <v>363.39275685992129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11.774560878633846</v>
      </c>
      <c r="BQ121" s="21">
        <f>EXP(-LN(2)/25)*BQ120+(1-EXP(-LN(2)/25))/(LN(2)/25)*Calculateur!BL121*Calculateur!BN121*VLOOKUP('Données projet'!$B$11,Paramètres!$A$1:$I$89,3,0)*0.475*44/12</f>
        <v>1.5089976217971812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13.283558500431027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67.717270769776093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7.9920000000000018</v>
      </c>
      <c r="BY121" s="12">
        <f>IF('Données projet'!$A$114&gt;35,BY120+BX121-CG120,IF(A121&lt;'Données projet'!$A$114,$BV$205^A121,IF(A121='Données projet'!$A$114,'Données projet'!$B$114,BY120+BX121-CG120)))</f>
        <v>360.46800000000059</v>
      </c>
      <c r="BZ121" s="13">
        <f>BY121*VLOOKUP('Données projet'!$B$12,Paramètres!$A$1:$I$89,3,0)*VLOOKUP('Données projet'!$B$12,Paramètres!$A$1:$I$89,5,0)</f>
        <v>365.51455200000061</v>
      </c>
      <c r="CA121" s="13">
        <f t="shared" si="93"/>
        <v>84.749009866498071</v>
      </c>
      <c r="CB121" s="20">
        <f t="shared" si="64"/>
        <v>784.20903691748515</v>
      </c>
      <c r="CC121" s="59">
        <f t="shared" si="65"/>
        <v>1069.1723630733309</v>
      </c>
      <c r="CD121" s="59">
        <f ca="1">AVERAGE(OFFSET($CC$3,0,0,'Données projet'!$E$12+1,1))-AVERAGE(OFFSET($H$3,0,0,'Données projet'!$E$12+1,1))</f>
        <v>679.4570479719705</v>
      </c>
      <c r="CE121" s="59">
        <f t="shared" si="94"/>
        <v>310.8252119379963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63.954295445397179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63.954295445397179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67.717270769776093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146.95547268081216</v>
      </c>
      <c r="CZ121" s="59">
        <f t="shared" si="96"/>
        <v>343.21355872318065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11.016076895654351</v>
      </c>
      <c r="DG121" s="21">
        <f>EXP(-LN(2)/25)*DG120+(1-EXP(-LN(2)/25))/(LN(2)/25)*Calculateur!DB121*Calculateur!DD121*VLOOKUP('Données projet'!$B$13,Paramètres!$A$1:$I$89,3,0)*0.475*44/12</f>
        <v>1.4117922535219023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12.427869149176253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67.717270769776093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67.717270769776093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67.717270769776093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67.717270769776093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67.717270769776093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3.5999999999999996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13.199999999999998</v>
      </c>
      <c r="H122" s="67">
        <f t="shared" si="56"/>
        <v>203.86666666666667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67.756871018502466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366.78396742205962</v>
      </c>
      <c r="T122" s="59">
        <f t="shared" si="88"/>
        <v>271.89887525994988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76.915967018923666</v>
      </c>
      <c r="AA122" s="21">
        <f>EXP(-LN(2)/25)*AA121+(1-EXP(-LN(2)/25))/(LN(2)/25)*Calculateur!V122*Calculateur!X122*VLOOKUP('Données projet'!$B$9,Paramètres!$A$1:$I$89,3,0)*0.475*44/12</f>
        <v>28.120676045735888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105.03664306465956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67.756871018502466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8.0958333333333314</v>
      </c>
      <c r="AI122" s="13">
        <f>IF('Données projet'!$A$62&gt;35,AI121+AH122-AQ121,IF(A122&lt;'Données projet'!$A$62,$AF$205^A122,IF(A122='Données projet'!$A$62,'Données projet'!$B$62,AI121+AH122-AQ121)))</f>
        <v>455.02833333333388</v>
      </c>
      <c r="AJ122" s="13">
        <f>AI122*VLOOKUP('Données projet'!$B$10,Paramètres!$A$1:$I$89,3,0)*VLOOKUP('Données projet'!$B$10,Paramètres!$A$1:$I$89,5,0)</f>
        <v>212.95326000000023</v>
      </c>
      <c r="AK122" s="13">
        <f t="shared" si="89"/>
        <v>52.58042184288621</v>
      </c>
      <c r="AL122" s="20">
        <f t="shared" si="58"/>
        <v>462.47116254302722</v>
      </c>
      <c r="AM122" s="59">
        <f t="shared" si="59"/>
        <v>747.57968961086954</v>
      </c>
      <c r="AN122" s="59">
        <f ca="1">AVERAGE(OFFSET($AM$3,0,0,'Données projet'!$E$10+1,1))-AVERAGE(OFFSET($H$3,0,0,'Données projet'!$E$10+1,1))</f>
        <v>360.04137410460385</v>
      </c>
      <c r="AO122" s="59">
        <f t="shared" si="90"/>
        <v>287.81656468701829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71.312528388603496</v>
      </c>
      <c r="AV122" s="21">
        <f>EXP(-LN(2)/25)*AV121+(1-EXP(-LN(2)/25))/(LN(2)/25)*Calculateur!AQ122*Calculateur!AS122*VLOOKUP('Données projet'!$B$10,Paramètres!$A$1:$I$89,3,0)*0.475*44/12</f>
        <v>23.385480684027844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94.698009072631336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67.756871018502466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155.76430449447392</v>
      </c>
      <c r="BJ122" s="59">
        <f t="shared" si="92"/>
        <v>363.39275685992129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11.543668921576831</v>
      </c>
      <c r="BQ122" s="21">
        <f>EXP(-LN(2)/25)*BQ121+(1-EXP(-LN(2)/25))/(LN(2)/25)*Calculateur!BL122*Calculateur!BN122*VLOOKUP('Données projet'!$B$11,Paramètres!$A$1:$I$89,3,0)*0.475*44/12</f>
        <v>1.4677340024744012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13.011402924051232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67.756871018502466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7.9920000000000018</v>
      </c>
      <c r="BY122" s="12">
        <f>IF('Données projet'!$A$114&gt;35,BY121+BX122-CG121,IF(A122&lt;'Données projet'!$A$114,$BV$205^A122,IF(A122='Données projet'!$A$114,'Données projet'!$B$114,BY121+BX122-CG121)))</f>
        <v>368.4600000000006</v>
      </c>
      <c r="BZ122" s="13">
        <f>BY122*VLOOKUP('Données projet'!$B$12,Paramètres!$A$1:$I$89,3,0)*VLOOKUP('Données projet'!$B$12,Paramètres!$A$1:$I$89,5,0)</f>
        <v>373.61844000000065</v>
      </c>
      <c r="CA122" s="13">
        <f t="shared" si="93"/>
        <v>86.407156430415824</v>
      </c>
      <c r="CB122" s="20">
        <f t="shared" si="64"/>
        <v>801.21124711630875</v>
      </c>
      <c r="CC122" s="59">
        <f t="shared" si="65"/>
        <v>1086.3197741841511</v>
      </c>
      <c r="CD122" s="59">
        <f ca="1">AVERAGE(OFFSET($CC$3,0,0,'Données projet'!$E$12+1,1))-AVERAGE(OFFSET($H$3,0,0,'Données projet'!$E$12+1,1))</f>
        <v>679.4570479719705</v>
      </c>
      <c r="CE122" s="59">
        <f t="shared" si="94"/>
        <v>310.8252119379963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62.700190719981414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62.700190719981414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67.756871018502466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146.95547268081216</v>
      </c>
      <c r="CZ122" s="59">
        <f t="shared" si="96"/>
        <v>343.21355872318065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10.800058346874016</v>
      </c>
      <c r="DG122" s="21">
        <f>EXP(-LN(2)/25)*DG121+(1-EXP(-LN(2)/25))/(LN(2)/25)*Calculateur!DB122*Calculateur!DD122*VLOOKUP('Données projet'!$B$13,Paramètres!$A$1:$I$89,3,0)*0.475*44/12</f>
        <v>1.3731867201064181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12.173245066980433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67.756871018502466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67.756871018502466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67.756871018502466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67.756871018502466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67.756871018502466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3.5999999999999996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13.199999999999998</v>
      </c>
      <c r="H123" s="67">
        <f t="shared" si="56"/>
        <v>203.86666666666667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67.795784291446324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366.78396742205962</v>
      </c>
      <c r="T123" s="59">
        <f t="shared" si="88"/>
        <v>271.89887525994988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75.407691819790074</v>
      </c>
      <c r="AA123" s="21">
        <f>EXP(-LN(2)/25)*AA122+(1-EXP(-LN(2)/25))/(LN(2)/25)*Calculateur!V123*Calculateur!X123*VLOOKUP('Données projet'!$B$9,Paramètres!$A$1:$I$89,3,0)*0.475*44/12</f>
        <v>27.351714680463157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102.75940650025323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67.795784291446324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8.0958333333333314</v>
      </c>
      <c r="AI123" s="13">
        <f>IF('Données projet'!$A$62&gt;35,AI122+AH123-AQ122,IF(A123&lt;'Données projet'!$A$62,$AF$205^A123,IF(A123='Données projet'!$A$62,'Données projet'!$B$62,AI122+AH123-AQ122)))</f>
        <v>463.12416666666718</v>
      </c>
      <c r="AJ123" s="13">
        <f>AI123*VLOOKUP('Données projet'!$B$10,Paramètres!$A$1:$I$89,3,0)*VLOOKUP('Données projet'!$B$10,Paramètres!$A$1:$I$89,5,0)</f>
        <v>216.74211000000025</v>
      </c>
      <c r="AK123" s="13">
        <f t="shared" si="89"/>
        <v>53.406185764789505</v>
      </c>
      <c r="AL123" s="20">
        <f t="shared" si="58"/>
        <v>470.50828179034215</v>
      </c>
      <c r="AM123" s="59">
        <f t="shared" si="59"/>
        <v>755.75949085897867</v>
      </c>
      <c r="AN123" s="59">
        <f ca="1">AVERAGE(OFFSET($AM$3,0,0,'Données projet'!$E$10+1,1))-AVERAGE(OFFSET($H$3,0,0,'Données projet'!$E$10+1,1))</f>
        <v>360.04137410460385</v>
      </c>
      <c r="AO123" s="59">
        <f t="shared" si="90"/>
        <v>287.81656468701829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69.914133203250387</v>
      </c>
      <c r="AV123" s="21">
        <f>EXP(-LN(2)/25)*AV122+(1-EXP(-LN(2)/25))/(LN(2)/25)*Calculateur!AQ123*Calculateur!AS123*VLOOKUP('Données projet'!$B$10,Paramètres!$A$1:$I$89,3,0)*0.475*44/12</f>
        <v>22.746003484934121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92.660136688184508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67.795784291446324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155.76430449447392</v>
      </c>
      <c r="BJ123" s="59">
        <f t="shared" si="92"/>
        <v>363.39275685992129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11.317304614967517</v>
      </c>
      <c r="BQ123" s="21">
        <f>EXP(-LN(2)/25)*BQ122+(1-EXP(-LN(2)/25))/(LN(2)/25)*Calculateur!BL123*Calculateur!BN123*VLOOKUP('Données projet'!$B$11,Paramètres!$A$1:$I$89,3,0)*0.475*44/12</f>
        <v>1.427598738991962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12.744903353959479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67.795784291446324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7.9920000000000018</v>
      </c>
      <c r="BY123" s="12">
        <f>IF('Données projet'!$A$114&gt;35,BY122+BX123-CG122,IF(A123&lt;'Données projet'!$A$114,$BV$205^A123,IF(A123='Données projet'!$A$114,'Données projet'!$B$114,BY122+BX123-CG122)))</f>
        <v>376.45200000000062</v>
      </c>
      <c r="BZ123" s="13">
        <f>BY123*VLOOKUP('Données projet'!$B$12,Paramètres!$A$1:$I$89,3,0)*VLOOKUP('Données projet'!$B$12,Paramètres!$A$1:$I$89,5,0)</f>
        <v>381.72232800000063</v>
      </c>
      <c r="CA123" s="13">
        <f t="shared" si="93"/>
        <v>88.061121525232409</v>
      </c>
      <c r="CB123" s="20">
        <f t="shared" si="64"/>
        <v>818.20617458978086</v>
      </c>
      <c r="CC123" s="59">
        <f t="shared" si="65"/>
        <v>1103.4573836584173</v>
      </c>
      <c r="CD123" s="59">
        <f ca="1">AVERAGE(OFFSET($CC$3,0,0,'Données projet'!$E$12+1,1))-AVERAGE(OFFSET($H$3,0,0,'Données projet'!$E$12+1,1))</f>
        <v>679.4570479719705</v>
      </c>
      <c r="CE123" s="59">
        <f t="shared" si="94"/>
        <v>310.8252119379963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61.470678223302698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61.470678223302698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67.795784291446324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146.95547268081216</v>
      </c>
      <c r="CZ123" s="59">
        <f t="shared" si="96"/>
        <v>343.21355872318065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10.588275790076958</v>
      </c>
      <c r="DG123" s="21">
        <f>EXP(-LN(2)/25)*DG122+(1-EXP(-LN(2)/25))/(LN(2)/25)*Calculateur!DB123*Calculateur!DD123*VLOOKUP('Données projet'!$B$13,Paramètres!$A$1:$I$89,3,0)*0.475*44/12</f>
        <v>1.3356368570323569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11.923912647109315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67.795784291446324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67.795784291446324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67.795784291446324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67.795784291446324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67.795784291446324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3.5999999999999996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13.199999999999998</v>
      </c>
      <c r="H124" s="67">
        <f t="shared" si="56"/>
        <v>203.86666666666667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67.834022506101661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366.78396742205962</v>
      </c>
      <c r="T124" s="59">
        <f t="shared" si="88"/>
        <v>271.89887525994988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73.928992977354454</v>
      </c>
      <c r="AA124" s="21">
        <f>EXP(-LN(2)/25)*AA123+(1-EXP(-LN(2)/25))/(LN(2)/25)*Calculateur!V124*Calculateur!X124*VLOOKUP('Données projet'!$B$9,Paramètres!$A$1:$I$89,3,0)*0.475*44/12</f>
        <v>26.603780604161731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100.53277358151618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67.834022506101661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>
        <f>VLOOKUP(A124,'Données projet'!$A$61:$I$81,2,0)</f>
        <v>471.22</v>
      </c>
      <c r="AG124" s="12">
        <f>VLOOKUP(A124,'Données projet'!$A$61:$I$81,9,0)</f>
        <v>8.0958333333333314</v>
      </c>
      <c r="AH124" s="12">
        <f t="array" ref="AH124">INDEX(AG:AG,MIN(IF(ISNUMBER(AG124:AG320),ROW(AG124:AG320),"")))</f>
        <v>8.0958333333333314</v>
      </c>
      <c r="AI124" s="13">
        <f>IF('Données projet'!$A$62&gt;35,AI123+AH124-AQ123,IF(A124&lt;'Données projet'!$A$62,$AF$205^A124,IF(A124='Données projet'!$A$62,'Données projet'!$B$62,AI123+AH124-AQ123)))</f>
        <v>471.22000000000048</v>
      </c>
      <c r="AJ124" s="13">
        <f>AI124*VLOOKUP('Données projet'!$B$10,Paramètres!$A$1:$I$89,3,0)*VLOOKUP('Données projet'!$B$10,Paramètres!$A$1:$I$89,5,0)</f>
        <v>220.53096000000022</v>
      </c>
      <c r="AK124" s="13">
        <f t="shared" si="89"/>
        <v>54.230271058113757</v>
      </c>
      <c r="AL124" s="20">
        <f t="shared" si="58"/>
        <v>478.54247742621516</v>
      </c>
      <c r="AM124" s="59">
        <f t="shared" si="59"/>
        <v>763.9338932819212</v>
      </c>
      <c r="AN124" s="59">
        <f ca="1">AVERAGE(OFFSET($AM$3,0,0,'Données projet'!$E$10+1,1))-AVERAGE(OFFSET($H$3,0,0,'Données projet'!$E$10+1,1))</f>
        <v>360.04137410460385</v>
      </c>
      <c r="AO124" s="59">
        <f t="shared" si="90"/>
        <v>287.81656468701829</v>
      </c>
      <c r="AP124" s="15">
        <f>IF(ISNA(VLOOKUP(A124,'Données projet'!$A$61:$I$81,3,0)),0,VLOOKUP(A124,'Données projet'!$A$61:$I$81,3,0))</f>
        <v>7</v>
      </c>
      <c r="AQ124" s="15">
        <f>IF(ISNA(VLOOKUP(A124,'Données projet'!$A$61:$I$81,4,0)),0,VLOOKUP(A124,'Données projet'!$A$61:$I$81,4,0))</f>
        <v>233.54</v>
      </c>
      <c r="AR124" s="16">
        <f>IF(ISNA(VLOOKUP(A124,'Données projet'!$A$61:$I$81,5,0)),0%,VLOOKUP(A124,'Données projet'!$A$61:$I$81,5,0)*VLOOKUP('Données projet'!$B$10,Paramètres!$A$1:$I$89,7,0))</f>
        <v>0.38500000000000001</v>
      </c>
      <c r="AS124" s="16">
        <f>IF(ISNA(VLOOKUP(A124,'Données projet'!$A$61:$I$81,6,0)),0%,VLOOKUP(A124,'Données projet'!$A$61:$I$81,6,0)*VLOOKUP('Données projet'!$B$10,Paramètres!$A$1:$I$89,7,0))</f>
        <v>0.16500000000000001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124.36398007607445</v>
      </c>
      <c r="AV124" s="21">
        <f>EXP(-LN(2)/25)*AV123+(1-EXP(-LN(2)/25))/(LN(2)/25)*Calculateur!AQ124*Calculateur!AS124*VLOOKUP('Données projet'!$B$10,Paramètres!$A$1:$I$89,3,0)*0.475*44/12</f>
        <v>45.953026770172727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170.31700684624718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67.834022506101661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155.76430449447392</v>
      </c>
      <c r="BJ124" s="59">
        <f t="shared" si="92"/>
        <v>363.39275685992129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11.095379174342217</v>
      </c>
      <c r="BQ124" s="21">
        <f>EXP(-LN(2)/25)*BQ123+(1-EXP(-LN(2)/25))/(LN(2)/25)*Calculateur!BL124*Calculateur!BN124*VLOOKUP('Données projet'!$B$11,Paramètres!$A$1:$I$89,3,0)*0.475*44/12</f>
        <v>1.3885609764000719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12.483940150742288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67.834022506101661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7.9920000000000018</v>
      </c>
      <c r="BY124" s="12">
        <f>IF('Données projet'!$A$114&gt;35,BY123+BX124-CG123,IF(A124&lt;'Données projet'!$A$114,$BV$205^A124,IF(A124='Données projet'!$A$114,'Données projet'!$B$114,BY123+BX124-CG123)))</f>
        <v>384.44400000000064</v>
      </c>
      <c r="BZ124" s="13">
        <f>BY124*VLOOKUP('Données projet'!$B$12,Paramètres!$A$1:$I$89,3,0)*VLOOKUP('Données projet'!$B$12,Paramètres!$A$1:$I$89,5,0)</f>
        <v>389.82621600000067</v>
      </c>
      <c r="CA124" s="13">
        <f t="shared" si="93"/>
        <v>89.711004148391098</v>
      </c>
      <c r="CB124" s="20">
        <f t="shared" si="64"/>
        <v>835.19399175844899</v>
      </c>
      <c r="CC124" s="59">
        <f t="shared" si="65"/>
        <v>1120.585407614155</v>
      </c>
      <c r="CD124" s="59">
        <f ca="1">AVERAGE(OFFSET($CC$3,0,0,'Données projet'!$E$12+1,1))-AVERAGE(OFFSET($H$3,0,0,'Données projet'!$E$12+1,1))</f>
        <v>679.4570479719705</v>
      </c>
      <c r="CE124" s="59">
        <f t="shared" si="94"/>
        <v>310.8252119379963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60.265275716755283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60.265275716755283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67.834022506101661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146.95547268081216</v>
      </c>
      <c r="CZ124" s="59">
        <f t="shared" si="96"/>
        <v>343.21355872318065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10.380646160044085</v>
      </c>
      <c r="DG124" s="21">
        <f>EXP(-LN(2)/25)*DG123+(1-EXP(-LN(2)/25))/(LN(2)/25)*Calculateur!DB124*Calculateur!DD124*VLOOKUP('Données projet'!$B$13,Paramètres!$A$1:$I$89,3,0)*0.475*44/12</f>
        <v>1.2991137969387174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11.679759956982803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67.834022506101661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67.834022506101661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67.834022506101661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67.834022506101661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67.834022506101661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3.5999999999999996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13.199999999999998</v>
      </c>
      <c r="H125" s="67">
        <f t="shared" si="56"/>
        <v>203.86666666666667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67.871597373220567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366.78396742205962</v>
      </c>
      <c r="T125" s="59">
        <f t="shared" si="88"/>
        <v>271.89887525994988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72.479290517301763</v>
      </c>
      <c r="AA125" s="21">
        <f>EXP(-LN(2)/25)*AA124+(1-EXP(-LN(2)/25))/(LN(2)/25)*Calculateur!V125*Calculateur!X125*VLOOKUP('Données projet'!$B$9,Paramètres!$A$1:$I$89,3,0)*0.475*44/12</f>
        <v>25.876298824508911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98.355589341810671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67.871597373220567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5.6409999999999938</v>
      </c>
      <c r="AI125" s="13">
        <f>IF('Données projet'!$A$62&gt;35,AI124+AH125-AQ124,IF(A125&lt;'Données projet'!$A$62,$AF$205^A125,IF(A125='Données projet'!$A$62,'Données projet'!$B$62,AI124+AH125-AQ124)))</f>
        <v>243.32100000000051</v>
      </c>
      <c r="AJ125" s="13">
        <f>AI125*VLOOKUP('Données projet'!$B$10,Paramètres!$A$1:$I$89,3,0)*VLOOKUP('Données projet'!$B$10,Paramètres!$A$1:$I$89,5,0)</f>
        <v>113.87422800000023</v>
      </c>
      <c r="AK125" s="13">
        <f t="shared" si="89"/>
        <v>30.241935912260949</v>
      </c>
      <c r="AL125" s="20">
        <f t="shared" si="58"/>
        <v>251.00231881385491</v>
      </c>
      <c r="AM125" s="59">
        <f t="shared" si="59"/>
        <v>536.53150918233041</v>
      </c>
      <c r="AN125" s="59">
        <f ca="1">AVERAGE(OFFSET($AM$3,0,0,'Données projet'!$E$10+1,1))-AVERAGE(OFFSET($H$3,0,0,'Données projet'!$E$10+1,1))</f>
        <v>360.04137410460385</v>
      </c>
      <c r="AO125" s="59">
        <f t="shared" si="90"/>
        <v>287.81656468701829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121.92527828132047</v>
      </c>
      <c r="AV125" s="21">
        <f>EXP(-LN(2)/25)*AV124+(1-EXP(-LN(2)/25))/(LN(2)/25)*Calculateur!AQ125*Calculateur!AS125*VLOOKUP('Données projet'!$B$10,Paramètres!$A$1:$I$89,3,0)*0.475*44/12</f>
        <v>44.696438836577705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166.62171711789819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67.871597373220567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155.76430449447392</v>
      </c>
      <c r="BJ125" s="59">
        <f t="shared" si="92"/>
        <v>363.39275685992129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10.877805556246425</v>
      </c>
      <c r="BQ125" s="21">
        <f>EXP(-LN(2)/25)*BQ124+(1-EXP(-LN(2)/25))/(LN(2)/25)*Calculateur!BL125*Calculateur!BN125*VLOOKUP('Données projet'!$B$11,Paramètres!$A$1:$I$89,3,0)*0.475*44/12</f>
        <v>1.3505907034791638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12.228396259725589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67.871597373220567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7.9920000000000018</v>
      </c>
      <c r="BY125" s="12">
        <f>IF('Données projet'!$A$114&gt;35,BY124+BX125-CG124,IF(A125&lt;'Données projet'!$A$114,$BV$205^A125,IF(A125='Données projet'!$A$114,'Données projet'!$B$114,BY124+BX125-CG124)))</f>
        <v>392.43600000000066</v>
      </c>
      <c r="BZ125" s="13">
        <f>BY125*VLOOKUP('Données projet'!$B$12,Paramètres!$A$1:$I$89,3,0)*VLOOKUP('Données projet'!$B$12,Paramètres!$A$1:$I$89,5,0)</f>
        <v>397.93010400000071</v>
      </c>
      <c r="CA125" s="13">
        <f t="shared" si="93"/>
        <v>91.356898946098624</v>
      </c>
      <c r="CB125" s="20">
        <f t="shared" si="64"/>
        <v>852.17486346445639</v>
      </c>
      <c r="CC125" s="59">
        <f t="shared" si="65"/>
        <v>1137.7040538329318</v>
      </c>
      <c r="CD125" s="59">
        <f ca="1">AVERAGE(OFFSET($CC$3,0,0,'Données projet'!$E$12+1,1))-AVERAGE(OFFSET($H$3,0,0,'Données projet'!$E$12+1,1))</f>
        <v>679.4570479719705</v>
      </c>
      <c r="CE125" s="59">
        <f t="shared" si="94"/>
        <v>310.8252119379963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59.083510418138331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59.083510418138331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67.871597373220567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146.95547268081216</v>
      </c>
      <c r="CZ125" s="59">
        <f t="shared" si="96"/>
        <v>343.21355872318065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10.177088020414589</v>
      </c>
      <c r="DG125" s="21">
        <f>EXP(-LN(2)/25)*DG124+(1-EXP(-LN(2)/25))/(LN(2)/25)*Calculateur!DB125*Calculateur!DD125*VLOOKUP('Données projet'!$B$13,Paramètres!$A$1:$I$89,3,0)*0.475*44/12</f>
        <v>1.2635894618440027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11.440677482258591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67.871597373220567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67.871597373220567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67.871597373220567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67.871597373220567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67.871597373220567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3.5999999999999996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13.199999999999998</v>
      </c>
      <c r="H126" s="67">
        <f t="shared" si="56"/>
        <v>203.86666666666667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67.908520400399766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366.78396742205962</v>
      </c>
      <c r="T126" s="59">
        <f t="shared" si="88"/>
        <v>271.89887525994988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71.058015838259507</v>
      </c>
      <c r="AA126" s="21">
        <f>EXP(-LN(2)/25)*AA125+(1-EXP(-LN(2)/25))/(LN(2)/25)*Calculateur!V126*Calculateur!X126*VLOOKUP('Données projet'!$B$9,Paramètres!$A$1:$I$89,3,0)*0.475*44/12</f>
        <v>25.168710072377301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96.226725910636816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67.908520400399766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5.6409999999999938</v>
      </c>
      <c r="AI126" s="13">
        <f>IF('Données projet'!$A$62&gt;35,AI125+AH126-AQ125,IF(A126&lt;'Données projet'!$A$62,$AF$205^A126,IF(A126='Données projet'!$A$62,'Données projet'!$B$62,AI125+AH126-AQ125)))</f>
        <v>248.9620000000005</v>
      </c>
      <c r="AJ126" s="13">
        <f>AI126*VLOOKUP('Données projet'!$B$10,Paramètres!$A$1:$I$89,3,0)*VLOOKUP('Données projet'!$B$10,Paramètres!$A$1:$I$89,5,0)</f>
        <v>116.51421600000023</v>
      </c>
      <c r="AK126" s="13">
        <f t="shared" si="89"/>
        <v>30.860607863693374</v>
      </c>
      <c r="AL126" s="20">
        <f t="shared" si="58"/>
        <v>256.67781822926639</v>
      </c>
      <c r="AM126" s="59">
        <f t="shared" si="59"/>
        <v>542.34239303073218</v>
      </c>
      <c r="AN126" s="59">
        <f ca="1">AVERAGE(OFFSET($AM$3,0,0,'Données projet'!$E$10+1,1))-AVERAGE(OFFSET($H$3,0,0,'Données projet'!$E$10+1,1))</f>
        <v>360.04137410460385</v>
      </c>
      <c r="AO126" s="59">
        <f t="shared" si="90"/>
        <v>287.81656468701829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119.5343979413004</v>
      </c>
      <c r="AV126" s="21">
        <f>EXP(-LN(2)/25)*AV125+(1-EXP(-LN(2)/25))/(LN(2)/25)*Calculateur!AQ126*Calculateur!AS126*VLOOKUP('Données projet'!$B$10,Paramètres!$A$1:$I$89,3,0)*0.475*44/12</f>
        <v>43.474212366107928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163.00861030740833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67.908520400399766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155.76430449447392</v>
      </c>
      <c r="BJ126" s="59">
        <f t="shared" si="92"/>
        <v>363.39275685992129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10.66449842409469</v>
      </c>
      <c r="BQ126" s="21">
        <f>EXP(-LN(2)/25)*BQ125+(1-EXP(-LN(2)/25))/(LN(2)/25)*Calculateur!BL126*Calculateur!BN126*VLOOKUP('Données projet'!$B$11,Paramètres!$A$1:$I$89,3,0)*0.475*44/12</f>
        <v>1.3136587296680478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11.978157153762737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67.908520400399766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7.9920000000000018</v>
      </c>
      <c r="BY126" s="12">
        <f>IF('Données projet'!$A$114&gt;35,BY125+BX126-CG125,IF(A126&lt;'Données projet'!$A$114,$BV$205^A126,IF(A126='Données projet'!$A$114,'Données projet'!$B$114,BY125+BX126-CG125)))</f>
        <v>400.42800000000068</v>
      </c>
      <c r="BZ126" s="13">
        <f>BY126*VLOOKUP('Données projet'!$B$12,Paramètres!$A$1:$I$89,3,0)*VLOOKUP('Données projet'!$B$12,Paramètres!$A$1:$I$89,5,0)</f>
        <v>406.03399200000069</v>
      </c>
      <c r="CA126" s="13">
        <f t="shared" si="93"/>
        <v>92.998896489228883</v>
      </c>
      <c r="CB126" s="20">
        <f t="shared" si="64"/>
        <v>869.14894745207482</v>
      </c>
      <c r="CC126" s="59">
        <f t="shared" si="65"/>
        <v>1154.8135222535407</v>
      </c>
      <c r="CD126" s="59">
        <f ca="1">AVERAGE(OFFSET($CC$3,0,0,'Données projet'!$E$12+1,1))-AVERAGE(OFFSET($H$3,0,0,'Données projet'!$E$12+1,1))</f>
        <v>679.4570479719705</v>
      </c>
      <c r="CE126" s="59">
        <f t="shared" si="94"/>
        <v>310.8252119379963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57.924918816221599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57.924918816221599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67.908520400399766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146.95547268081216</v>
      </c>
      <c r="CZ126" s="59">
        <f t="shared" si="96"/>
        <v>343.21355872318065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9.9775215317450208</v>
      </c>
      <c r="DG126" s="21">
        <f>EXP(-LN(2)/25)*DG125+(1-EXP(-LN(2)/25))/(LN(2)/25)*Calculateur!DB126*Calculateur!DD126*VLOOKUP('Données projet'!$B$13,Paramètres!$A$1:$I$89,3,0)*0.475*44/12</f>
        <v>1.2290365415605966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11.206558073305617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67.908520400399766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67.908520400399766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67.908520400399766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67.908520400399766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67.908520400399766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3.5999999999999996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13.199999999999998</v>
      </c>
      <c r="H127" s="67">
        <f t="shared" si="56"/>
        <v>203.86666666666667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67.944802895604937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366.78396742205962</v>
      </c>
      <c r="T127" s="59">
        <f t="shared" si="88"/>
        <v>271.89887525994988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69.664611488781318</v>
      </c>
      <c r="AA127" s="21">
        <f>EXP(-LN(2)/25)*AA126+(1-EXP(-LN(2)/25))/(LN(2)/25)*Calculateur!V127*Calculateur!X127*VLOOKUP('Données projet'!$B$9,Paramètres!$A$1:$I$89,3,0)*0.475*44/12</f>
        <v>24.480470371883204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94.145081860664519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67.944802895604937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5.6409999999999938</v>
      </c>
      <c r="AI127" s="13">
        <f>IF('Données projet'!$A$62&gt;35,AI126+AH127-AQ126,IF(A127&lt;'Données projet'!$A$62,$AF$205^A127,IF(A127='Données projet'!$A$62,'Données projet'!$B$62,AI126+AH127-AQ126)))</f>
        <v>254.60300000000049</v>
      </c>
      <c r="AJ127" s="13">
        <f>AI127*VLOOKUP('Données projet'!$B$10,Paramètres!$A$1:$I$89,3,0)*VLOOKUP('Données projet'!$B$10,Paramètres!$A$1:$I$89,5,0)</f>
        <v>119.15420400000023</v>
      </c>
      <c r="AK127" s="13">
        <f t="shared" si="89"/>
        <v>31.477650132098876</v>
      </c>
      <c r="AL127" s="20">
        <f t="shared" si="58"/>
        <v>262.35047928007265</v>
      </c>
      <c r="AM127" s="59">
        <f t="shared" si="59"/>
        <v>548.14808989729079</v>
      </c>
      <c r="AN127" s="59">
        <f ca="1">AVERAGE(OFFSET($AM$3,0,0,'Données projet'!$E$10+1,1))-AVERAGE(OFFSET($H$3,0,0,'Données projet'!$E$10+1,1))</f>
        <v>360.04137410460385</v>
      </c>
      <c r="AO127" s="59">
        <f t="shared" si="90"/>
        <v>287.81656468701829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117.1904013064551</v>
      </c>
      <c r="AV127" s="21">
        <f>EXP(-LN(2)/25)*AV126+(1-EXP(-LN(2)/25))/(LN(2)/25)*Calculateur!AQ127*Calculateur!AS127*VLOOKUP('Données projet'!$B$10,Paramètres!$A$1:$I$89,3,0)*0.475*44/12</f>
        <v>42.285407742747239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159.47580904920233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67.944802895604937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155.76430449447392</v>
      </c>
      <c r="BJ127" s="59">
        <f t="shared" si="92"/>
        <v>363.39275685992129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10.455374114699946</v>
      </c>
      <c r="BQ127" s="21">
        <f>EXP(-LN(2)/25)*BQ126+(1-EXP(-LN(2)/25))/(LN(2)/25)*Calculateur!BL127*Calculateur!BN127*VLOOKUP('Données projet'!$B$11,Paramètres!$A$1:$I$89,3,0)*0.475*44/12</f>
        <v>1.2777366626229647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11.733110777322912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67.944802895604937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>
        <f>VLOOKUP(A127,'Données projet'!$A$113:$I$133,2,0)</f>
        <v>408.42</v>
      </c>
      <c r="BW127" s="12">
        <f>VLOOKUP(A127,'Données projet'!$A$113:$I$133,9,0)</f>
        <v>7.9920000000000018</v>
      </c>
      <c r="BX127" s="12">
        <f t="array" ref="BX127">INDEX(BW:BW,MIN(IF(ISNUMBER(BW127:BW323),ROW(BW127:BW323),"")))</f>
        <v>7.9920000000000018</v>
      </c>
      <c r="BY127" s="12">
        <f>IF('Données projet'!$A$114&gt;35,BY126+BX127-CG126,IF(A127&lt;'Données projet'!$A$114,$BV$205^A127,IF(A127='Données projet'!$A$114,'Données projet'!$B$114,BY126+BX127-CG126)))</f>
        <v>408.4200000000007</v>
      </c>
      <c r="BZ127" s="13">
        <f>BY127*VLOOKUP('Données projet'!$B$12,Paramètres!$A$1:$I$89,3,0)*VLOOKUP('Données projet'!$B$12,Paramètres!$A$1:$I$89,5,0)</f>
        <v>414.13788000000073</v>
      </c>
      <c r="CA127" s="13">
        <f t="shared" si="93"/>
        <v>94.637083526579147</v>
      </c>
      <c r="CB127" s="20">
        <f t="shared" si="64"/>
        <v>886.1163948087933</v>
      </c>
      <c r="CC127" s="59">
        <f t="shared" si="65"/>
        <v>1171.9140054260115</v>
      </c>
      <c r="CD127" s="59">
        <f ca="1">AVERAGE(OFFSET($CC$3,0,0,'Données projet'!$E$12+1,1))-AVERAGE(OFFSET($H$3,0,0,'Données projet'!$E$12+1,1))</f>
        <v>679.4570479719705</v>
      </c>
      <c r="CE127" s="59">
        <f t="shared" si="94"/>
        <v>310.8252119379963</v>
      </c>
      <c r="CF127" s="15">
        <f>IF(ISNA(VLOOKUP(A127,'Données projet'!$A$113:$I$133,3,0)),0,VLOOKUP(A127,'Données projet'!$A$113:$I$133,3,0))</f>
        <v>10</v>
      </c>
      <c r="CG127" s="15">
        <f>IF(ISNA(VLOOKUP(A127,'Données projet'!$A$113:$I$133,4,0)),0,VLOOKUP(A127,'Données projet'!$A$113:$I$133,4,0))</f>
        <v>52.53</v>
      </c>
      <c r="CH127" s="16">
        <f>IF(ISNA(VLOOKUP(A127,'Données projet'!$A$113:$I$133,5,0)),0%,VLOOKUP(A127,'Données projet'!$A$113:$I$133,5,0)*VLOOKUP('Données projet'!$B$12,Paramètres!$A$1:$I$89,7,0))</f>
        <v>0.25800000000000001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71.980949257299912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71.980949257299912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67.944802895604937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146.95547268081216</v>
      </c>
      <c r="CZ127" s="59">
        <f t="shared" si="96"/>
        <v>343.21355872318065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9.7818684201947228</v>
      </c>
      <c r="DG127" s="21">
        <f>EXP(-LN(2)/25)*DG126+(1-EXP(-LN(2)/25))/(LN(2)/25)*Calculateur!DB127*Calculateur!DD127*VLOOKUP('Données projet'!$B$13,Paramètres!$A$1:$I$89,3,0)*0.475*44/12</f>
        <v>1.1954284726993993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10.977296892894122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67.944802895604937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67.944802895604937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67.944802895604937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67.944802895604937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67.944802895604937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3.5999999999999996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13.199999999999998</v>
      </c>
      <c r="H128" s="67">
        <f t="shared" si="56"/>
        <v>203.86666666666667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67.980455970633813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366.78396742205962</v>
      </c>
      <c r="T128" s="59">
        <f t="shared" si="88"/>
        <v>271.89887525994988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68.298530948703672</v>
      </c>
      <c r="AA128" s="21">
        <f>EXP(-LN(2)/25)*AA127+(1-EXP(-LN(2)/25))/(LN(2)/25)*Calculateur!V128*Calculateur!X128*VLOOKUP('Données projet'!$B$9,Paramètres!$A$1:$I$89,3,0)*0.475*44/12</f>
        <v>23.81105062219207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92.109581570895742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67.980455970633813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5.6409999999999938</v>
      </c>
      <c r="AI128" s="13">
        <f>IF('Données projet'!$A$62&gt;35,AI127+AH128-AQ127,IF(A128&lt;'Données projet'!$A$62,$AF$205^A128,IF(A128='Données projet'!$A$62,'Données projet'!$B$62,AI127+AH128-AQ127)))</f>
        <v>260.24400000000048</v>
      </c>
      <c r="AJ128" s="13">
        <f>AI128*VLOOKUP('Données projet'!$B$10,Paramètres!$A$1:$I$89,3,0)*VLOOKUP('Données projet'!$B$10,Paramètres!$A$1:$I$89,5,0)</f>
        <v>121.79419200000022</v>
      </c>
      <c r="AK128" s="13">
        <f t="shared" si="89"/>
        <v>32.093102982453836</v>
      </c>
      <c r="AL128" s="20">
        <f t="shared" si="58"/>
        <v>268.0203720944408</v>
      </c>
      <c r="AM128" s="59">
        <f t="shared" si="59"/>
        <v>553.94871065343148</v>
      </c>
      <c r="AN128" s="59">
        <f ca="1">AVERAGE(OFFSET($AM$3,0,0,'Données projet'!$E$10+1,1))-AVERAGE(OFFSET($H$3,0,0,'Données projet'!$E$10+1,1))</f>
        <v>360.04137410460385</v>
      </c>
      <c r="AO128" s="59">
        <f t="shared" si="90"/>
        <v>287.81656468701829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114.89236901592234</v>
      </c>
      <c r="AV128" s="21">
        <f>EXP(-LN(2)/25)*AV127+(1-EXP(-LN(2)/25))/(LN(2)/25)*Calculateur!AQ128*Calculateur!AS128*VLOOKUP('Données projet'!$B$10,Paramètres!$A$1:$I$89,3,0)*0.475*44/12</f>
        <v>41.129111044328866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156.02148006025121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67.980455970633813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155.76430449447392</v>
      </c>
      <c r="BJ128" s="59">
        <f t="shared" si="92"/>
        <v>363.39275685992129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10.250350605459198</v>
      </c>
      <c r="BQ128" s="21">
        <f>EXP(-LN(2)/25)*BQ127+(1-EXP(-LN(2)/25))/(LN(2)/25)*Calculateur!BL128*Calculateur!BN128*VLOOKUP('Données projet'!$B$11,Paramètres!$A$1:$I$89,3,0)*0.475*44/12</f>
        <v>1.242796886390289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11.493147491849488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67.980455970633813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8.0699999999999985</v>
      </c>
      <c r="BY128" s="12">
        <f>IF('Données projet'!$A$114&gt;35,BY127+BX128-CG127,IF(A128&lt;'Données projet'!$A$114,$BV$205^A128,IF(A128='Données projet'!$A$114,'Données projet'!$B$114,BY127+BX128-CG127)))</f>
        <v>363.96000000000072</v>
      </c>
      <c r="BZ128" s="13">
        <f>BY128*VLOOKUP('Données projet'!$B$12,Paramètres!$A$1:$I$89,3,0)*VLOOKUP('Données projet'!$B$12,Paramètres!$A$1:$I$89,5,0)</f>
        <v>369.05544000000071</v>
      </c>
      <c r="CA128" s="13">
        <f t="shared" si="93"/>
        <v>85.474036248241589</v>
      </c>
      <c r="CB128" s="20">
        <f t="shared" si="64"/>
        <v>791.63883779902199</v>
      </c>
      <c r="CC128" s="59">
        <f t="shared" si="65"/>
        <v>1077.5671763580126</v>
      </c>
      <c r="CD128" s="59">
        <f ca="1">AVERAGE(OFFSET($CC$3,0,0,'Données projet'!$E$12+1,1))-AVERAGE(OFFSET($H$3,0,0,'Données projet'!$E$12+1,1))</f>
        <v>679.4570479719705</v>
      </c>
      <c r="CE128" s="59">
        <f t="shared" si="94"/>
        <v>310.8252119379963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70.569446746408147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70.569446746408147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67.980455970633813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146.95547268081216</v>
      </c>
      <c r="CZ128" s="59">
        <f t="shared" si="96"/>
        <v>343.21355872318065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9.5900519468253123</v>
      </c>
      <c r="DG128" s="21">
        <f>EXP(-LN(2)/25)*DG127+(1-EXP(-LN(2)/25))/(LN(2)/25)*Calculateur!DB128*Calculateur!DD128*VLOOKUP('Données projet'!$B$13,Paramètres!$A$1:$I$89,3,0)*0.475*44/12</f>
        <v>1.1627394182485831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10.752791365073895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67.980455970633813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67.980455970633813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67.980455970633813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67.980455970633813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67.980455970633813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3.5999999999999996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13.199999999999998</v>
      </c>
      <c r="H129" s="67">
        <f t="shared" si="56"/>
        <v>203.86666666666667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68.015490544519267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366.78396742205962</v>
      </c>
      <c r="T129" s="59">
        <f t="shared" si="88"/>
        <v>271.89887525994988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66.959238414790093</v>
      </c>
      <c r="AA129" s="21">
        <f>EXP(-LN(2)/25)*AA128+(1-EXP(-LN(2)/25))/(LN(2)/25)*Calculateur!V129*Calculateur!X129*VLOOKUP('Données projet'!$B$9,Paramètres!$A$1:$I$89,3,0)*0.475*44/12</f>
        <v>23.159936190759495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90.119174605549588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68.015490544519267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5.6409999999999938</v>
      </c>
      <c r="AI129" s="13">
        <f>IF('Données projet'!$A$62&gt;35,AI128+AH129-AQ128,IF(A129&lt;'Données projet'!$A$62,$AF$205^A129,IF(A129='Données projet'!$A$62,'Données projet'!$B$62,AI128+AH129-AQ128)))</f>
        <v>265.8850000000005</v>
      </c>
      <c r="AJ129" s="13">
        <f>AI129*VLOOKUP('Données projet'!$B$10,Paramètres!$A$1:$I$89,3,0)*VLOOKUP('Données projet'!$B$10,Paramètres!$A$1:$I$89,5,0)</f>
        <v>124.43418000000024</v>
      </c>
      <c r="AK129" s="13">
        <f t="shared" si="89"/>
        <v>32.70700483448563</v>
      </c>
      <c r="AL129" s="20">
        <f t="shared" si="58"/>
        <v>273.68756358672954</v>
      </c>
      <c r="AM129" s="59">
        <f t="shared" si="59"/>
        <v>559.7443622499668</v>
      </c>
      <c r="AN129" s="59">
        <f ca="1">AVERAGE(OFFSET($AM$3,0,0,'Données projet'!$E$10+1,1))-AVERAGE(OFFSET($H$3,0,0,'Données projet'!$E$10+1,1))</f>
        <v>360.04137410460385</v>
      </c>
      <c r="AO129" s="59">
        <f t="shared" si="90"/>
        <v>287.81656468701829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112.63939973694563</v>
      </c>
      <c r="AV129" s="21">
        <f>EXP(-LN(2)/25)*AV128+(1-EXP(-LN(2)/25))/(LN(2)/25)*Calculateur!AQ129*Calculateur!AS129*VLOOKUP('Données projet'!$B$10,Paramètres!$A$1:$I$89,3,0)*0.475*44/12</f>
        <v>40.004433339935744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152.64383307688138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68.015490544519267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155.76430449447392</v>
      </c>
      <c r="BJ129" s="59">
        <f t="shared" si="92"/>
        <v>363.39275685992129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10.04934748218267</v>
      </c>
      <c r="BQ129" s="21">
        <f>EXP(-LN(2)/25)*BQ128+(1-EXP(-LN(2)/25))/(LN(2)/25)*Calculateur!BL129*Calculateur!BN129*VLOOKUP('Données projet'!$B$11,Paramètres!$A$1:$I$89,3,0)*0.475*44/12</f>
        <v>1.2088125401760987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11.258160022358769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68.015490544519267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8.0699999999999985</v>
      </c>
      <c r="BY129" s="12">
        <f>IF('Données projet'!$A$114&gt;35,BY128+BX129-CG128,IF(A129&lt;'Données projet'!$A$114,$BV$205^A129,IF(A129='Données projet'!$A$114,'Données projet'!$B$114,BY128+BX129-CG128)))</f>
        <v>372.03000000000071</v>
      </c>
      <c r="BZ129" s="13">
        <f>BY129*VLOOKUP('Données projet'!$B$12,Paramètres!$A$1:$I$89,3,0)*VLOOKUP('Données projet'!$B$12,Paramètres!$A$1:$I$89,5,0)</f>
        <v>377.23842000000076</v>
      </c>
      <c r="CA129" s="13">
        <f t="shared" si="93"/>
        <v>87.146487914300891</v>
      </c>
      <c r="CB129" s="20">
        <f t="shared" si="64"/>
        <v>808.80371461740867</v>
      </c>
      <c r="CC129" s="59">
        <f t="shared" si="65"/>
        <v>1094.860513280646</v>
      </c>
      <c r="CD129" s="59">
        <f ca="1">AVERAGE(OFFSET($CC$3,0,0,'Données projet'!$E$12+1,1))-AVERAGE(OFFSET($H$3,0,0,'Données projet'!$E$12+1,1))</f>
        <v>679.4570479719705</v>
      </c>
      <c r="CE129" s="59">
        <f t="shared" si="94"/>
        <v>310.8252119379963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69.185622938823442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69.185622938823442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68.015490544519267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146.95547268081216</v>
      </c>
      <c r="CZ129" s="59">
        <f t="shared" si="96"/>
        <v>343.21355872318065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9.4019968775021798</v>
      </c>
      <c r="DG129" s="21">
        <f>EXP(-LN(2)/25)*DG128+(1-EXP(-LN(2)/25))/(LN(2)/25)*Calculateur!DB129*Calculateur!DD129*VLOOKUP('Données projet'!$B$13,Paramètres!$A$1:$I$89,3,0)*0.475*44/12</f>
        <v>1.130944247710767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10.532941125212947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68.015490544519267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68.015490544519267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68.015490544519267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68.015490544519267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68.015490544519267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3.5999999999999996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13.199999999999998</v>
      </c>
      <c r="H130" s="67">
        <f t="shared" si="56"/>
        <v>203.86666666666667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68.049917346873372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366.78396742205962</v>
      </c>
      <c r="T130" s="59">
        <f t="shared" si="88"/>
        <v>271.89887525994988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65.646208590578766</v>
      </c>
      <c r="AA130" s="21">
        <f>EXP(-LN(2)/25)*AA129+(1-EXP(-LN(2)/25))/(LN(2)/25)*Calculateur!V130*Calculateur!X130*VLOOKUP('Données projet'!$B$9,Paramètres!$A$1:$I$89,3,0)*0.475*44/12</f>
        <v>22.526626517695064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88.17283510827383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68.049917346873372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5.6409999999999938</v>
      </c>
      <c r="AI130" s="13">
        <f>IF('Données projet'!$A$62&gt;35,AI129+AH130-AQ129,IF(A130&lt;'Données projet'!$A$62,$AF$205^A130,IF(A130='Données projet'!$A$62,'Données projet'!$B$62,AI129+AH130-AQ129)))</f>
        <v>271.52600000000052</v>
      </c>
      <c r="AJ130" s="13">
        <f>AI130*VLOOKUP('Données projet'!$B$10,Paramètres!$A$1:$I$89,3,0)*VLOOKUP('Données projet'!$B$10,Paramètres!$A$1:$I$89,5,0)</f>
        <v>127.07416800000024</v>
      </c>
      <c r="AK130" s="13">
        <f t="shared" si="89"/>
        <v>33.319392384561489</v>
      </c>
      <c r="AL130" s="20">
        <f t="shared" si="58"/>
        <v>279.35211766977835</v>
      </c>
      <c r="AM130" s="59">
        <f t="shared" si="59"/>
        <v>565.53514794164744</v>
      </c>
      <c r="AN130" s="59">
        <f ca="1">AVERAGE(OFFSET($AM$3,0,0,'Données projet'!$E$10+1,1))-AVERAGE(OFFSET($H$3,0,0,'Données projet'!$E$10+1,1))</f>
        <v>360.04137410460385</v>
      </c>
      <c r="AO130" s="59">
        <f t="shared" si="90"/>
        <v>287.81656468701829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110.43060981135409</v>
      </c>
      <c r="AV130" s="21">
        <f>EXP(-LN(2)/25)*AV129+(1-EXP(-LN(2)/25))/(LN(2)/25)*Calculateur!AQ130*Calculateur!AS130*VLOOKUP('Données projet'!$B$10,Paramètres!$A$1:$I$89,3,0)*0.475*44/12</f>
        <v>38.910510006513483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149.34111981786756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68.049917346873372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155.76430449447392</v>
      </c>
      <c r="BJ130" s="59">
        <f t="shared" si="92"/>
        <v>363.39275685992129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9.8522859075537941</v>
      </c>
      <c r="BQ130" s="21">
        <f>EXP(-LN(2)/25)*BQ129+(1-EXP(-LN(2)/25))/(LN(2)/25)*Calculateur!BL130*Calculateur!BN130*VLOOKUP('Données projet'!$B$11,Paramètres!$A$1:$I$89,3,0)*0.475*44/12</f>
        <v>1.1757574976962946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11.028043405250088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68.049917346873372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8.0699999999999985</v>
      </c>
      <c r="BY130" s="12">
        <f>IF('Données projet'!$A$114&gt;35,BY129+BX130-CG129,IF(A130&lt;'Données projet'!$A$114,$BV$205^A130,IF(A130='Données projet'!$A$114,'Données projet'!$B$114,BY129+BX130-CG129)))</f>
        <v>380.1000000000007</v>
      </c>
      <c r="BZ130" s="13">
        <f>BY130*VLOOKUP('Données projet'!$B$12,Paramètres!$A$1:$I$89,3,0)*VLOOKUP('Données projet'!$B$12,Paramètres!$A$1:$I$89,5,0)</f>
        <v>385.42140000000074</v>
      </c>
      <c r="CA130" s="13">
        <f t="shared" si="93"/>
        <v>88.814721741694029</v>
      </c>
      <c r="CB130" s="20">
        <f t="shared" si="64"/>
        <v>825.96124536678508</v>
      </c>
      <c r="CC130" s="59">
        <f t="shared" si="65"/>
        <v>1112.1442756386541</v>
      </c>
      <c r="CD130" s="59">
        <f ca="1">AVERAGE(OFFSET($CC$3,0,0,'Données projet'!$E$12+1,1))-AVERAGE(OFFSET($H$3,0,0,'Données projet'!$E$12+1,1))</f>
        <v>679.4570479719705</v>
      </c>
      <c r="CE130" s="59">
        <f t="shared" si="94"/>
        <v>310.8252119379963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67.828935072056296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67.828935072056296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68.049917346873372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146.95547268081216</v>
      </c>
      <c r="CZ130" s="59">
        <f t="shared" si="96"/>
        <v>343.21355872318065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9.2176294533862073</v>
      </c>
      <c r="DG130" s="21">
        <f>EXP(-LN(2)/25)*DG129+(1-EXP(-LN(2)/25))/(LN(2)/25)*Calculateur!DB130*Calculateur!DD130*VLOOKUP('Données projet'!$B$13,Paramètres!$A$1:$I$89,3,0)*0.475*44/12</f>
        <v>1.1000185177833428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10.317647971169549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68.049917346873372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68.049917346873372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68.049917346873372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68.049917346873372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68.049917346873372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3.5999999999999996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13.199999999999998</v>
      </c>
      <c r="H131" s="67">
        <f t="shared" si="56"/>
        <v>203.86666666666667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68.083746921173457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366.78396742205962</v>
      </c>
      <c r="T131" s="59">
        <f t="shared" si="88"/>
        <v>271.89887525994988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64.358926480351116</v>
      </c>
      <c r="AA131" s="21">
        <f>EXP(-LN(2)/25)*AA130+(1-EXP(-LN(2)/25))/(LN(2)/25)*Calculateur!V131*Calculateur!X131*VLOOKUP('Données projet'!$B$9,Paramètres!$A$1:$I$89,3,0)*0.475*44/12</f>
        <v>21.910634730944889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86.269561211296008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68.083746921173457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5.6409999999999938</v>
      </c>
      <c r="AI131" s="13">
        <f>IF('Données projet'!$A$62&gt;35,AI130+AH131-AQ130,IF(A131&lt;'Données projet'!$A$62,$AF$205^A131,IF(A131='Données projet'!$A$62,'Données projet'!$B$62,AI130+AH131-AQ130)))</f>
        <v>277.16700000000054</v>
      </c>
      <c r="AJ131" s="13">
        <f>AI131*VLOOKUP('Données projet'!$B$10,Paramètres!$A$1:$I$89,3,0)*VLOOKUP('Données projet'!$B$10,Paramètres!$A$1:$I$89,5,0)</f>
        <v>129.71415600000026</v>
      </c>
      <c r="AK131" s="13">
        <f t="shared" si="89"/>
        <v>33.930300717162936</v>
      </c>
      <c r="AL131" s="20">
        <f t="shared" si="58"/>
        <v>285.0140954490592</v>
      </c>
      <c r="AM131" s="59">
        <f t="shared" si="59"/>
        <v>571.32116749336183</v>
      </c>
      <c r="AN131" s="59">
        <f ca="1">AVERAGE(OFFSET($AM$3,0,0,'Données projet'!$E$10+1,1))-AVERAGE(OFFSET($H$3,0,0,'Données projet'!$E$10+1,1))</f>
        <v>360.04137410460385</v>
      </c>
      <c r="AO131" s="59">
        <f t="shared" si="90"/>
        <v>287.81656468701829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108.26513290897456</v>
      </c>
      <c r="AV131" s="21">
        <f>EXP(-LN(2)/25)*AV130+(1-EXP(-LN(2)/25))/(LN(2)/25)*Calculateur!AQ131*Calculateur!AS131*VLOOKUP('Données projet'!$B$10,Paramètres!$A$1:$I$89,3,0)*0.475*44/12</f>
        <v>37.846500064170584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146.11163297314516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68.083746921173457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155.76430449447392</v>
      </c>
      <c r="BJ131" s="59">
        <f t="shared" si="92"/>
        <v>363.39275685992129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9.6590885902076984</v>
      </c>
      <c r="BQ131" s="21">
        <f>EXP(-LN(2)/25)*BQ130+(1-EXP(-LN(2)/25))/(LN(2)/25)*Calculateur!BL131*Calculateur!BN131*VLOOKUP('Données projet'!$B$11,Paramètres!$A$1:$I$89,3,0)*0.475*44/12</f>
        <v>1.1436063470913898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10.802694937299089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68.083746921173457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8.0699999999999985</v>
      </c>
      <c r="BY131" s="12">
        <f>IF('Données projet'!$A$114&gt;35,BY130+BX131-CG130,IF(A131&lt;'Données projet'!$A$114,$BV$205^A131,IF(A131='Données projet'!$A$114,'Données projet'!$B$114,BY130+BX131-CG130)))</f>
        <v>388.1700000000007</v>
      </c>
      <c r="BZ131" s="13">
        <f>BY131*VLOOKUP('Données projet'!$B$12,Paramètres!$A$1:$I$89,3,0)*VLOOKUP('Données projet'!$B$12,Paramètres!$A$1:$I$89,5,0)</f>
        <v>393.60438000000073</v>
      </c>
      <c r="CA131" s="13">
        <f t="shared" si="93"/>
        <v>90.478837595769321</v>
      </c>
      <c r="CB131" s="20">
        <f t="shared" si="64"/>
        <v>843.1116039792995</v>
      </c>
      <c r="CC131" s="59">
        <f t="shared" si="65"/>
        <v>1129.4186760236021</v>
      </c>
      <c r="CD131" s="59">
        <f ca="1">AVERAGE(OFFSET($CC$3,0,0,'Données projet'!$E$12+1,1))-AVERAGE(OFFSET($H$3,0,0,'Données projet'!$E$12+1,1))</f>
        <v>679.4570479719705</v>
      </c>
      <c r="CE131" s="59">
        <f t="shared" si="94"/>
        <v>310.8252119379963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66.49885102685856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66.49885102685856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68.083746921173457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146.95547268081216</v>
      </c>
      <c r="CZ131" s="59">
        <f t="shared" si="96"/>
        <v>343.21355872318065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9.0368773620041249</v>
      </c>
      <c r="DG131" s="21">
        <f>EXP(-LN(2)/25)*DG130+(1-EXP(-LN(2)/25))/(LN(2)/25)*Calculateur!DB131*Calculateur!DD131*VLOOKUP('Données projet'!$B$13,Paramètres!$A$1:$I$89,3,0)*0.475*44/12</f>
        <v>1.0699384535670975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10.106815815571222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68.083746921173457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68.083746921173457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68.083746921173457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68.083746921173457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68.083746921173457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3.5999999999999996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13.199999999999998</v>
      </c>
      <c r="H132" s="67">
        <f t="shared" ref="H132:H195" si="110">(B132+E132+F132)*44/12+(C132+D132)*0.475*44/12</f>
        <v>203.86666666666667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68.116989627991018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366.78396742205962</v>
      </c>
      <c r="T132" s="59">
        <f t="shared" si="88"/>
        <v>271.89887525994988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63.096887187140467</v>
      </c>
      <c r="AA132" s="21">
        <f>EXP(-LN(2)/25)*AA131+(1-EXP(-LN(2)/25))/(LN(2)/25)*Calculateur!V132*Calculateur!X132*VLOOKUP('Données projet'!$B$9,Paramètres!$A$1:$I$89,3,0)*0.475*44/12</f>
        <v>21.311487271996999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84.408374459137463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68.116989627991018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5.6409999999999938</v>
      </c>
      <c r="AI132" s="13">
        <f>IF('Données projet'!$A$62&gt;35,AI131+AH132-AQ131,IF(A132&lt;'Données projet'!$A$62,$AF$205^A132,IF(A132='Données projet'!$A$62,'Données projet'!$B$62,AI131+AH132-AQ131)))</f>
        <v>282.80800000000056</v>
      </c>
      <c r="AJ132" s="13">
        <f>AI132*VLOOKUP('Données projet'!$B$10,Paramètres!$A$1:$I$89,3,0)*VLOOKUP('Données projet'!$B$10,Paramètres!$A$1:$I$89,5,0)</f>
        <v>132.35414400000025</v>
      </c>
      <c r="AK132" s="13">
        <f t="shared" si="89"/>
        <v>34.539763407028346</v>
      </c>
      <c r="AL132" s="20">
        <f t="shared" ref="AL132:AL153" si="112">(AJ132+AK132)*0.475*44/12</f>
        <v>290.6735554005748</v>
      </c>
      <c r="AM132" s="59">
        <f t="shared" ref="AM132:AM195" si="113">AL132+(AD132+AE132)*44/12</f>
        <v>577.10251736987516</v>
      </c>
      <c r="AN132" s="59">
        <f ca="1">AVERAGE(OFFSET($AM$3,0,0,'Données projet'!$E$10+1,1))-AVERAGE(OFFSET($H$3,0,0,'Données projet'!$E$10+1,1))</f>
        <v>360.04137410460385</v>
      </c>
      <c r="AO132" s="59">
        <f t="shared" si="90"/>
        <v>287.81656468701829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106.14211968784021</v>
      </c>
      <c r="AV132" s="21">
        <f>EXP(-LN(2)/25)*AV131+(1-EXP(-LN(2)/25))/(LN(2)/25)*Calculateur!AQ132*Calculateur!AS132*VLOOKUP('Données projet'!$B$10,Paramètres!$A$1:$I$89,3,0)*0.475*44/12</f>
        <v>36.811585529654899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142.9537052174951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68.116989627991018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155.76430449447392</v>
      </c>
      <c r="BJ132" s="59">
        <f t="shared" si="92"/>
        <v>363.39275685992129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9.4696797544160312</v>
      </c>
      <c r="BQ132" s="21">
        <f>EXP(-LN(2)/25)*BQ131+(1-EXP(-LN(2)/25))/(LN(2)/25)*Calculateur!BL132*Calculateur!BN132*VLOOKUP('Données projet'!$B$11,Paramètres!$A$1:$I$89,3,0)*0.475*44/12</f>
        <v>1.1123343713905316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10.582014125806563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68.116989627991018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8.0699999999999985</v>
      </c>
      <c r="BY132" s="12">
        <f>IF('Données projet'!$A$114&gt;35,BY131+BX132-CG131,IF(A132&lt;'Données projet'!$A$114,$BV$205^A132,IF(A132='Données projet'!$A$114,'Données projet'!$B$114,BY131+BX132-CG131)))</f>
        <v>396.24000000000069</v>
      </c>
      <c r="BZ132" s="13">
        <f>BY132*VLOOKUP('Données projet'!$B$12,Paramètres!$A$1:$I$89,3,0)*VLOOKUP('Données projet'!$B$12,Paramètres!$A$1:$I$89,5,0)</f>
        <v>401.78736000000072</v>
      </c>
      <c r="CA132" s="13">
        <f t="shared" si="93"/>
        <v>92.138930952196844</v>
      </c>
      <c r="CB132" s="20">
        <f t="shared" ref="CB132:CB153" si="118">(BZ132+CA132)*0.475*44/12</f>
        <v>860.25495674174408</v>
      </c>
      <c r="CC132" s="59">
        <f t="shared" ref="CC132:CC195" si="119">CB132+(BT132+BU132)*44/12</f>
        <v>1146.6839187110445</v>
      </c>
      <c r="CD132" s="59">
        <f ca="1">AVERAGE(OFFSET($CC$3,0,0,'Données projet'!$E$12+1,1))-AVERAGE(OFFSET($H$3,0,0,'Données projet'!$E$12+1,1))</f>
        <v>679.4570479719705</v>
      </c>
      <c r="CE132" s="59">
        <f t="shared" si="94"/>
        <v>310.8252119379963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65.19484911851599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65.19484911851599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68.116989627991018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146.95547268081216</v>
      </c>
      <c r="CZ132" s="59">
        <f t="shared" si="96"/>
        <v>343.21355872318065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8.8596697088861553</v>
      </c>
      <c r="DG132" s="21">
        <f>EXP(-LN(2)/25)*DG131+(1-EXP(-LN(2)/25))/(LN(2)/25)*Calculateur!DB132*Calculateur!DD132*VLOOKUP('Données projet'!$B$13,Paramètres!$A$1:$I$89,3,0)*0.475*44/12</f>
        <v>1.0406809302886872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9.9003506391748424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68.116989627991018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68.116989627991018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68.116989627991018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68.116989627991018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68.116989627991018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3.5999999999999996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13.199999999999998</v>
      </c>
      <c r="H133" s="67">
        <f t="shared" si="110"/>
        <v>203.86666666666667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68.149655648164853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366.78396742205962</v>
      </c>
      <c r="T133" s="59">
        <f t="shared" ref="T133:T196" si="142">$T$3</f>
        <v>271.89887525994988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61.859595714701719</v>
      </c>
      <c r="AA133" s="21">
        <f>EXP(-LN(2)/25)*AA132+(1-EXP(-LN(2)/25))/(LN(2)/25)*Calculateur!V133*Calculateur!X133*VLOOKUP('Données projet'!$B$9,Paramètres!$A$1:$I$89,3,0)*0.475*44/12</f>
        <v>20.728723531821835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82.588319246523554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68.149655648164853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5.6409999999999938</v>
      </c>
      <c r="AI133" s="13">
        <f>IF('Données projet'!$A$62&gt;35,AI132+AH133-AQ132,IF(A133&lt;'Données projet'!$A$62,$AF$205^A133,IF(A133='Données projet'!$A$62,'Données projet'!$B$62,AI132+AH133-AQ132)))</f>
        <v>288.44900000000058</v>
      </c>
      <c r="AJ133" s="13">
        <f>AI133*VLOOKUP('Données projet'!$B$10,Paramètres!$A$1:$I$89,3,0)*VLOOKUP('Données projet'!$B$10,Paramètres!$A$1:$I$89,5,0)</f>
        <v>134.99413200000029</v>
      </c>
      <c r="AK133" s="13">
        <f t="shared" ref="AK133:AK153" si="143">EXP(-1.0587+0.8836*LN(AJ133)+0.284)</f>
        <v>35.14781261291612</v>
      </c>
      <c r="AL133" s="20">
        <f t="shared" si="112"/>
        <v>296.33055353416273</v>
      </c>
      <c r="AM133" s="59">
        <f t="shared" si="113"/>
        <v>582.87929091076717</v>
      </c>
      <c r="AN133" s="59">
        <f ca="1">AVERAGE(OFFSET($AM$3,0,0,'Données projet'!$E$10+1,1))-AVERAGE(OFFSET($H$3,0,0,'Données projet'!$E$10+1,1))</f>
        <v>360.04137410460385</v>
      </c>
      <c r="AO133" s="59">
        <f t="shared" ref="AO133:AO196" si="144">$AO$3</f>
        <v>287.81656468701829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104.06073746106209</v>
      </c>
      <c r="AV133" s="21">
        <f>EXP(-LN(2)/25)*AV132+(1-EXP(-LN(2)/25))/(LN(2)/25)*Calculateur!AQ133*Calculateur!AS133*VLOOKUP('Données projet'!$B$10,Paramètres!$A$1:$I$89,3,0)*0.475*44/12</f>
        <v>35.804970787509333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139.86570824857142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68.149655648164853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155.76430449447392</v>
      </c>
      <c r="BJ133" s="59">
        <f t="shared" ref="BJ133:BJ196" si="146">$BJ$3</f>
        <v>363.39275685992129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9.2839851103662561</v>
      </c>
      <c r="BQ133" s="21">
        <f>EXP(-LN(2)/25)*BQ132+(1-EXP(-LN(2)/25))/(LN(2)/25)*Calculateur!BL133*Calculateur!BN133*VLOOKUP('Données projet'!$B$11,Paramètres!$A$1:$I$89,3,0)*0.475*44/12</f>
        <v>1.0819175295097352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10.365902639875991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68.149655648164853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8.0699999999999985</v>
      </c>
      <c r="BY133" s="12">
        <f>IF('Données projet'!$A$114&gt;35,BY132+BX133-CG132,IF(A133&lt;'Données projet'!$A$114,$BV$205^A133,IF(A133='Données projet'!$A$114,'Données projet'!$B$114,BY132+BX133-CG132)))</f>
        <v>404.31000000000068</v>
      </c>
      <c r="BZ133" s="13">
        <f>BY133*VLOOKUP('Données projet'!$B$12,Paramètres!$A$1:$I$89,3,0)*VLOOKUP('Données projet'!$B$12,Paramètres!$A$1:$I$89,5,0)</f>
        <v>409.9703400000007</v>
      </c>
      <c r="CA133" s="13">
        <f t="shared" ref="CA133:CA153" si="147">EXP(-1.0587+0.8836*LN(BZ133)+0.284)</f>
        <v>93.795093175328134</v>
      </c>
      <c r="CB133" s="20">
        <f t="shared" si="118"/>
        <v>877.39146278036435</v>
      </c>
      <c r="CC133" s="59">
        <f t="shared" si="119"/>
        <v>1163.9402001569688</v>
      </c>
      <c r="CD133" s="59">
        <f ca="1">AVERAGE(OFFSET($CC$3,0,0,'Données projet'!$E$12+1,1))-AVERAGE(OFFSET($H$3,0,0,'Données projet'!$E$12+1,1))</f>
        <v>679.4570479719705</v>
      </c>
      <c r="CE133" s="59">
        <f t="shared" ref="CE133:CE196" si="148">$CE$3</f>
        <v>310.8252119379963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63.91641789223339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63.91641789223339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68.149655648164853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146.95547268081216</v>
      </c>
      <c r="CZ133" s="59">
        <f t="shared" ref="CZ133:CZ196" si="150">$CZ$3</f>
        <v>343.21355872318065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8.6859369897598331</v>
      </c>
      <c r="DG133" s="21">
        <f>EXP(-LN(2)/25)*DG132+(1-EXP(-LN(2)/25))/(LN(2)/25)*Calculateur!DB133*Calculateur!DD133*VLOOKUP('Données projet'!$B$13,Paramètres!$A$1:$I$89,3,0)*0.475*44/12</f>
        <v>1.0122234555229115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9.6981604452827455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68.149655648164853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68.149655648164853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68.149655648164853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68.149655648164853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68.149655648164853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3.5999999999999996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13.199999999999998</v>
      </c>
      <c r="H134" s="67">
        <f t="shared" si="110"/>
        <v>203.86666666666667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68.181754985918957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366.78396742205962</v>
      </c>
      <c r="T134" s="59">
        <f t="shared" si="142"/>
        <v>271.89887525994988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60.646566773364214</v>
      </c>
      <c r="AA134" s="21">
        <f>EXP(-LN(2)/25)*AA133+(1-EXP(-LN(2)/25))/(LN(2)/25)*Calculateur!V134*Calculateur!X134*VLOOKUP('Données projet'!$B$9,Paramètres!$A$1:$I$89,3,0)*0.475*44/12</f>
        <v>20.161895496767972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80.808462270132182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68.181754985918957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>
        <f>VLOOKUP(A134,'Données projet'!$A$61:$I$81,2,0)</f>
        <v>294.08999999999997</v>
      </c>
      <c r="AG134" s="12">
        <f>VLOOKUP(A134,'Données projet'!$A$61:$I$81,9,0)</f>
        <v>5.6409999999999938</v>
      </c>
      <c r="AH134" s="12">
        <f t="array" ref="AH134">INDEX(AG:AG,MIN(IF(ISNUMBER(AG134:AG330),ROW(AG134:AG330),"")))</f>
        <v>5.6409999999999938</v>
      </c>
      <c r="AI134" s="13">
        <f>IF('Données projet'!$A$62&gt;35,AI133+AH134-AQ133,IF(A134&lt;'Données projet'!$A$62,$AF$205^A134,IF(A134='Données projet'!$A$62,'Données projet'!$B$62,AI133+AH134-AQ133)))</f>
        <v>294.0900000000006</v>
      </c>
      <c r="AJ134" s="13">
        <f>AI134*VLOOKUP('Données projet'!$B$10,Paramètres!$A$1:$I$89,3,0)*VLOOKUP('Données projet'!$B$10,Paramètres!$A$1:$I$89,5,0)</f>
        <v>137.63412000000028</v>
      </c>
      <c r="AK134" s="13">
        <f t="shared" si="143"/>
        <v>35.754479163825771</v>
      </c>
      <c r="AL134" s="20">
        <f t="shared" si="112"/>
        <v>301.9851435436637</v>
      </c>
      <c r="AM134" s="59">
        <f t="shared" si="113"/>
        <v>588.6515784920332</v>
      </c>
      <c r="AN134" s="59">
        <f ca="1">AVERAGE(OFFSET($AM$3,0,0,'Données projet'!$E$10+1,1))-AVERAGE(OFFSET($H$3,0,0,'Données projet'!$E$10+1,1))</f>
        <v>360.04137410460385</v>
      </c>
      <c r="AO134" s="59">
        <f t="shared" si="144"/>
        <v>287.81656468701829</v>
      </c>
      <c r="AP134" s="15">
        <f>IF(ISNA(VLOOKUP(A134,'Données projet'!$A$61:$I$81,3,0)),0,VLOOKUP(A134,'Données projet'!$A$61:$I$81,3,0))</f>
        <v>8</v>
      </c>
      <c r="AQ134" s="15">
        <f>IF(ISNA(VLOOKUP(A134,'Données projet'!$A$61:$I$81,4,0)),0,VLOOKUP(A134,'Données projet'!$A$61:$I$81,4,0))</f>
        <v>294.08999999999997</v>
      </c>
      <c r="AR134" s="16">
        <f>IF(ISNA(VLOOKUP(A134,'Données projet'!$A$61:$I$81,5,0)),0%,VLOOKUP(A134,'Données projet'!$A$61:$I$81,5,0)*VLOOKUP('Données projet'!$B$10,Paramètres!$A$1:$I$89,7,0))</f>
        <v>0.38500000000000001</v>
      </c>
      <c r="AS134" s="16">
        <f>IF(ISNA(VLOOKUP(A134,'Données projet'!$A$61:$I$81,6,0)),0%,VLOOKUP(A134,'Données projet'!$A$61:$I$81,6,0)*VLOOKUP('Données projet'!$B$10,Paramètres!$A$1:$I$89,7,0))</f>
        <v>0.16500000000000001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172.31367447759791</v>
      </c>
      <c r="AV134" s="21">
        <f>EXP(-LN(2)/25)*AV133+(1-EXP(-LN(2)/25))/(LN(2)/25)*Calculateur!AQ134*Calculateur!AS134*VLOOKUP('Données projet'!$B$10,Paramètres!$A$1:$I$89,3,0)*0.475*44/12</f>
        <v>64.833052962337746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237.14672743993566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68.181754985918957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155.76430449447392</v>
      </c>
      <c r="BJ134" s="59">
        <f t="shared" si="146"/>
        <v>363.39275685992129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9.1019318250237493</v>
      </c>
      <c r="BQ134" s="21">
        <f>EXP(-LN(2)/25)*BQ133+(1-EXP(-LN(2)/25))/(LN(2)/25)*Calculateur!BL134*Calculateur!BN134*VLOOKUP('Données projet'!$B$11,Paramètres!$A$1:$I$89,3,0)*0.475*44/12</f>
        <v>1.0523324377697214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10.15426426279347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68.181754985918957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8.0699999999999985</v>
      </c>
      <c r="BY134" s="12">
        <f>IF('Données projet'!$A$114&gt;35,BY133+BX134-CG133,IF(A134&lt;'Données projet'!$A$114,$BV$205^A134,IF(A134='Données projet'!$A$114,'Données projet'!$B$114,BY133+BX134-CG133)))</f>
        <v>412.38000000000068</v>
      </c>
      <c r="BZ134" s="13">
        <f>BY134*VLOOKUP('Données projet'!$B$12,Paramètres!$A$1:$I$89,3,0)*VLOOKUP('Données projet'!$B$12,Paramètres!$A$1:$I$89,5,0)</f>
        <v>418.15332000000069</v>
      </c>
      <c r="CA134" s="13">
        <f t="shared" si="147"/>
        <v>95.44741177370463</v>
      </c>
      <c r="CB134" s="20">
        <f t="shared" si="118"/>
        <v>894.52127450587011</v>
      </c>
      <c r="CC134" s="59">
        <f t="shared" si="119"/>
        <v>1181.1877094542397</v>
      </c>
      <c r="CD134" s="59">
        <f ca="1">AVERAGE(OFFSET($CC$3,0,0,'Données projet'!$E$12+1,1))-AVERAGE(OFFSET($H$3,0,0,'Données projet'!$E$12+1,1))</f>
        <v>679.4570479719705</v>
      </c>
      <c r="CE134" s="59">
        <f t="shared" si="148"/>
        <v>310.8252119379963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62.663055922532145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62.663055922532145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68.181754985918957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146.95547268081216</v>
      </c>
      <c r="CZ134" s="59">
        <f t="shared" si="150"/>
        <v>343.21355872318065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8.5156110632890822</v>
      </c>
      <c r="DG134" s="21">
        <f>EXP(-LN(2)/25)*DG133+(1-EXP(-LN(2)/25))/(LN(2)/25)*Calculateur!DB134*Calculateur!DD134*VLOOKUP('Données projet'!$B$13,Paramètres!$A$1:$I$89,3,0)*0.475*44/12</f>
        <v>0.98454415190111944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9.5001552151902011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68.181754985918957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68.181754985918957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68.181754985918957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68.181754985918957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68.181754985918957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3.5999999999999996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13.199999999999998</v>
      </c>
      <c r="H135" s="67">
        <f t="shared" si="110"/>
        <v>203.86666666666667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68.213297471926381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366.78396742205962</v>
      </c>
      <c r="T135" s="59">
        <f t="shared" si="142"/>
        <v>271.89887525994988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59.457324589691737</v>
      </c>
      <c r="AA135" s="21">
        <f>EXP(-LN(2)/25)*AA134+(1-EXP(-LN(2)/25))/(LN(2)/25)*Calculateur!V135*Calculateur!X135*VLOOKUP('Données projet'!$B$9,Paramètres!$A$1:$I$89,3,0)*0.475*44/12</f>
        <v>19.610567404140848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79.067891993832589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68.213297471926381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6.2527760746888816E-13</v>
      </c>
      <c r="AJ135" s="13">
        <f>AI135*VLOOKUP('Données projet'!$B$10,Paramètres!$A$1:$I$89,3,0)*VLOOKUP('Données projet'!$B$10,Paramètres!$A$1:$I$89,5,0)</f>
        <v>2.9262992029543964E-13</v>
      </c>
      <c r="AK135" s="13">
        <f t="shared" si="143"/>
        <v>3.8796387982050903E-12</v>
      </c>
      <c r="AL135" s="20">
        <f t="shared" si="112"/>
        <v>7.2667013513884219E-12</v>
      </c>
      <c r="AM135" s="59">
        <f t="shared" si="113"/>
        <v>286.78209073040404</v>
      </c>
      <c r="AN135" s="59">
        <f ca="1">AVERAGE(OFFSET($AM$3,0,0,'Données projet'!$E$10+1,1))-AVERAGE(OFFSET($H$3,0,0,'Données projet'!$E$10+1,1))</f>
        <v>360.04137410460385</v>
      </c>
      <c r="AO135" s="59">
        <f t="shared" si="144"/>
        <v>287.81656468701829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168.93470842205579</v>
      </c>
      <c r="AV135" s="21">
        <f>EXP(-LN(2)/25)*AV134+(1-EXP(-LN(2)/25))/(LN(2)/25)*Calculateur!AQ135*Calculateur!AS135*VLOOKUP('Données projet'!$B$10,Paramètres!$A$1:$I$89,3,0)*0.475*44/12</f>
        <v>63.060189719660542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231.99489814171633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68.213297471926381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155.76430449447392</v>
      </c>
      <c r="BJ135" s="59">
        <f t="shared" si="146"/>
        <v>363.39275685992129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8.9234484935652691</v>
      </c>
      <c r="BQ135" s="21">
        <f>EXP(-LN(2)/25)*BQ134+(1-EXP(-LN(2)/25))/(LN(2)/25)*Calculateur!BL135*Calculateur!BN135*VLOOKUP('Données projet'!$B$11,Paramètres!$A$1:$I$89,3,0)*0.475*44/12</f>
        <v>1.0235563519191506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9.94700484548442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68.213297471926381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8.0699999999999985</v>
      </c>
      <c r="BY135" s="12">
        <f>IF('Données projet'!$A$114&gt;35,BY134+BX135-CG134,IF(A135&lt;'Données projet'!$A$114,$BV$205^A135,IF(A135='Données projet'!$A$114,'Données projet'!$B$114,BY134+BX135-CG134)))</f>
        <v>420.45000000000067</v>
      </c>
      <c r="BZ135" s="13">
        <f>BY135*VLOOKUP('Données projet'!$B$12,Paramètres!$A$1:$I$89,3,0)*VLOOKUP('Données projet'!$B$12,Paramètres!$A$1:$I$89,5,0)</f>
        <v>426.33630000000073</v>
      </c>
      <c r="CA135" s="13">
        <f t="shared" si="147"/>
        <v>97.095970634999375</v>
      </c>
      <c r="CB135" s="20">
        <f t="shared" si="118"/>
        <v>911.64453802262517</v>
      </c>
      <c r="CC135" s="59">
        <f t="shared" si="119"/>
        <v>1198.426628753022</v>
      </c>
      <c r="CD135" s="59">
        <f ca="1">AVERAGE(OFFSET($CC$3,0,0,'Données projet'!$E$12+1,1))-AVERAGE(OFFSET($H$3,0,0,'Données projet'!$E$12+1,1))</f>
        <v>679.4570479719705</v>
      </c>
      <c r="CE135" s="59">
        <f t="shared" si="148"/>
        <v>310.8252119379963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61.43427161658142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61.43427161658142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68.213297471926381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146.95547268081216</v>
      </c>
      <c r="CZ135" s="59">
        <f t="shared" si="150"/>
        <v>343.21355872318065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8.3486251243478655</v>
      </c>
      <c r="DG135" s="21">
        <f>EXP(-LN(2)/25)*DG134+(1-EXP(-LN(2)/25))/(LN(2)/25)*Calculateur!DB135*Calculateur!DD135*VLOOKUP('Données projet'!$B$13,Paramètres!$A$1:$I$89,3,0)*0.475*44/12</f>
        <v>0.95762174029245661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9.3062468646403218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68.213297471926381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68.213297471926381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68.213297471926381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68.213297471926381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68.213297471926381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3.5999999999999996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13.199999999999998</v>
      </c>
      <c r="H136" s="67">
        <f t="shared" si="110"/>
        <v>203.86666666666667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68.244292766320015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366.78396742205962</v>
      </c>
      <c r="T136" s="59">
        <f t="shared" si="142"/>
        <v>271.89887525994988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58.291402719874974</v>
      </c>
      <c r="AA136" s="21">
        <f>EXP(-LN(2)/25)*AA135+(1-EXP(-LN(2)/25))/(LN(2)/25)*Calculateur!V136*Calculateur!X136*VLOOKUP('Données projet'!$B$9,Paramètres!$A$1:$I$89,3,0)*0.475*44/12</f>
        <v>19.074315407199698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77.365718127074672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68.244292766320015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6.2527760746888816E-13</v>
      </c>
      <c r="AJ136" s="13">
        <f>AI136*VLOOKUP('Données projet'!$B$10,Paramètres!$A$1:$I$89,3,0)*VLOOKUP('Données projet'!$B$10,Paramètres!$A$1:$I$89,5,0)</f>
        <v>2.9262992029543964E-13</v>
      </c>
      <c r="AK136" s="13">
        <f t="shared" si="143"/>
        <v>3.8796387982050903E-12</v>
      </c>
      <c r="AL136" s="20">
        <f t="shared" si="112"/>
        <v>7.2667013513884219E-12</v>
      </c>
      <c r="AM136" s="59">
        <f t="shared" si="113"/>
        <v>286.89574014318066</v>
      </c>
      <c r="AN136" s="59">
        <f ca="1">AVERAGE(OFFSET($AM$3,0,0,'Données projet'!$E$10+1,1))-AVERAGE(OFFSET($H$3,0,0,'Données projet'!$E$10+1,1))</f>
        <v>360.04137410460385</v>
      </c>
      <c r="AO136" s="59">
        <f t="shared" si="144"/>
        <v>287.81656468701829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165.62200182989707</v>
      </c>
      <c r="AV136" s="21">
        <f>EXP(-LN(2)/25)*AV135+(1-EXP(-LN(2)/25))/(LN(2)/25)*Calculateur!AQ136*Calculateur!AS136*VLOOKUP('Données projet'!$B$10,Paramètres!$A$1:$I$89,3,0)*0.475*44/12</f>
        <v>61.335805515585172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226.95780734548225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68.244292766320015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155.76430449447392</v>
      </c>
      <c r="BJ136" s="59">
        <f t="shared" si="146"/>
        <v>363.39275685992129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8.7484651113726066</v>
      </c>
      <c r="BQ136" s="21">
        <f>EXP(-LN(2)/25)*BQ135+(1-EXP(-LN(2)/25))/(LN(2)/25)*Calculateur!BL136*Calculateur!BN136*VLOOKUP('Données projet'!$B$11,Paramètres!$A$1:$I$89,3,0)*0.475*44/12</f>
        <v>0.99556714964943227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9.7440322610220385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68.244292766320015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8.0699999999999985</v>
      </c>
      <c r="BY136" s="12">
        <f>IF('Données projet'!$A$114&gt;35,BY135+BX136-CG135,IF(A136&lt;'Données projet'!$A$114,$BV$205^A136,IF(A136='Données projet'!$A$114,'Données projet'!$B$114,BY135+BX136-CG135)))</f>
        <v>428.52000000000066</v>
      </c>
      <c r="BZ136" s="13">
        <f>BY136*VLOOKUP('Données projet'!$B$12,Paramètres!$A$1:$I$89,3,0)*VLOOKUP('Données projet'!$B$12,Paramètres!$A$1:$I$89,5,0)</f>
        <v>434.51928000000072</v>
      </c>
      <c r="CA136" s="13">
        <f t="shared" si="147"/>
        <v>98.740850242411952</v>
      </c>
      <c r="CB136" s="20">
        <f t="shared" si="118"/>
        <v>928.76139350553524</v>
      </c>
      <c r="CC136" s="59">
        <f t="shared" si="119"/>
        <v>1215.6571336487086</v>
      </c>
      <c r="CD136" s="59">
        <f ca="1">AVERAGE(OFFSET($CC$3,0,0,'Données projet'!$E$12+1,1))-AVERAGE(OFFSET($H$3,0,0,'Données projet'!$E$12+1,1))</f>
        <v>679.4570479719705</v>
      </c>
      <c r="CE136" s="59">
        <f t="shared" si="148"/>
        <v>310.8252119379963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60.22958302138597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60.22958302138597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68.244292766320015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146.95547268081216</v>
      </c>
      <c r="CZ136" s="59">
        <f t="shared" si="150"/>
        <v>343.21355872318065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8.1849136778179208</v>
      </c>
      <c r="DG136" s="21">
        <f>EXP(-LN(2)/25)*DG135+(1-EXP(-LN(2)/25))/(LN(2)/25)*Calculateur!DB136*Calculateur!DD136*VLOOKUP('Données projet'!$B$13,Paramètres!$A$1:$I$89,3,0)*0.475*44/12</f>
        <v>0.93143552344502079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9.1163492012629419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68.244292766320015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68.244292766320015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68.244292766320015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68.244292766320015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68.244292766320015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3.5999999999999996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13.199999999999998</v>
      </c>
      <c r="H137" s="67">
        <f t="shared" si="110"/>
        <v>203.86666666666667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68.27475036165103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366.78396742205962</v>
      </c>
      <c r="T137" s="59">
        <f t="shared" si="142"/>
        <v>271.89887525994988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57.148343866783193</v>
      </c>
      <c r="AA137" s="21">
        <f>EXP(-LN(2)/25)*AA136+(1-EXP(-LN(2)/25))/(LN(2)/25)*Calculateur!V137*Calculateur!X137*VLOOKUP('Données projet'!$B$9,Paramètres!$A$1:$I$89,3,0)*0.475*44/12</f>
        <v>18.552727249315168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75.701071116098362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68.27475036165103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6.2527760746888816E-13</v>
      </c>
      <c r="AJ137" s="13">
        <f>AI137*VLOOKUP('Données projet'!$B$10,Paramètres!$A$1:$I$89,3,0)*VLOOKUP('Données projet'!$B$10,Paramètres!$A$1:$I$89,5,0)</f>
        <v>2.9262992029543964E-13</v>
      </c>
      <c r="AK137" s="13">
        <f t="shared" si="143"/>
        <v>3.8796387982050903E-12</v>
      </c>
      <c r="AL137" s="20">
        <f t="shared" si="112"/>
        <v>7.2667013513884219E-12</v>
      </c>
      <c r="AM137" s="59">
        <f t="shared" si="113"/>
        <v>287.00741799272771</v>
      </c>
      <c r="AN137" s="59">
        <f ca="1">AVERAGE(OFFSET($AM$3,0,0,'Données projet'!$E$10+1,1))-AVERAGE(OFFSET($H$3,0,0,'Données projet'!$E$10+1,1))</f>
        <v>360.04137410460385</v>
      </c>
      <c r="AO137" s="59">
        <f t="shared" si="144"/>
        <v>287.81656468701829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162.37425539345907</v>
      </c>
      <c r="AV137" s="21">
        <f>EXP(-LN(2)/25)*AV136+(1-EXP(-LN(2)/25))/(LN(2)/25)*Calculateur!AQ137*Calculateur!AS137*VLOOKUP('Données projet'!$B$10,Paramètres!$A$1:$I$89,3,0)*0.475*44/12</f>
        <v>59.658574688251669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222.03283008171073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68.27475036165103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155.76430449447392</v>
      </c>
      <c r="BJ137" s="59">
        <f t="shared" si="146"/>
        <v>363.39275685992129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8.5769130465754184</v>
      </c>
      <c r="BQ137" s="21">
        <f>EXP(-LN(2)/25)*BQ136+(1-EXP(-LN(2)/25))/(LN(2)/25)*Calculateur!BL137*Calculateur!BN137*VLOOKUP('Données projet'!$B$11,Paramètres!$A$1:$I$89,3,0)*0.475*44/12</f>
        <v>0.96834331358766756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9.5452563601630853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68.27475036165103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>
        <f>VLOOKUP(A137,'Données projet'!$A$113:$I$133,2,0)</f>
        <v>436.59</v>
      </c>
      <c r="BW137" s="12">
        <f>VLOOKUP(A137,'Données projet'!$A$113:$I$133,9,0)</f>
        <v>8.0699999999999985</v>
      </c>
      <c r="BX137" s="12">
        <f t="array" ref="BX137">INDEX(BW:BW,MIN(IF(ISNUMBER(BW137:BW333),ROW(BW137:BW333),"")))</f>
        <v>8.0699999999999985</v>
      </c>
      <c r="BY137" s="12">
        <f>IF('Données projet'!$A$114&gt;35,BY136+BX137-CG136,IF(A137&lt;'Données projet'!$A$114,$BV$205^A137,IF(A137='Données projet'!$A$114,'Données projet'!$B$114,BY136+BX137-CG136)))</f>
        <v>436.59000000000066</v>
      </c>
      <c r="BZ137" s="13">
        <f>BY137*VLOOKUP('Données projet'!$B$12,Paramètres!$A$1:$I$89,3,0)*VLOOKUP('Données projet'!$B$12,Paramètres!$A$1:$I$89,5,0)</f>
        <v>442.70226000000071</v>
      </c>
      <c r="CA137" s="13">
        <f t="shared" si="147"/>
        <v>100.38212787430139</v>
      </c>
      <c r="CB137" s="20">
        <f t="shared" si="118"/>
        <v>945.87197554774275</v>
      </c>
      <c r="CC137" s="59">
        <f t="shared" si="119"/>
        <v>1232.8793935404633</v>
      </c>
      <c r="CD137" s="59">
        <f ca="1">AVERAGE(OFFSET($CC$3,0,0,'Données projet'!$E$12+1,1))-AVERAGE(OFFSET($H$3,0,0,'Données projet'!$E$12+1,1))</f>
        <v>679.4570479719705</v>
      </c>
      <c r="CE137" s="59">
        <f t="shared" si="148"/>
        <v>310.8252119379963</v>
      </c>
      <c r="CF137" s="15">
        <f>IF(ISNA(VLOOKUP(A137,'Données projet'!$A$113:$I$133,3,0)),0,VLOOKUP(A137,'Données projet'!$A$113:$I$133,3,0))</f>
        <v>11</v>
      </c>
      <c r="CG137" s="15">
        <f>IF(ISNA(VLOOKUP(A137,'Données projet'!$A$113:$I$133,4,0)),0,VLOOKUP(A137,'Données projet'!$A$113:$I$133,4,0))</f>
        <v>54.95</v>
      </c>
      <c r="CH137" s="16">
        <f>IF(ISNA(VLOOKUP(A137,'Données projet'!$A$113:$I$133,5,0)),0%,VLOOKUP(A137,'Données projet'!$A$113:$I$133,5,0)*VLOOKUP('Données projet'!$B$12,Paramètres!$A$1:$I$89,7,0))</f>
        <v>0.25800000000000001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74.940294850078871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74.940294850078871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68.27475036165103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146.95547268081216</v>
      </c>
      <c r="CZ137" s="59">
        <f t="shared" si="150"/>
        <v>343.21355872318065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8.0244125129003052</v>
      </c>
      <c r="DG137" s="21">
        <f>EXP(-LN(2)/25)*DG136+(1-EXP(-LN(2)/25))/(LN(2)/25)*Calculateur!DB137*Calculateur!DD137*VLOOKUP('Données projet'!$B$13,Paramètres!$A$1:$I$89,3,0)*0.475*44/12</f>
        <v>0.90596537007435129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8.930377882974657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68.27475036165103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68.27475036165103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68.27475036165103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68.27475036165103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68.27475036165103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3.5999999999999996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13.199999999999998</v>
      </c>
      <c r="H138" s="67">
        <f t="shared" si="110"/>
        <v>203.86666666666667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68.304679585796009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366.78396742205962</v>
      </c>
      <c r="T138" s="59">
        <f t="shared" si="142"/>
        <v>271.89887525994988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56.027699700603485</v>
      </c>
      <c r="AA138" s="21">
        <f>EXP(-LN(2)/25)*AA137+(1-EXP(-LN(2)/25))/(LN(2)/25)*Calculateur!V138*Calculateur!X138*VLOOKUP('Données projet'!$B$9,Paramètres!$A$1:$I$89,3,0)*0.475*44/12</f>
        <v>18.045401947037121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74.073101647640613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68.304679585796009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6.2527760746888816E-13</v>
      </c>
      <c r="AJ138" s="13">
        <f>AI138*VLOOKUP('Données projet'!$B$10,Paramètres!$A$1:$I$89,3,0)*VLOOKUP('Données projet'!$B$10,Paramètres!$A$1:$I$89,5,0)</f>
        <v>2.9262992029543964E-13</v>
      </c>
      <c r="AK138" s="13">
        <f t="shared" si="143"/>
        <v>3.8796387982050903E-12</v>
      </c>
      <c r="AL138" s="20">
        <f t="shared" si="112"/>
        <v>7.2667013513884219E-12</v>
      </c>
      <c r="AM138" s="59">
        <f t="shared" si="113"/>
        <v>287.11715848125931</v>
      </c>
      <c r="AN138" s="59">
        <f ca="1">AVERAGE(OFFSET($AM$3,0,0,'Données projet'!$E$10+1,1))-AVERAGE(OFFSET($H$3,0,0,'Données projet'!$E$10+1,1))</f>
        <v>360.04137410460385</v>
      </c>
      <c r="AO138" s="59">
        <f t="shared" si="144"/>
        <v>287.81656468701829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159.19019528370987</v>
      </c>
      <c r="AV138" s="21">
        <f>EXP(-LN(2)/25)*AV137+(1-EXP(-LN(2)/25))/(LN(2)/25)*Calculateur!AQ138*Calculateur!AS138*VLOOKUP('Données projet'!$B$10,Paramètres!$A$1:$I$89,3,0)*0.475*44/12</f>
        <v>58.027207826093338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217.2174031098032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68.304679585796009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155.76430449447392</v>
      </c>
      <c r="BJ138" s="59">
        <f t="shared" si="146"/>
        <v>363.39275685992129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8.4087250131324751</v>
      </c>
      <c r="BQ138" s="21">
        <f>EXP(-LN(2)/25)*BQ137+(1-EXP(-LN(2)/25))/(LN(2)/25)*Calculateur!BL138*Calculateur!BN138*VLOOKUP('Données projet'!$B$11,Paramètres!$A$1:$I$89,3,0)*0.475*44/12</f>
        <v>0.94186391475465114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9.3505889278871255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68.304679585796009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8.1590000000000025</v>
      </c>
      <c r="BY138" s="12">
        <f>IF('Données projet'!$A$114&gt;35,BY137+BX138-CG137,IF(A138&lt;'Données projet'!$A$114,$BV$205^A138,IF(A138='Données projet'!$A$114,'Données projet'!$B$114,BY137+BX138-CG137)))</f>
        <v>389.79900000000066</v>
      </c>
      <c r="BZ138" s="13">
        <f>BY138*VLOOKUP('Données projet'!$B$12,Paramètres!$A$1:$I$89,3,0)*VLOOKUP('Données projet'!$B$12,Paramètres!$A$1:$I$89,5,0)</f>
        <v>395.2561860000007</v>
      </c>
      <c r="CA138" s="13">
        <f t="shared" si="147"/>
        <v>90.814262971847356</v>
      </c>
      <c r="CB138" s="20">
        <f t="shared" si="118"/>
        <v>846.57269862596866</v>
      </c>
      <c r="CC138" s="59">
        <f t="shared" si="119"/>
        <v>1133.6898571072206</v>
      </c>
      <c r="CD138" s="59">
        <f ca="1">AVERAGE(OFFSET($CC$3,0,0,'Données projet'!$E$12+1,1))-AVERAGE(OFFSET($H$3,0,0,'Données projet'!$E$12+1,1))</f>
        <v>679.4570479719705</v>
      </c>
      <c r="CE138" s="59">
        <f t="shared" si="148"/>
        <v>310.8252119379963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73.47076137713529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73.47076137713529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68.304679585796009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146.95547268081216</v>
      </c>
      <c r="CZ138" s="59">
        <f t="shared" si="150"/>
        <v>343.21355872318065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7.8670586779306806</v>
      </c>
      <c r="DG138" s="21">
        <f>EXP(-LN(2)/25)*DG137+(1-EXP(-LN(2)/25))/(LN(2)/25)*Calculateur!DB138*Calculateur!DD138*VLOOKUP('Données projet'!$B$13,Paramètres!$A$1:$I$89,3,0)*0.475*44/12</f>
        <v>0.88119169938701991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8.7482503773177012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68.304679585796009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68.304679585796009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68.304679585796009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68.304679585796009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68.304679585796009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3.5999999999999996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13.199999999999998</v>
      </c>
      <c r="H139" s="67">
        <f t="shared" si="110"/>
        <v>203.86666666666667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68.334089604813826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366.78396742205962</v>
      </c>
      <c r="T139" s="59">
        <f t="shared" si="142"/>
        <v>271.89887525994988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54.929030682997116</v>
      </c>
      <c r="AA139" s="21">
        <f>EXP(-LN(2)/25)*AA138+(1-EXP(-LN(2)/25))/(LN(2)/25)*Calculateur!V139*Calculateur!X139*VLOOKUP('Données projet'!$B$9,Paramètres!$A$1:$I$89,3,0)*0.475*44/12</f>
        <v>17.551949481828945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72.480980164826065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68.334089604813826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6.2527760746888816E-13</v>
      </c>
      <c r="AJ139" s="13">
        <f>AI139*VLOOKUP('Données projet'!$B$10,Paramètres!$A$1:$I$89,3,0)*VLOOKUP('Données projet'!$B$10,Paramètres!$A$1:$I$89,5,0)</f>
        <v>2.9262992029543964E-13</v>
      </c>
      <c r="AK139" s="13">
        <f t="shared" si="143"/>
        <v>3.8796387982050903E-12</v>
      </c>
      <c r="AL139" s="20">
        <f t="shared" si="112"/>
        <v>7.2667013513884219E-12</v>
      </c>
      <c r="AM139" s="59">
        <f t="shared" si="113"/>
        <v>287.22499521765798</v>
      </c>
      <c r="AN139" s="59">
        <f ca="1">AVERAGE(OFFSET($AM$3,0,0,'Données projet'!$E$10+1,1))-AVERAGE(OFFSET($H$3,0,0,'Données projet'!$E$10+1,1))</f>
        <v>360.04137410460385</v>
      </c>
      <c r="AO139" s="59">
        <f t="shared" si="144"/>
        <v>287.81656468701829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156.06857265062797</v>
      </c>
      <c r="AV139" s="21">
        <f>EXP(-LN(2)/25)*AV138+(1-EXP(-LN(2)/25))/(LN(2)/25)*Calculateur!AQ139*Calculateur!AS139*VLOOKUP('Données projet'!$B$10,Paramètres!$A$1:$I$89,3,0)*0.475*44/12</f>
        <v>56.440450776570579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212.50902342719854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68.334089604813826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155.76430449447392</v>
      </c>
      <c r="BJ139" s="59">
        <f t="shared" si="146"/>
        <v>363.39275685992129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8.2438350444407771</v>
      </c>
      <c r="BQ139" s="21">
        <f>EXP(-LN(2)/25)*BQ138+(1-EXP(-LN(2)/25))/(LN(2)/25)*Calculateur!BL139*Calculateur!BN139*VLOOKUP('Données projet'!$B$11,Paramètres!$A$1:$I$89,3,0)*0.475*44/12</f>
        <v>0.91610859647521459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9.1599436409159924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68.334089604813826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8.1590000000000025</v>
      </c>
      <c r="BY139" s="12">
        <f>IF('Données projet'!$A$114&gt;35,BY138+BX139-CG138,IF(A139&lt;'Données projet'!$A$114,$BV$205^A139,IF(A139='Données projet'!$A$114,'Données projet'!$B$114,BY138+BX139-CG138)))</f>
        <v>397.95800000000065</v>
      </c>
      <c r="BZ139" s="13">
        <f>BY139*VLOOKUP('Données projet'!$B$12,Paramètres!$A$1:$I$89,3,0)*VLOOKUP('Données projet'!$B$12,Paramètres!$A$1:$I$89,5,0)</f>
        <v>403.52941200000066</v>
      </c>
      <c r="CA139" s="13">
        <f t="shared" si="147"/>
        <v>92.491833093116057</v>
      </c>
      <c r="CB139" s="20">
        <f t="shared" si="118"/>
        <v>863.90366853717831</v>
      </c>
      <c r="CC139" s="59">
        <f t="shared" si="119"/>
        <v>1151.1286637548289</v>
      </c>
      <c r="CD139" s="59">
        <f ca="1">AVERAGE(OFFSET($CC$3,0,0,'Données projet'!$E$12+1,1))-AVERAGE(OFFSET($H$3,0,0,'Données projet'!$E$12+1,1))</f>
        <v>679.4570479719705</v>
      </c>
      <c r="CE139" s="59">
        <f t="shared" si="148"/>
        <v>310.8252119379963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72.030044559269214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72.030044559269214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68.334089604813826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146.95547268081216</v>
      </c>
      <c r="CZ139" s="59">
        <f t="shared" si="150"/>
        <v>343.21355872318065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7.7127904556884479</v>
      </c>
      <c r="DG139" s="21">
        <f>EXP(-LN(2)/25)*DG138+(1-EXP(-LN(2)/25))/(LN(2)/25)*Calculateur!DB139*Calculateur!DD139*VLOOKUP('Données projet'!$B$13,Paramètres!$A$1:$I$89,3,0)*0.475*44/12</f>
        <v>0.85709546602742437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8.5698859217158727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68.334089604813826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68.334089604813826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68.334089604813826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68.334089604813826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68.334089604813826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3.5999999999999996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13.199999999999998</v>
      </c>
      <c r="H140" s="67">
        <f t="shared" si="110"/>
        <v>203.86666666666667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68.362989425752616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366.78396742205962</v>
      </c>
      <c r="T140" s="59">
        <f t="shared" si="142"/>
        <v>271.89887525994988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53.851905894704075</v>
      </c>
      <c r="AA140" s="21">
        <f>EXP(-LN(2)/25)*AA139+(1-EXP(-LN(2)/25))/(LN(2)/25)*Calculateur!V140*Calculateur!X140*VLOOKUP('Données projet'!$B$9,Paramètres!$A$1:$I$89,3,0)*0.475*44/12</f>
        <v>17.071990500231426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70.923896394935497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68.362989425752616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6.2527760746888816E-13</v>
      </c>
      <c r="AJ140" s="13">
        <f>AI140*VLOOKUP('Données projet'!$B$10,Paramètres!$A$1:$I$89,3,0)*VLOOKUP('Données projet'!$B$10,Paramètres!$A$1:$I$89,5,0)</f>
        <v>2.9262992029543964E-13</v>
      </c>
      <c r="AK140" s="13">
        <f t="shared" si="143"/>
        <v>3.8796387982050903E-12</v>
      </c>
      <c r="AL140" s="20">
        <f t="shared" si="112"/>
        <v>7.2667013513884219E-12</v>
      </c>
      <c r="AM140" s="59">
        <f t="shared" si="113"/>
        <v>287.33096122776686</v>
      </c>
      <c r="AN140" s="59">
        <f ca="1">AVERAGE(OFFSET($AM$3,0,0,'Données projet'!$E$10+1,1))-AVERAGE(OFFSET($H$3,0,0,'Données projet'!$E$10+1,1))</f>
        <v>360.04137410460385</v>
      </c>
      <c r="AO140" s="59">
        <f t="shared" si="144"/>
        <v>287.81656468701829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153.00816313337901</v>
      </c>
      <c r="AV140" s="21">
        <f>EXP(-LN(2)/25)*AV139+(1-EXP(-LN(2)/25))/(LN(2)/25)*Calculateur!AQ140*Calculateur!AS140*VLOOKUP('Données projet'!$B$10,Paramètres!$A$1:$I$89,3,0)*0.475*44/12</f>
        <v>54.897083682010944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207.90524681538994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68.362989425752616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155.76430449447392</v>
      </c>
      <c r="BJ140" s="59">
        <f t="shared" si="146"/>
        <v>363.39275685992129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8.0821784674621728</v>
      </c>
      <c r="BQ140" s="21">
        <f>EXP(-LN(2)/25)*BQ139+(1-EXP(-LN(2)/25))/(LN(2)/25)*Calculateur!BL140*Calculateur!BN140*VLOOKUP('Données projet'!$B$11,Paramètres!$A$1:$I$89,3,0)*0.475*44/12</f>
        <v>0.89105755872854253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8.9732360261907154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68.362989425752616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8.1590000000000025</v>
      </c>
      <c r="BY140" s="12">
        <f>IF('Données projet'!$A$114&gt;35,BY139+BX140-CG139,IF(A140&lt;'Données projet'!$A$114,$BV$205^A140,IF(A140='Données projet'!$A$114,'Données projet'!$B$114,BY139+BX140-CG139)))</f>
        <v>406.11700000000064</v>
      </c>
      <c r="BZ140" s="13">
        <f>BY140*VLOOKUP('Données projet'!$B$12,Paramètres!$A$1:$I$89,3,0)*VLOOKUP('Données projet'!$B$12,Paramètres!$A$1:$I$89,5,0)</f>
        <v>411.80263800000068</v>
      </c>
      <c r="CA140" s="13">
        <f t="shared" si="147"/>
        <v>94.165404251164176</v>
      </c>
      <c r="CB140" s="20">
        <f t="shared" si="118"/>
        <v>881.22767358744534</v>
      </c>
      <c r="CC140" s="59">
        <f t="shared" si="119"/>
        <v>1168.5586348152049</v>
      </c>
      <c r="CD140" s="59">
        <f ca="1">AVERAGE(OFFSET($CC$3,0,0,'Données projet'!$E$12+1,1))-AVERAGE(OFFSET($H$3,0,0,'Données projet'!$E$12+1,1))</f>
        <v>679.4570479719705</v>
      </c>
      <c r="CE140" s="59">
        <f t="shared" si="148"/>
        <v>310.8252119379963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70.617579319451011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70.617579319451011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68.362989425752616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146.95547268081216</v>
      </c>
      <c r="CZ140" s="59">
        <f t="shared" si="150"/>
        <v>343.21355872318065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7.5615473391900609</v>
      </c>
      <c r="DG140" s="21">
        <f>EXP(-LN(2)/25)*DG139+(1-EXP(-LN(2)/25))/(LN(2)/25)*Calculateur!DB140*Calculateur!DD140*VLOOKUP('Données projet'!$B$13,Paramètres!$A$1:$I$89,3,0)*0.475*44/12</f>
        <v>0.83365814543621286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8.395205484626274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68.362989425752616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68.362989425752616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68.362989425752616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68.362989425752616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68.362989425752616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3.5999999999999996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13.199999999999998</v>
      </c>
      <c r="H141" s="67">
        <f t="shared" si="110"/>
        <v>203.86666666666667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68.391387899408443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366.78396742205962</v>
      </c>
      <c r="T141" s="59">
        <f t="shared" si="142"/>
        <v>271.89887525994988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52.795902866528209</v>
      </c>
      <c r="AA141" s="21">
        <f>EXP(-LN(2)/25)*AA140+(1-EXP(-LN(2)/25))/(LN(2)/25)*Calculateur!V141*Calculateur!X141*VLOOKUP('Données projet'!$B$9,Paramètres!$A$1:$I$89,3,0)*0.475*44/12</f>
        <v>16.605156022225636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69.401058888753852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68.391387899408443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6.2527760746888816E-13</v>
      </c>
      <c r="AJ141" s="13">
        <f>AI141*VLOOKUP('Données projet'!$B$10,Paramètres!$A$1:$I$89,3,0)*VLOOKUP('Données projet'!$B$10,Paramètres!$A$1:$I$89,5,0)</f>
        <v>2.9262992029543964E-13</v>
      </c>
      <c r="AK141" s="13">
        <f t="shared" si="143"/>
        <v>3.8796387982050903E-12</v>
      </c>
      <c r="AL141" s="20">
        <f t="shared" si="112"/>
        <v>7.2667013513884219E-12</v>
      </c>
      <c r="AM141" s="59">
        <f t="shared" si="113"/>
        <v>287.43508896450493</v>
      </c>
      <c r="AN141" s="59">
        <f ca="1">AVERAGE(OFFSET($AM$3,0,0,'Données projet'!$E$10+1,1))-AVERAGE(OFFSET($H$3,0,0,'Données projet'!$E$10+1,1))</f>
        <v>360.04137410460385</v>
      </c>
      <c r="AO141" s="59">
        <f t="shared" si="144"/>
        <v>287.81656468701829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150.00776638009782</v>
      </c>
      <c r="AV141" s="21">
        <f>EXP(-LN(2)/25)*AV140+(1-EXP(-LN(2)/25))/(LN(2)/25)*Calculateur!AQ141*Calculateur!AS141*VLOOKUP('Données projet'!$B$10,Paramètres!$A$1:$I$89,3,0)*0.475*44/12</f>
        <v>53.395920041814193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203.40368642191203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68.391387899408443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155.76430449447392</v>
      </c>
      <c r="BJ141" s="59">
        <f t="shared" si="146"/>
        <v>363.39275685992129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7.923691877357343</v>
      </c>
      <c r="BQ141" s="21">
        <f>EXP(-LN(2)/25)*BQ140+(1-EXP(-LN(2)/25))/(LN(2)/25)*Calculateur!BL141*Calculateur!BN141*VLOOKUP('Données projet'!$B$11,Paramètres!$A$1:$I$89,3,0)*0.475*44/12</f>
        <v>0.86669154292643003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8.7903834202837725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68.391387899408443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8.1590000000000025</v>
      </c>
      <c r="BY141" s="12">
        <f>IF('Données projet'!$A$114&gt;35,BY140+BX141-CG140,IF(A141&lt;'Données projet'!$A$114,$BV$205^A141,IF(A141='Données projet'!$A$114,'Données projet'!$B$114,BY140+BX141-CG140)))</f>
        <v>414.27600000000064</v>
      </c>
      <c r="BZ141" s="13">
        <f>BY141*VLOOKUP('Données projet'!$B$12,Paramètres!$A$1:$I$89,3,0)*VLOOKUP('Données projet'!$B$12,Paramètres!$A$1:$I$89,5,0)</f>
        <v>420.07586400000065</v>
      </c>
      <c r="CA141" s="13">
        <f t="shared" si="147"/>
        <v>95.835066045220003</v>
      </c>
      <c r="CB141" s="20">
        <f t="shared" si="118"/>
        <v>898.54486982875926</v>
      </c>
      <c r="CC141" s="59">
        <f t="shared" si="119"/>
        <v>1185.9799587932569</v>
      </c>
      <c r="CD141" s="59">
        <f ca="1">AVERAGE(OFFSET($CC$3,0,0,'Données projet'!$E$12+1,1))-AVERAGE(OFFSET($H$3,0,0,'Données projet'!$E$12+1,1))</f>
        <v>679.4570479719705</v>
      </c>
      <c r="CE141" s="59">
        <f t="shared" si="148"/>
        <v>310.8252119379963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69.232811661466911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69.232811661466911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68.391387899408443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146.95547268081216</v>
      </c>
      <c r="CZ141" s="59">
        <f t="shared" si="150"/>
        <v>343.21355872318065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7.4132700079570144</v>
      </c>
      <c r="DG141" s="21">
        <f>EXP(-LN(2)/25)*DG140+(1-EXP(-LN(2)/25))/(LN(2)/25)*Calculateur!DB141*Calculateur!DD141*VLOOKUP('Données projet'!$B$13,Paramètres!$A$1:$I$89,3,0)*0.475*44/12</f>
        <v>0.81086171960908315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8.2241317275660979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68.391387899408443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68.391387899408443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68.391387899408443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68.391387899408443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68.391387899408443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3.5999999999999996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13.199999999999998</v>
      </c>
      <c r="H142" s="67">
        <f t="shared" si="110"/>
        <v>203.86666666666667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68.419293723035821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366.78396742205962</v>
      </c>
      <c r="T142" s="59">
        <f t="shared" si="142"/>
        <v>271.89887525994988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51.760607413636627</v>
      </c>
      <c r="AA142" s="21">
        <f>EXP(-LN(2)/25)*AA141+(1-EXP(-LN(2)/25))/(LN(2)/25)*Calculateur!V142*Calculateur!X142*VLOOKUP('Données projet'!$B$9,Paramètres!$A$1:$I$89,3,0)*0.475*44/12</f>
        <v>16.151087157570672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67.911694571207306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68.419293723035821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6.2527760746888816E-13</v>
      </c>
      <c r="AJ142" s="13">
        <f>AI142*VLOOKUP('Données projet'!$B$10,Paramètres!$A$1:$I$89,3,0)*VLOOKUP('Données projet'!$B$10,Paramètres!$A$1:$I$89,5,0)</f>
        <v>2.9262992029543964E-13</v>
      </c>
      <c r="AK142" s="13">
        <f t="shared" si="143"/>
        <v>3.8796387982050903E-12</v>
      </c>
      <c r="AL142" s="20">
        <f t="shared" si="112"/>
        <v>7.2667013513884219E-12</v>
      </c>
      <c r="AM142" s="59">
        <f t="shared" si="113"/>
        <v>287.53741031780527</v>
      </c>
      <c r="AN142" s="59">
        <f ca="1">AVERAGE(OFFSET($AM$3,0,0,'Données projet'!$E$10+1,1))-AVERAGE(OFFSET($H$3,0,0,'Données projet'!$E$10+1,1))</f>
        <v>360.04137410460385</v>
      </c>
      <c r="AO142" s="59">
        <f t="shared" si="144"/>
        <v>287.81656468701829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147.06620557708715</v>
      </c>
      <c r="AV142" s="21">
        <f>EXP(-LN(2)/25)*AV141+(1-EXP(-LN(2)/25))/(LN(2)/25)*Calculateur!AQ142*Calculateur!AS142*VLOOKUP('Données projet'!$B$10,Paramètres!$A$1:$I$89,3,0)*0.475*44/12</f>
        <v>51.935805800301388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199.00201137738853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68.419293723035821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155.76430449447392</v>
      </c>
      <c r="BJ142" s="59">
        <f t="shared" si="146"/>
        <v>363.39275685992129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7.7683131126171938</v>
      </c>
      <c r="BQ142" s="21">
        <f>EXP(-LN(2)/25)*BQ141+(1-EXP(-LN(2)/25))/(LN(2)/25)*Calculateur!BL142*Calculateur!BN142*VLOOKUP('Données projet'!$B$11,Paramètres!$A$1:$I$89,3,0)*0.475*44/12</f>
        <v>0.84299181710777937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8.6113049297249731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68.419293723035821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8.1590000000000025</v>
      </c>
      <c r="BY142" s="12">
        <f>IF('Données projet'!$A$114&gt;35,BY141+BX142-CG141,IF(A142&lt;'Données projet'!$A$114,$BV$205^A142,IF(A142='Données projet'!$A$114,'Données projet'!$B$114,BY141+BX142-CG141)))</f>
        <v>422.43500000000063</v>
      </c>
      <c r="BZ142" s="13">
        <f>BY142*VLOOKUP('Données projet'!$B$12,Paramètres!$A$1:$I$89,3,0)*VLOOKUP('Données projet'!$B$12,Paramètres!$A$1:$I$89,5,0)</f>
        <v>428.34909000000067</v>
      </c>
      <c r="CA142" s="13">
        <f t="shared" si="147"/>
        <v>97.500904343422292</v>
      </c>
      <c r="CB142" s="20">
        <f t="shared" si="118"/>
        <v>915.85540681479506</v>
      </c>
      <c r="CC142" s="59">
        <f t="shared" si="119"/>
        <v>1203.3928171325931</v>
      </c>
      <c r="CD142" s="59">
        <f ca="1">AVERAGE(OFFSET($CC$3,0,0,'Données projet'!$E$12+1,1))-AVERAGE(OFFSET($H$3,0,0,'Données projet'!$E$12+1,1))</f>
        <v>679.4570479719705</v>
      </c>
      <c r="CE142" s="59">
        <f t="shared" si="148"/>
        <v>310.8252119379963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67.875198452631011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67.875198452631011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68.419293723035821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146.95547268081216</v>
      </c>
      <c r="CZ142" s="59">
        <f t="shared" si="150"/>
        <v>343.21355872318065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7.2679003047492063</v>
      </c>
      <c r="DG142" s="21">
        <f>EXP(-LN(2)/25)*DG141+(1-EXP(-LN(2)/25))/(LN(2)/25)*Calculateur!DB142*Calculateur!DD142*VLOOKUP('Données projet'!$B$13,Paramètres!$A$1:$I$89,3,0)*0.475*44/12</f>
        <v>0.78868866324500819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8.0565889679942142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68.419293723035821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68.419293723035821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68.419293723035821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68.419293723035821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68.419293723035821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3.5999999999999996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13.199999999999998</v>
      </c>
      <c r="H143" s="67">
        <f t="shared" si="110"/>
        <v>203.86666666666667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68.446715443011328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366.78396742205962</v>
      </c>
      <c r="T143" s="59">
        <f t="shared" si="142"/>
        <v>271.89887525994988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50.745613473108371</v>
      </c>
      <c r="AA143" s="21">
        <f>EXP(-LN(2)/25)*AA142+(1-EXP(-LN(2)/25))/(LN(2)/25)*Calculateur!V143*Calculateur!X143*VLOOKUP('Données projet'!$B$9,Paramètres!$A$1:$I$89,3,0)*0.475*44/12</f>
        <v>15.709434829898141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66.455048303006507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68.446715443011328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6.2527760746888816E-13</v>
      </c>
      <c r="AJ143" s="13">
        <f>AI143*VLOOKUP('Données projet'!$B$10,Paramètres!$A$1:$I$89,3,0)*VLOOKUP('Données projet'!$B$10,Paramètres!$A$1:$I$89,5,0)</f>
        <v>2.9262992029543964E-13</v>
      </c>
      <c r="AK143" s="13">
        <f t="shared" si="143"/>
        <v>3.8796387982050903E-12</v>
      </c>
      <c r="AL143" s="20">
        <f t="shared" si="112"/>
        <v>7.2667013513884219E-12</v>
      </c>
      <c r="AM143" s="59">
        <f t="shared" si="113"/>
        <v>287.63795662438218</v>
      </c>
      <c r="AN143" s="59">
        <f ca="1">AVERAGE(OFFSET($AM$3,0,0,'Données projet'!$E$10+1,1))-AVERAGE(OFFSET($H$3,0,0,'Données projet'!$E$10+1,1))</f>
        <v>360.04137410460385</v>
      </c>
      <c r="AO143" s="59">
        <f t="shared" si="144"/>
        <v>287.81656468701829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144.18232698724859</v>
      </c>
      <c r="AV143" s="21">
        <f>EXP(-LN(2)/25)*AV142+(1-EXP(-LN(2)/25))/(LN(2)/25)*Calculateur!AQ143*Calculateur!AS143*VLOOKUP('Données projet'!$B$10,Paramètres!$A$1:$I$89,3,0)*0.475*44/12</f>
        <v>50.515618459506818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194.6979454467554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68.446715443011328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155.76430449447392</v>
      </c>
      <c r="BJ143" s="59">
        <f t="shared" si="146"/>
        <v>363.39275685992129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7.6159812306819106</v>
      </c>
      <c r="BQ143" s="21">
        <f>EXP(-LN(2)/25)*BQ142+(1-EXP(-LN(2)/25))/(LN(2)/25)*Calculateur!BL143*Calculateur!BN143*VLOOKUP('Données projet'!$B$11,Paramètres!$A$1:$I$89,3,0)*0.475*44/12</f>
        <v>0.81994016153795413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8.4359213922198641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68.446715443011328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8.1590000000000025</v>
      </c>
      <c r="BY143" s="12">
        <f>IF('Données projet'!$A$114&gt;35,BY142+BX143-CG142,IF(A143&lt;'Données projet'!$A$114,$BV$205^A143,IF(A143='Données projet'!$A$114,'Données projet'!$B$114,BY142+BX143-CG142)))</f>
        <v>430.59400000000062</v>
      </c>
      <c r="BZ143" s="13">
        <f>BY143*VLOOKUP('Données projet'!$B$12,Paramètres!$A$1:$I$89,3,0)*VLOOKUP('Données projet'!$B$12,Paramètres!$A$1:$I$89,5,0)</f>
        <v>436.62231600000064</v>
      </c>
      <c r="CA143" s="13">
        <f t="shared" si="147"/>
        <v>99.163001507201159</v>
      </c>
      <c r="CB143" s="20">
        <f t="shared" si="118"/>
        <v>933.15942799170989</v>
      </c>
      <c r="CC143" s="59">
        <f t="shared" si="119"/>
        <v>1220.7973846160849</v>
      </c>
      <c r="CD143" s="59">
        <f ca="1">AVERAGE(OFFSET($CC$3,0,0,'Données projet'!$E$12+1,1))-AVERAGE(OFFSET($H$3,0,0,'Données projet'!$E$12+1,1))</f>
        <v>679.4570479719705</v>
      </c>
      <c r="CE143" s="59">
        <f t="shared" si="148"/>
        <v>310.8252119379963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66.544207210758088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66.544207210758088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68.446715443011328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146.95547268081216</v>
      </c>
      <c r="CZ143" s="59">
        <f t="shared" si="150"/>
        <v>343.21355872318065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7.1253812127545402</v>
      </c>
      <c r="DG143" s="21">
        <f>EXP(-LN(2)/25)*DG142+(1-EXP(-LN(2)/25))/(LN(2)/25)*Calculateur!DB143*Calculateur!DD143*VLOOKUP('Données projet'!$B$13,Paramètres!$A$1:$I$89,3,0)*0.475*44/12</f>
        <v>0.76712193027323916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7.8925031430277794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68.446715443011328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68.446715443011328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68.446715443011328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68.446715443011328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68.446715443011328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3.5999999999999996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13.199999999999998</v>
      </c>
      <c r="H144" s="67">
        <f t="shared" si="110"/>
        <v>203.86666666666667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68.473661457451044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366.78396742205962</v>
      </c>
      <c r="T144" s="59">
        <f t="shared" si="142"/>
        <v>271.89887525994988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49.750522944668703</v>
      </c>
      <c r="AA144" s="21">
        <f>EXP(-LN(2)/25)*AA143+(1-EXP(-LN(2)/25))/(LN(2)/25)*Calculateur!V144*Calculateur!X144*VLOOKUP('Données projet'!$B$9,Paramètres!$A$1:$I$89,3,0)*0.475*44/12</f>
        <v>15.279859508351302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65.03038245302001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68.473661457451044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6.2527760746888816E-13</v>
      </c>
      <c r="AJ144" s="13">
        <f>AI144*VLOOKUP('Données projet'!$B$10,Paramètres!$A$1:$I$89,3,0)*VLOOKUP('Données projet'!$B$10,Paramètres!$A$1:$I$89,5,0)</f>
        <v>2.9262992029543964E-13</v>
      </c>
      <c r="AK144" s="13">
        <f t="shared" si="143"/>
        <v>3.8796387982050903E-12</v>
      </c>
      <c r="AL144" s="20">
        <f t="shared" si="112"/>
        <v>7.2667013513884219E-12</v>
      </c>
      <c r="AM144" s="59">
        <f t="shared" si="113"/>
        <v>287.73675867732777</v>
      </c>
      <c r="AN144" s="59">
        <f ca="1">AVERAGE(OFFSET($AM$3,0,0,'Données projet'!$E$10+1,1))-AVERAGE(OFFSET($H$3,0,0,'Données projet'!$E$10+1,1))</f>
        <v>360.04137410460385</v>
      </c>
      <c r="AO144" s="59">
        <f t="shared" si="144"/>
        <v>287.81656468701829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141.35499949756451</v>
      </c>
      <c r="AV144" s="21">
        <f>EXP(-LN(2)/25)*AV143+(1-EXP(-LN(2)/25))/(LN(2)/25)*Calculateur!AQ144*Calculateur!AS144*VLOOKUP('Données projet'!$B$10,Paramètres!$A$1:$I$89,3,0)*0.475*44/12</f>
        <v>49.134266216230685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190.48926571379519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68.473661457451044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155.76430449447392</v>
      </c>
      <c r="BJ144" s="59">
        <f t="shared" si="146"/>
        <v>363.39275685992129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7.466636484038105</v>
      </c>
      <c r="BQ144" s="21">
        <f>EXP(-LN(2)/25)*BQ143+(1-EXP(-LN(2)/25))/(LN(2)/25)*Calculateur!BL144*Calculateur!BN144*VLOOKUP('Données projet'!$B$11,Paramètres!$A$1:$I$89,3,0)*0.475*44/12</f>
        <v>0.79751885470191963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8.2641553387400251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68.473661457451044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8.1590000000000025</v>
      </c>
      <c r="BY144" s="12">
        <f>IF('Données projet'!$A$114&gt;35,BY143+BX144-CG143,IF(A144&lt;'Données projet'!$A$114,$BV$205^A144,IF(A144='Données projet'!$A$114,'Données projet'!$B$114,BY143+BX144-CG143)))</f>
        <v>438.75300000000061</v>
      </c>
      <c r="BZ144" s="13">
        <f>BY144*VLOOKUP('Données projet'!$B$12,Paramètres!$A$1:$I$89,3,0)*VLOOKUP('Données projet'!$B$12,Paramètres!$A$1:$I$89,5,0)</f>
        <v>444.89554200000066</v>
      </c>
      <c r="CA144" s="13">
        <f t="shared" si="147"/>
        <v>100.82143659817152</v>
      </c>
      <c r="CB144" s="20">
        <f t="shared" si="118"/>
        <v>950.45707105848317</v>
      </c>
      <c r="CC144" s="59">
        <f t="shared" si="119"/>
        <v>1238.1938297358038</v>
      </c>
      <c r="CD144" s="59">
        <f ca="1">AVERAGE(OFFSET($CC$3,0,0,'Données projet'!$E$12+1,1))-AVERAGE(OFFSET($H$3,0,0,'Données projet'!$E$12+1,1))</f>
        <v>679.4570479719705</v>
      </c>
      <c r="CE144" s="59">
        <f t="shared" si="148"/>
        <v>310.8252119379963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65.239315895313794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65.239315895313794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68.473661457451044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146.95547268081216</v>
      </c>
      <c r="CZ144" s="59">
        <f t="shared" si="150"/>
        <v>343.21355872318065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6.9856568332258266</v>
      </c>
      <c r="DG144" s="21">
        <f>EXP(-LN(2)/25)*DG143+(1-EXP(-LN(2)/25))/(LN(2)/25)*Calculateur!DB144*Calculateur!DD144*VLOOKUP('Données projet'!$B$13,Paramètres!$A$1:$I$89,3,0)*0.475*44/12</f>
        <v>0.74614494074872839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7.7318017739745546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68.473661457451044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68.473661457451044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68.473661457451044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68.473661457451044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68.473661457451044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3.5999999999999996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13.199999999999998</v>
      </c>
      <c r="H145" s="67">
        <f t="shared" si="110"/>
        <v>203.86666666666667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68.500140018782503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366.78396742205962</v>
      </c>
      <c r="T145" s="59">
        <f t="shared" si="142"/>
        <v>271.89887525994988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48.77494553454644</v>
      </c>
      <c r="AA145" s="21">
        <f>EXP(-LN(2)/25)*AA144+(1-EXP(-LN(2)/25))/(LN(2)/25)*Calculateur!V145*Calculateur!X145*VLOOKUP('Données projet'!$B$9,Paramètres!$A$1:$I$89,3,0)*0.475*44/12</f>
        <v>14.862030946562546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63.636976481108988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68.500140018782503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6.2527760746888816E-13</v>
      </c>
      <c r="AJ145" s="13">
        <f>AI145*VLOOKUP('Données projet'!$B$10,Paramètres!$A$1:$I$89,3,0)*VLOOKUP('Données projet'!$B$10,Paramètres!$A$1:$I$89,5,0)</f>
        <v>2.9262992029543964E-13</v>
      </c>
      <c r="AK145" s="13">
        <f t="shared" si="143"/>
        <v>3.8796387982050903E-12</v>
      </c>
      <c r="AL145" s="20">
        <f t="shared" si="112"/>
        <v>7.2667013513884219E-12</v>
      </c>
      <c r="AM145" s="59">
        <f t="shared" si="113"/>
        <v>287.83384673554309</v>
      </c>
      <c r="AN145" s="59">
        <f ca="1">AVERAGE(OFFSET($AM$3,0,0,'Données projet'!$E$10+1,1))-AVERAGE(OFFSET($H$3,0,0,'Données projet'!$E$10+1,1))</f>
        <v>360.04137410460385</v>
      </c>
      <c r="AO145" s="59">
        <f t="shared" si="144"/>
        <v>287.81656468701829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138.58311417545363</v>
      </c>
      <c r="AV145" s="21">
        <f>EXP(-LN(2)/25)*AV144+(1-EXP(-LN(2)/25))/(LN(2)/25)*Calculateur!AQ145*Calculateur!AS145*VLOOKUP('Données projet'!$B$10,Paramètres!$A$1:$I$89,3,0)*0.475*44/12</f>
        <v>47.790687122689093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186.37380129814272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68.500140018782503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155.76430449447392</v>
      </c>
      <c r="BJ145" s="59">
        <f t="shared" si="146"/>
        <v>363.39275685992129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7.320220296784683</v>
      </c>
      <c r="BQ145" s="21">
        <f>EXP(-LN(2)/25)*BQ144+(1-EXP(-LN(2)/25))/(LN(2)/25)*Calculateur!BL145*Calculateur!BN145*VLOOKUP('Données projet'!$B$11,Paramètres!$A$1:$I$89,3,0)*0.475*44/12</f>
        <v>0.77571065968040187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8.0959309564650841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68.500140018782503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8.1590000000000025</v>
      </c>
      <c r="BY145" s="12">
        <f>IF('Données projet'!$A$114&gt;35,BY144+BX145-CG144,IF(A145&lt;'Données projet'!$A$114,$BV$205^A145,IF(A145='Données projet'!$A$114,'Données projet'!$B$114,BY144+BX145-CG144)))</f>
        <v>446.9120000000006</v>
      </c>
      <c r="BZ145" s="13">
        <f>BY145*VLOOKUP('Données projet'!$B$12,Paramètres!$A$1:$I$89,3,0)*VLOOKUP('Données projet'!$B$12,Paramètres!$A$1:$I$89,5,0)</f>
        <v>453.16876800000063</v>
      </c>
      <c r="CA145" s="13">
        <f t="shared" si="147"/>
        <v>102.47628556920169</v>
      </c>
      <c r="CB145" s="20">
        <f t="shared" si="118"/>
        <v>967.74846829969408</v>
      </c>
      <c r="CC145" s="59">
        <f t="shared" si="119"/>
        <v>1255.5823150352298</v>
      </c>
      <c r="CD145" s="59">
        <f ca="1">AVERAGE(OFFSET($CC$3,0,0,'Données projet'!$E$12+1,1))-AVERAGE(OFFSET($H$3,0,0,'Données projet'!$E$12+1,1))</f>
        <v>679.4570479719705</v>
      </c>
      <c r="CE145" s="59">
        <f t="shared" si="148"/>
        <v>310.8252119379963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63.960012702660251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63.960012702660251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68.500140018782503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146.95547268081216</v>
      </c>
      <c r="CZ145" s="59">
        <f t="shared" si="150"/>
        <v>343.21355872318065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6.8486723635562141</v>
      </c>
      <c r="DG145" s="21">
        <f>EXP(-LN(2)/25)*DG144+(1-EXP(-LN(2)/25))/(LN(2)/25)*Calculateur!DB145*Calculateur!DD145*VLOOKUP('Données projet'!$B$13,Paramètres!$A$1:$I$89,3,0)*0.475*44/12</f>
        <v>0.72574156810589729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7.5744139316621117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68.500140018782503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68.500140018782503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68.500140018782503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68.500140018782503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68.500140018782503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3.5999999999999996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13.199999999999998</v>
      </c>
      <c r="H146" s="67">
        <f t="shared" si="110"/>
        <v>203.86666666666667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68.526159236272065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366.78396742205962</v>
      </c>
      <c r="T146" s="59">
        <f t="shared" si="142"/>
        <v>271.89887525994988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47.818498602393213</v>
      </c>
      <c r="AA146" s="21">
        <f>EXP(-LN(2)/25)*AA145+(1-EXP(-LN(2)/25))/(LN(2)/25)*Calculateur!V146*Calculateur!X146*VLOOKUP('Données projet'!$B$9,Paramètres!$A$1:$I$89,3,0)*0.475*44/12</f>
        <v>14.455627928768553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62.27412653116177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68.526159236272065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6.2527760746888816E-13</v>
      </c>
      <c r="AJ146" s="13">
        <f>AI146*VLOOKUP('Données projet'!$B$10,Paramètres!$A$1:$I$89,3,0)*VLOOKUP('Données projet'!$B$10,Paramètres!$A$1:$I$89,5,0)</f>
        <v>2.9262992029543964E-13</v>
      </c>
      <c r="AK146" s="13">
        <f t="shared" si="143"/>
        <v>3.8796387982050903E-12</v>
      </c>
      <c r="AL146" s="20">
        <f t="shared" si="112"/>
        <v>7.2667013513884219E-12</v>
      </c>
      <c r="AM146" s="59">
        <f t="shared" si="113"/>
        <v>287.92925053300485</v>
      </c>
      <c r="AN146" s="59">
        <f ca="1">AVERAGE(OFFSET($AM$3,0,0,'Données projet'!$E$10+1,1))-AVERAGE(OFFSET($H$3,0,0,'Données projet'!$E$10+1,1))</f>
        <v>360.04137410460385</v>
      </c>
      <c r="AO146" s="59">
        <f t="shared" si="144"/>
        <v>287.81656468701829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135.86558383382624</v>
      </c>
      <c r="AV146" s="21">
        <f>EXP(-LN(2)/25)*AV145+(1-EXP(-LN(2)/25))/(LN(2)/25)*Calculateur!AQ146*Calculateur!AS146*VLOOKUP('Données projet'!$B$10,Paramètres!$A$1:$I$89,3,0)*0.475*44/12</f>
        <v>46.483848270116148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182.34943210394238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68.526159236272065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155.76430449447392</v>
      </c>
      <c r="BJ146" s="59">
        <f t="shared" si="146"/>
        <v>363.39275685992129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7.1766752416582449</v>
      </c>
      <c r="BQ146" s="21">
        <f>EXP(-LN(2)/25)*BQ145+(1-EXP(-LN(2)/25))/(LN(2)/25)*Calculateur!BL146*Calculateur!BN146*VLOOKUP('Données projet'!$B$11,Paramètres!$A$1:$I$89,3,0)*0.475*44/12</f>
        <v>0.75449881089859061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7.9311740525568357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68.526159236272065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8.1590000000000025</v>
      </c>
      <c r="BY146" s="12">
        <f>IF('Données projet'!$A$114&gt;35,BY145+BX146-CG145,IF(A146&lt;'Données projet'!$A$114,$BV$205^A146,IF(A146='Données projet'!$A$114,'Données projet'!$B$114,BY145+BX146-CG145)))</f>
        <v>455.07100000000059</v>
      </c>
      <c r="BZ146" s="13">
        <f>BY146*VLOOKUP('Données projet'!$B$12,Paramètres!$A$1:$I$89,3,0)*VLOOKUP('Données projet'!$B$12,Paramètres!$A$1:$I$89,5,0)</f>
        <v>461.44199400000065</v>
      </c>
      <c r="CA146" s="13">
        <f t="shared" si="147"/>
        <v>104.12762144113498</v>
      </c>
      <c r="CB146" s="20">
        <f t="shared" si="118"/>
        <v>985.03374689331122</v>
      </c>
      <c r="CC146" s="59">
        <f t="shared" si="119"/>
        <v>1272.9629974263089</v>
      </c>
      <c r="CD146" s="59">
        <f ca="1">AVERAGE(OFFSET($CC$3,0,0,'Données projet'!$E$12+1,1))-AVERAGE(OFFSET($H$3,0,0,'Données projet'!$E$12+1,1))</f>
        <v>679.4570479719705</v>
      </c>
      <c r="CE146" s="59">
        <f t="shared" si="148"/>
        <v>310.8252119379963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62.705795865316738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62.705795865316738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68.526159236272065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146.95547268081216</v>
      </c>
      <c r="CZ146" s="59">
        <f t="shared" si="150"/>
        <v>343.21355872318065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6.7143740757845469</v>
      </c>
      <c r="DG146" s="21">
        <f>EXP(-LN(2)/25)*DG145+(1-EXP(-LN(2)/25))/(LN(2)/25)*Calculateur!DB146*Calculateur!DD146*VLOOKUP('Données projet'!$B$13,Paramètres!$A$1:$I$89,3,0)*0.475*44/12</f>
        <v>0.70589612676095115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7.4202702025454981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68.526159236272065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68.526159236272065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68.526159236272065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68.526159236272065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68.526159236272065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3.5999999999999996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13.199999999999998</v>
      </c>
      <c r="H147" s="67">
        <f t="shared" si="110"/>
        <v>203.86666666666667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68.551727078508421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366.78396742205962</v>
      </c>
      <c r="T147" s="59">
        <f t="shared" si="142"/>
        <v>271.89887525994988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46.880807011204489</v>
      </c>
      <c r="AA147" s="21">
        <f>EXP(-LN(2)/25)*AA146+(1-EXP(-LN(2)/25))/(LN(2)/25)*Calculateur!V147*Calculateur!X147*VLOOKUP('Données projet'!$B$9,Paramètres!$A$1:$I$89,3,0)*0.475*44/12</f>
        <v>14.060338022867944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60.941145034072434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68.551727078508421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6.2527760746888816E-13</v>
      </c>
      <c r="AJ147" s="13">
        <f>AI147*VLOOKUP('Données projet'!$B$10,Paramètres!$A$1:$I$89,3,0)*VLOOKUP('Données projet'!$B$10,Paramètres!$A$1:$I$89,5,0)</f>
        <v>2.9262992029543964E-13</v>
      </c>
      <c r="AK147" s="13">
        <f t="shared" si="143"/>
        <v>3.8796387982050903E-12</v>
      </c>
      <c r="AL147" s="20">
        <f t="shared" si="112"/>
        <v>7.2667013513884219E-12</v>
      </c>
      <c r="AM147" s="59">
        <f t="shared" si="113"/>
        <v>288.02299928787147</v>
      </c>
      <c r="AN147" s="59">
        <f ca="1">AVERAGE(OFFSET($AM$3,0,0,'Données projet'!$E$10+1,1))-AVERAGE(OFFSET($H$3,0,0,'Données projet'!$E$10+1,1))</f>
        <v>360.04137410460385</v>
      </c>
      <c r="AO147" s="59">
        <f t="shared" si="144"/>
        <v>287.81656468701829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133.20134260466833</v>
      </c>
      <c r="AV147" s="21">
        <f>EXP(-LN(2)/25)*AV146+(1-EXP(-LN(2)/25))/(LN(2)/25)*Calculateur!AQ147*Calculateur!AS147*VLOOKUP('Données projet'!$B$10,Paramètres!$A$1:$I$89,3,0)*0.475*44/12</f>
        <v>45.212744994690482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178.41408759935882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68.551727078508421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155.76430449447392</v>
      </c>
      <c r="BJ147" s="59">
        <f t="shared" si="146"/>
        <v>363.39275685992129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7.0359450175089977</v>
      </c>
      <c r="BQ147" s="21">
        <f>EXP(-LN(2)/25)*BQ146+(1-EXP(-LN(2)/25))/(LN(2)/25)*Calculateur!BL147*Calculateur!BN147*VLOOKUP('Données projet'!$B$11,Paramètres!$A$1:$I$89,3,0)*0.475*44/12</f>
        <v>0.73386700123720061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7.7698120187461983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68.551727078508421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463.23</v>
      </c>
      <c r="BW147" s="12">
        <f>VLOOKUP(A147,'Données projet'!$A$113:$I$133,9,0)</f>
        <v>8.1590000000000025</v>
      </c>
      <c r="BX147" s="12">
        <f t="array" ref="BX147">INDEX(BW:BW,MIN(IF(ISNUMBER(BW147:BW343),ROW(BW147:BW343),"")))</f>
        <v>8.1590000000000025</v>
      </c>
      <c r="BY147" s="12">
        <f>IF('Données projet'!$A$114&gt;35,BY146+BX147-CG146,IF(A147&lt;'Données projet'!$A$114,$BV$205^A147,IF(A147='Données projet'!$A$114,'Données projet'!$B$114,BY146+BX147-CG146)))</f>
        <v>463.23000000000059</v>
      </c>
      <c r="BZ147" s="13">
        <f>BY147*VLOOKUP('Données projet'!$B$12,Paramètres!$A$1:$I$89,3,0)*VLOOKUP('Données projet'!$B$12,Paramètres!$A$1:$I$89,5,0)</f>
        <v>469.71522000000061</v>
      </c>
      <c r="CA147" s="13">
        <f t="shared" si="147"/>
        <v>105.77551446647743</v>
      </c>
      <c r="CB147" s="20">
        <f t="shared" si="118"/>
        <v>1002.3130291957826</v>
      </c>
      <c r="CC147" s="59">
        <f t="shared" si="119"/>
        <v>1290.3360284836467</v>
      </c>
      <c r="CD147" s="59">
        <f ca="1">AVERAGE(OFFSET($CC$3,0,0,'Données projet'!$E$12+1,1))-AVERAGE(OFFSET($H$3,0,0,'Données projet'!$E$12+1,1))</f>
        <v>679.4570479719705</v>
      </c>
      <c r="CE147" s="59">
        <f t="shared" si="148"/>
        <v>310.8252119379963</v>
      </c>
      <c r="CF147" s="15">
        <f>IF(ISNA(VLOOKUP(A147,'Données projet'!$A$113:$I$133,3,0)),0,VLOOKUP(A147,'Données projet'!$A$113:$I$133,3,0))</f>
        <v>12</v>
      </c>
      <c r="CG147" s="15">
        <f>IF(ISNA(VLOOKUP(A147,'Données projet'!$A$113:$I$133,4,0)),0,VLOOKUP(A147,'Données projet'!$A$113:$I$133,4,0))</f>
        <v>56.01</v>
      </c>
      <c r="CH147" s="16">
        <f>IF(ISNA(VLOOKUP(A147,'Données projet'!$A$113:$I$133,5,0)),0%,VLOOKUP(A147,'Données projet'!$A$113:$I$133,5,0)*VLOOKUP('Données projet'!$B$12,Paramètres!$A$1:$I$89,7,0))</f>
        <v>0.25800000000000001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77.674507246427055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77.674507246427055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68.551727078508421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146.95547268081216</v>
      </c>
      <c r="CZ147" s="59">
        <f t="shared" si="150"/>
        <v>343.21355872318065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6.5827092955222142</v>
      </c>
      <c r="DG147" s="21">
        <f>EXP(-LN(2)/25)*DG146+(1-EXP(-LN(2)/25))/(LN(2)/25)*Calculateur!DB147*Calculateur!DD147*VLOOKUP('Données projet'!$B$13,Paramètres!$A$1:$I$89,3,0)*0.475*44/12</f>
        <v>0.68659336005320903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7.269302655575423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68.551727078508421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68.551727078508421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68.551727078508421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68.551727078508421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68.551727078508421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3.5999999999999996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13.199999999999998</v>
      </c>
      <c r="H148" s="67">
        <f t="shared" si="110"/>
        <v>203.86666666666667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68.576851375843106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366.78396742205962</v>
      </c>
      <c r="T148" s="59">
        <f t="shared" si="142"/>
        <v>271.89887525994988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45.961502980183575</v>
      </c>
      <c r="AA148" s="21">
        <f>EXP(-LN(2)/25)*AA147+(1-EXP(-LN(2)/25))/(LN(2)/25)*Calculateur!V148*Calculateur!X148*VLOOKUP('Données projet'!$B$9,Paramètres!$A$1:$I$89,3,0)*0.475*44/12</f>
        <v>13.675857340231579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59.637360320415155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68.576851375843106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6.2527760746888816E-13</v>
      </c>
      <c r="AJ148" s="13">
        <f>AI148*VLOOKUP('Données projet'!$B$10,Paramètres!$A$1:$I$89,3,0)*VLOOKUP('Données projet'!$B$10,Paramètres!$A$1:$I$89,5,0)</f>
        <v>2.9262992029543964E-13</v>
      </c>
      <c r="AK148" s="13">
        <f t="shared" si="143"/>
        <v>3.8796387982050903E-12</v>
      </c>
      <c r="AL148" s="20">
        <f t="shared" si="112"/>
        <v>7.2667013513884219E-12</v>
      </c>
      <c r="AM148" s="59">
        <f t="shared" si="113"/>
        <v>288.11512171143198</v>
      </c>
      <c r="AN148" s="59">
        <f ca="1">AVERAGE(OFFSET($AM$3,0,0,'Données projet'!$E$10+1,1))-AVERAGE(OFFSET($H$3,0,0,'Données projet'!$E$10+1,1))</f>
        <v>360.04137410460385</v>
      </c>
      <c r="AO148" s="59">
        <f t="shared" si="144"/>
        <v>287.81656468701829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130.58934552098751</v>
      </c>
      <c r="AV148" s="21">
        <f>EXP(-LN(2)/25)*AV147+(1-EXP(-LN(2)/25))/(LN(2)/25)*Calculateur!AQ148*Calculateur!AS148*VLOOKUP('Données projet'!$B$10,Paramètres!$A$1:$I$89,3,0)*0.475*44/12</f>
        <v>43.976400105175749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174.56574562616325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68.576851375843106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155.76430449447392</v>
      </c>
      <c r="BJ148" s="59">
        <f t="shared" si="146"/>
        <v>363.39275685992129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6.8979744272183563</v>
      </c>
      <c r="BQ148" s="21">
        <f>EXP(-LN(2)/25)*BQ147+(1-EXP(-LN(2)/25))/(LN(2)/25)*Calculateur!BL148*Calculateur!BN148*VLOOKUP('Données projet'!$B$11,Paramètres!$A$1:$I$89,3,0)*0.475*44/12</f>
        <v>0.713799369495981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7.6117737967143375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68.576851375843106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8.3249999999999993</v>
      </c>
      <c r="BY148" s="12">
        <f>IF('Données projet'!$A$114&gt;35,BY147+BX148-CG147,IF(A148&lt;'Données projet'!$A$114,$BV$205^A148,IF(A148='Données projet'!$A$114,'Données projet'!$B$114,BY147+BX148-CG147)))</f>
        <v>415.54500000000058</v>
      </c>
      <c r="BZ148" s="13">
        <f>BY148*VLOOKUP('Données projet'!$B$12,Paramètres!$A$1:$I$89,3,0)*VLOOKUP('Données projet'!$B$12,Paramètres!$A$1:$I$89,5,0)</f>
        <v>421.36263000000059</v>
      </c>
      <c r="CA148" s="13">
        <f t="shared" si="147"/>
        <v>96.094409121503247</v>
      </c>
      <c r="CB148" s="20">
        <f t="shared" si="118"/>
        <v>901.23767646995248</v>
      </c>
      <c r="CC148" s="59">
        <f t="shared" si="119"/>
        <v>1189.3527981813772</v>
      </c>
      <c r="CD148" s="59">
        <f ca="1">AVERAGE(OFFSET($CC$3,0,0,'Données projet'!$E$12+1,1))-AVERAGE(OFFSET($H$3,0,0,'Données projet'!$E$12+1,1))</f>
        <v>679.4570479719705</v>
      </c>
      <c r="CE148" s="59">
        <f t="shared" si="148"/>
        <v>310.8252119379963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76.151357536095972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76.151357536095972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68.576851375843106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146.95547268081216</v>
      </c>
      <c r="CZ148" s="59">
        <f t="shared" si="150"/>
        <v>343.21355872318065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6.4536263812932395</v>
      </c>
      <c r="DG148" s="21">
        <f>EXP(-LN(2)/25)*DG147+(1-EXP(-LN(2)/25))/(LN(2)/25)*Calculateur!DB148*Calculateur!DD148*VLOOKUP('Données projet'!$B$13,Paramètres!$A$1:$I$89,3,0)*0.475*44/12</f>
        <v>0.66781842851617845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7.1214448098094181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68.576851375843106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68.576851375843106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68.576851375843106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68.576851375843106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68.576851375843106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3.5999999999999996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13.199999999999998</v>
      </c>
      <c r="H149" s="67">
        <f t="shared" si="110"/>
        <v>203.86666666666667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68.601539822788567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366.78396742205962</v>
      </c>
      <c r="T149" s="59">
        <f t="shared" si="142"/>
        <v>271.89887525994988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45.060225940490888</v>
      </c>
      <c r="AA149" s="21">
        <f>EXP(-LN(2)/25)*AA148+(1-EXP(-LN(2)/25))/(LN(2)/25)*Calculateur!V149*Calculateur!X149*VLOOKUP('Données projet'!$B$9,Paramètres!$A$1:$I$89,3,0)*0.475*44/12</f>
        <v>13.301890302080865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58.362116242571751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68.601539822788567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6.2527760746888816E-13</v>
      </c>
      <c r="AJ149" s="13">
        <f>AI149*VLOOKUP('Données projet'!$B$10,Paramètres!$A$1:$I$89,3,0)*VLOOKUP('Données projet'!$B$10,Paramètres!$A$1:$I$89,5,0)</f>
        <v>2.9262992029543964E-13</v>
      </c>
      <c r="AK149" s="13">
        <f t="shared" si="143"/>
        <v>3.8796387982050903E-12</v>
      </c>
      <c r="AL149" s="20">
        <f t="shared" si="112"/>
        <v>7.2667013513884219E-12</v>
      </c>
      <c r="AM149" s="59">
        <f t="shared" si="113"/>
        <v>288.2056460168987</v>
      </c>
      <c r="AN149" s="59">
        <f ca="1">AVERAGE(OFFSET($AM$3,0,0,'Données projet'!$E$10+1,1))-AVERAGE(OFFSET($H$3,0,0,'Données projet'!$E$10+1,1))</f>
        <v>360.04137410460385</v>
      </c>
      <c r="AO149" s="59">
        <f t="shared" si="144"/>
        <v>287.81656468701829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128.02856810695675</v>
      </c>
      <c r="AV149" s="21">
        <f>EXP(-LN(2)/25)*AV148+(1-EXP(-LN(2)/25))/(LN(2)/25)*Calculateur!AQ149*Calculateur!AS149*VLOOKUP('Données projet'!$B$10,Paramètres!$A$1:$I$89,3,0)*0.475*44/12</f>
        <v>42.773863131681345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170.80243123863809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68.601539822788567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155.76430449447392</v>
      </c>
      <c r="BJ149" s="59">
        <f t="shared" si="146"/>
        <v>363.39275685992129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6.7627093560495641</v>
      </c>
      <c r="BQ149" s="21">
        <f>EXP(-LN(2)/25)*BQ148+(1-EXP(-LN(2)/25))/(LN(2)/25)*Calculateur!BL149*Calculateur!BN149*VLOOKUP('Données projet'!$B$11,Paramètres!$A$1:$I$89,3,0)*0.475*44/12</f>
        <v>0.69428048820003596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7.4569898442496001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68.601539822788567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8.3249999999999993</v>
      </c>
      <c r="BY149" s="12">
        <f>IF('Données projet'!$A$114&gt;35,BY148+BX149-CG148,IF(A149&lt;'Données projet'!$A$114,$BV$205^A149,IF(A149='Données projet'!$A$114,'Données projet'!$B$114,BY148+BX149-CG148)))</f>
        <v>423.87000000000057</v>
      </c>
      <c r="BZ149" s="13">
        <f>BY149*VLOOKUP('Données projet'!$B$12,Paramètres!$A$1:$I$89,3,0)*VLOOKUP('Données projet'!$B$12,Paramètres!$A$1:$I$89,5,0)</f>
        <v>429.8041800000006</v>
      </c>
      <c r="CA149" s="13">
        <f t="shared" si="147"/>
        <v>97.793501833753268</v>
      </c>
      <c r="CB149" s="20">
        <f t="shared" si="118"/>
        <v>918.89929586045457</v>
      </c>
      <c r="CC149" s="59">
        <f t="shared" si="119"/>
        <v>1207.1049418773459</v>
      </c>
      <c r="CD149" s="59">
        <f ca="1">AVERAGE(OFFSET($CC$3,0,0,'Données projet'!$E$12+1,1))-AVERAGE(OFFSET($H$3,0,0,'Données projet'!$E$12+1,1))</f>
        <v>679.4570479719705</v>
      </c>
      <c r="CE149" s="59">
        <f t="shared" si="148"/>
        <v>310.8252119379963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74.658075862554895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74.658075862554895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68.601539822788567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146.95547268081216</v>
      </c>
      <c r="CZ149" s="59">
        <f t="shared" si="150"/>
        <v>343.21355872318065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6.3270747042794921</v>
      </c>
      <c r="DG149" s="21">
        <f>EXP(-LN(2)/25)*DG148+(1-EXP(-LN(2)/25))/(LN(2)/25)*Calculateur!DB149*Calculateur!DD149*VLOOKUP('Données projet'!$B$13,Paramètres!$A$1:$I$89,3,0)*0.475*44/12</f>
        <v>0.64955689846935871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6.9766316027488511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68.601539822788567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68.601539822788567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68.601539822788567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68.601539822788567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68.601539822788567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3.5999999999999996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13.199999999999998</v>
      </c>
      <c r="H150" s="67">
        <f t="shared" si="110"/>
        <v>203.86666666666667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68.625799980374609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366.78396742205962</v>
      </c>
      <c r="T150" s="59">
        <f t="shared" si="142"/>
        <v>271.89887525994988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44.176622393821866</v>
      </c>
      <c r="AA150" s="21">
        <f>EXP(-LN(2)/25)*AA149+(1-EXP(-LN(2)/25))/(LN(2)/25)*Calculateur!V150*Calculateur!X150*VLOOKUP('Données projet'!$B$9,Paramètres!$A$1:$I$89,3,0)*0.475*44/12</f>
        <v>12.938149412254456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57.11477180607632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68.625799980374609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6.2527760746888816E-13</v>
      </c>
      <c r="AJ150" s="13">
        <f>AI150*VLOOKUP('Données projet'!$B$10,Paramètres!$A$1:$I$89,3,0)*VLOOKUP('Données projet'!$B$10,Paramètres!$A$1:$I$89,5,0)</f>
        <v>2.9262992029543964E-13</v>
      </c>
      <c r="AK150" s="13">
        <f t="shared" si="143"/>
        <v>3.8796387982050903E-12</v>
      </c>
      <c r="AL150" s="20">
        <f t="shared" si="112"/>
        <v>7.2667013513884219E-12</v>
      </c>
      <c r="AM150" s="59">
        <f t="shared" si="113"/>
        <v>288.29459992804749</v>
      </c>
      <c r="AN150" s="59">
        <f ca="1">AVERAGE(OFFSET($AM$3,0,0,'Données projet'!$E$10+1,1))-AVERAGE(OFFSET($H$3,0,0,'Données projet'!$E$10+1,1))</f>
        <v>360.04137410460385</v>
      </c>
      <c r="AO150" s="59">
        <f t="shared" si="144"/>
        <v>287.81656468701829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125.51800597609515</v>
      </c>
      <c r="AV150" s="21">
        <f>EXP(-LN(2)/25)*AV149+(1-EXP(-LN(2)/25))/(LN(2)/25)*Calculateur!AQ150*Calculateur!AS150*VLOOKUP('Données projet'!$B$10,Paramètres!$A$1:$I$89,3,0)*0.475*44/12</f>
        <v>41.604209594965816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167.12221557106096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68.625799980374609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155.76430449447392</v>
      </c>
      <c r="BJ150" s="59">
        <f t="shared" si="146"/>
        <v>363.39275685992129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6.6300967504228447</v>
      </c>
      <c r="BQ150" s="21">
        <f>EXP(-LN(2)/25)*BQ149+(1-EXP(-LN(2)/25))/(LN(2)/25)*Calculateur!BL150*Calculateur!BN150*VLOOKUP('Données projet'!$B$11,Paramètres!$A$1:$I$89,3,0)*0.475*44/12</f>
        <v>0.67529535173958188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7.3053921021624264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68.625799980374609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8.3249999999999993</v>
      </c>
      <c r="BY150" s="12">
        <f>IF('Données projet'!$A$114&gt;35,BY149+BX150-CG149,IF(A150&lt;'Données projet'!$A$114,$BV$205^A150,IF(A150='Données projet'!$A$114,'Données projet'!$B$114,BY149+BX150-CG149)))</f>
        <v>432.19500000000056</v>
      </c>
      <c r="BZ150" s="13">
        <f>BY150*VLOOKUP('Données projet'!$B$12,Paramètres!$A$1:$I$89,3,0)*VLOOKUP('Données projet'!$B$12,Paramètres!$A$1:$I$89,5,0)</f>
        <v>438.24573000000061</v>
      </c>
      <c r="CA150" s="13">
        <f t="shared" si="147"/>
        <v>99.488714339852734</v>
      </c>
      <c r="CB150" s="20">
        <f t="shared" si="118"/>
        <v>936.55415722524458</v>
      </c>
      <c r="CC150" s="59">
        <f t="shared" si="119"/>
        <v>1224.8487571532849</v>
      </c>
      <c r="CD150" s="59">
        <f ca="1">AVERAGE(OFFSET($CC$3,0,0,'Données projet'!$E$12+1,1))-AVERAGE(OFFSET($H$3,0,0,'Données projet'!$E$12+1,1))</f>
        <v>679.4570479719705</v>
      </c>
      <c r="CE150" s="59">
        <f t="shared" si="148"/>
        <v>310.8252119379963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73.194076531820073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73.194076531820073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68.625799980374609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146.95547268081216</v>
      </c>
      <c r="CZ150" s="59">
        <f t="shared" si="150"/>
        <v>343.21355872318065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6.2030046284630833</v>
      </c>
      <c r="DG150" s="21">
        <f>EXP(-LN(2)/25)*DG149+(1-EXP(-LN(2)/25))/(LN(2)/25)*Calculateur!DB150*Calculateur!DD150*VLOOKUP('Données projet'!$B$13,Paramètres!$A$1:$I$89,3,0)*0.475*44/12</f>
        <v>0.63179473092200134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6.8347993593850846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68.625799980374609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68.625799980374609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68.625799980374609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68.625799980374609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68.625799980374609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3.5999999999999996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13.199999999999998</v>
      </c>
      <c r="H151" s="67">
        <f t="shared" si="110"/>
        <v>203.86666666666667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68.649639278464122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366.78396742205962</v>
      </c>
      <c r="T151" s="59">
        <f t="shared" si="142"/>
        <v>271.89887525994988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43.310345773758073</v>
      </c>
      <c r="AA151" s="21">
        <f>EXP(-LN(2)/25)*AA150+(1-EXP(-LN(2)/25))/(LN(2)/25)*Calculateur!V151*Calculateur!X151*VLOOKUP('Données projet'!$B$9,Paramètres!$A$1:$I$89,3,0)*0.475*44/12</f>
        <v>12.584355036188651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55.894700809946727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68.649639278464122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6.2527760746888816E-13</v>
      </c>
      <c r="AJ151" s="13">
        <f>AI151*VLOOKUP('Données projet'!$B$10,Paramètres!$A$1:$I$89,3,0)*VLOOKUP('Données projet'!$B$10,Paramètres!$A$1:$I$89,5,0)</f>
        <v>2.9262992029543964E-13</v>
      </c>
      <c r="AK151" s="13">
        <f t="shared" si="143"/>
        <v>3.8796387982050903E-12</v>
      </c>
      <c r="AL151" s="20">
        <f t="shared" si="112"/>
        <v>7.2667013513884219E-12</v>
      </c>
      <c r="AM151" s="59">
        <f t="shared" si="113"/>
        <v>288.38201068770906</v>
      </c>
      <c r="AN151" s="59">
        <f ca="1">AVERAGE(OFFSET($AM$3,0,0,'Données projet'!$E$10+1,1))-AVERAGE(OFFSET($H$3,0,0,'Données projet'!$E$10+1,1))</f>
        <v>360.04137410460385</v>
      </c>
      <c r="AO151" s="59">
        <f t="shared" si="144"/>
        <v>287.81656468701829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123.05667443732806</v>
      </c>
      <c r="AV151" s="21">
        <f>EXP(-LN(2)/25)*AV150+(1-EXP(-LN(2)/25))/(LN(2)/25)*Calculateur!AQ151*Calculateur!AS151*VLOOKUP('Données projet'!$B$10,Paramètres!$A$1:$I$89,3,0)*0.475*44/12</f>
        <v>40.466540295721181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163.52321473304923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68.649639278464122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155.76430449447392</v>
      </c>
      <c r="BJ151" s="59">
        <f t="shared" si="146"/>
        <v>363.39275685992129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6.5000845971067625</v>
      </c>
      <c r="BQ151" s="21">
        <f>EXP(-LN(2)/25)*BQ150+(1-EXP(-LN(2)/25))/(LN(2)/25)*Calculateur!BL151*Calculateur!BN151*VLOOKUP('Données projet'!$B$11,Paramètres!$A$1:$I$89,3,0)*0.475*44/12</f>
        <v>0.65682936483402388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7.156913961940786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68.649639278464122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8.3249999999999993</v>
      </c>
      <c r="BY151" s="12">
        <f>IF('Données projet'!$A$114&gt;35,BY150+BX151-CG150,IF(A151&lt;'Données projet'!$A$114,$BV$205^A151,IF(A151='Données projet'!$A$114,'Données projet'!$B$114,BY150+BX151-CG150)))</f>
        <v>440.52000000000055</v>
      </c>
      <c r="BZ151" s="13">
        <f>BY151*VLOOKUP('Données projet'!$B$12,Paramètres!$A$1:$I$89,3,0)*VLOOKUP('Données projet'!$B$12,Paramètres!$A$1:$I$89,5,0)</f>
        <v>446.68728000000056</v>
      </c>
      <c r="CA151" s="13">
        <f t="shared" si="147"/>
        <v>101.18012999765861</v>
      </c>
      <c r="CB151" s="20">
        <f t="shared" si="118"/>
        <v>954.20240574592299</v>
      </c>
      <c r="CC151" s="59">
        <f t="shared" si="119"/>
        <v>1242.5844164336247</v>
      </c>
      <c r="CD151" s="59">
        <f ca="1">AVERAGE(OFFSET($CC$3,0,0,'Données projet'!$E$12+1,1))-AVERAGE(OFFSET($H$3,0,0,'Données projet'!$E$12+1,1))</f>
        <v>679.4570479719705</v>
      </c>
      <c r="CE151" s="59">
        <f t="shared" si="148"/>
        <v>310.8252119379963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71.758785335009534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71.758785335009534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68.649639278464122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146.95547268081216</v>
      </c>
      <c r="CZ151" s="59">
        <f t="shared" si="150"/>
        <v>343.21355872318065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6.0813674911581597</v>
      </c>
      <c r="DG151" s="21">
        <f>EXP(-LN(2)/25)*DG150+(1-EXP(-LN(2)/25))/(LN(2)/25)*Calculateur!DB151*Calculateur!DD151*VLOOKUP('Données projet'!$B$13,Paramètres!$A$1:$I$89,3,0)*0.475*44/12</f>
        <v>0.6145182707802983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6.6958857619384577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68.649639278464122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68.649639278464122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68.649639278464122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68.649639278464122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68.649639278464122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3.5999999999999996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13.199999999999998</v>
      </c>
      <c r="H152" s="67">
        <f t="shared" si="110"/>
        <v>203.86666666666667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68.673065018028467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366.78396742205962</v>
      </c>
      <c r="T152" s="59">
        <f t="shared" si="142"/>
        <v>271.89887525994988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42.461056309837168</v>
      </c>
      <c r="AA152" s="21">
        <f>EXP(-LN(2)/25)*AA151+(1-EXP(-LN(2)/25))/(LN(2)/25)*Calculateur!V152*Calculateur!X152*VLOOKUP('Données projet'!$B$9,Paramètres!$A$1:$I$89,3,0)*0.475*44/12</f>
        <v>12.240235185941602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54.701291495778769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68.673065018028467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6.2527760746888816E-13</v>
      </c>
      <c r="AJ152" s="13">
        <f>AI152*VLOOKUP('Données projet'!$B$10,Paramètres!$A$1:$I$89,3,0)*VLOOKUP('Données projet'!$B$10,Paramètres!$A$1:$I$89,5,0)</f>
        <v>2.9262992029543964E-13</v>
      </c>
      <c r="AK152" s="13">
        <f t="shared" si="143"/>
        <v>3.8796387982050903E-12</v>
      </c>
      <c r="AL152" s="20">
        <f t="shared" si="112"/>
        <v>7.2667013513884219E-12</v>
      </c>
      <c r="AM152" s="59">
        <f t="shared" si="113"/>
        <v>288.46790506611165</v>
      </c>
      <c r="AN152" s="59">
        <f ca="1">AVERAGE(OFFSET($AM$3,0,0,'Données projet'!$E$10+1,1))-AVERAGE(OFFSET($H$3,0,0,'Données projet'!$E$10+1,1))</f>
        <v>360.04137410460385</v>
      </c>
      <c r="AO152" s="59">
        <f t="shared" si="144"/>
        <v>287.81656468701829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120.64360810877218</v>
      </c>
      <c r="AV152" s="21">
        <f>EXP(-LN(2)/25)*AV151+(1-EXP(-LN(2)/25))/(LN(2)/25)*Calculateur!AQ152*Calculateur!AS152*VLOOKUP('Données projet'!$B$10,Paramètres!$A$1:$I$89,3,0)*0.475*44/12</f>
        <v>39.359980623291818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160.003588732064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68.673065018028467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155.76430449447392</v>
      </c>
      <c r="BJ152" s="59">
        <f t="shared" si="146"/>
        <v>363.39275685992129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6.3726219028176256</v>
      </c>
      <c r="BQ152" s="21">
        <f>EXP(-LN(2)/25)*BQ151+(1-EXP(-LN(2)/25))/(LN(2)/25)*Calculateur!BL152*Calculateur!BN152*VLOOKUP('Données projet'!$B$11,Paramètres!$A$1:$I$89,3,0)*0.475*44/12</f>
        <v>0.63886833131148235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7.0114902341291083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68.673065018028467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8.3249999999999993</v>
      </c>
      <c r="BY152" s="12">
        <f>IF('Données projet'!$A$114&gt;35,BY151+BX152-CG151,IF(A152&lt;'Données projet'!$A$114,$BV$205^A152,IF(A152='Données projet'!$A$114,'Données projet'!$B$114,BY151+BX152-CG151)))</f>
        <v>448.84500000000054</v>
      </c>
      <c r="BZ152" s="13">
        <f>BY152*VLOOKUP('Données projet'!$B$12,Paramètres!$A$1:$I$89,3,0)*VLOOKUP('Données projet'!$B$12,Paramètres!$A$1:$I$89,5,0)</f>
        <v>455.12883000000056</v>
      </c>
      <c r="CA152" s="13">
        <f t="shared" si="147"/>
        <v>102.86782883411858</v>
      </c>
      <c r="CB152" s="20">
        <f t="shared" si="118"/>
        <v>971.84418080275736</v>
      </c>
      <c r="CC152" s="59">
        <f t="shared" si="119"/>
        <v>1260.3120858688617</v>
      </c>
      <c r="CD152" s="59">
        <f ca="1">AVERAGE(OFFSET($CC$3,0,0,'Données projet'!$E$12+1,1))-AVERAGE(OFFSET($H$3,0,0,'Données projet'!$E$12+1,1))</f>
        <v>679.4570479719705</v>
      </c>
      <c r="CE152" s="59">
        <f t="shared" si="148"/>
        <v>310.8252119379963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70.351639323127273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70.351639323127273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68.673065018028467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146.95547268081216</v>
      </c>
      <c r="CZ152" s="59">
        <f t="shared" si="150"/>
        <v>343.21355872318065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5.962115583924458</v>
      </c>
      <c r="DG152" s="21">
        <f>EXP(-LN(2)/25)*DG151+(1-EXP(-LN(2)/25))/(LN(2)/25)*Calculateur!DB152*Calculateur!DD152*VLOOKUP('Données projet'!$B$13,Paramètres!$A$1:$I$89,3,0)*0.475*44/12</f>
        <v>0.59771423634969967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6.5598298202741576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68.673065018028467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68.673065018028467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68.673065018028467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68.673065018028467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68.673065018028467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3.5999999999999996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13.199999999999998</v>
      </c>
      <c r="H153" s="67">
        <f t="shared" si="110"/>
        <v>203.86666666666667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68.696084373383485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366.78396742205962</v>
      </c>
      <c r="T153" s="59">
        <f t="shared" si="142"/>
        <v>271.89887525994988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41.628420894288325</v>
      </c>
      <c r="AA153" s="21">
        <f>EXP(-LN(2)/25)*AA152+(1-EXP(-LN(2)/25))/(LN(2)/25)*Calculateur!V153*Calculateur!X153*VLOOKUP('Données projet'!$B$9,Paramètres!$A$1:$I$89,3,0)*0.475*44/12</f>
        <v>11.905525311096035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53.53394620538436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68.696084373383485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6.2527760746888816E-13</v>
      </c>
      <c r="AJ153" s="13">
        <f>AI153*VLOOKUP('Données projet'!$B$10,Paramètres!$A$1:$I$89,3,0)*VLOOKUP('Données projet'!$B$10,Paramètres!$A$1:$I$89,5,0)</f>
        <v>2.9262992029543964E-13</v>
      </c>
      <c r="AK153" s="13">
        <f t="shared" si="143"/>
        <v>3.8796387982050903E-12</v>
      </c>
      <c r="AL153" s="20">
        <f t="shared" si="112"/>
        <v>7.2667013513884219E-12</v>
      </c>
      <c r="AM153" s="59">
        <f t="shared" si="113"/>
        <v>288.55230936908009</v>
      </c>
      <c r="AN153" s="59">
        <f ca="1">AVERAGE(OFFSET($AM$3,0,0,'Données projet'!$E$10+1,1))-AVERAGE(OFFSET($H$3,0,0,'Données projet'!$E$10+1,1))</f>
        <v>360.04137410460385</v>
      </c>
      <c r="AO153" s="59">
        <f t="shared" si="144"/>
        <v>287.81656468701829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118.27786053909416</v>
      </c>
      <c r="AV153" s="21">
        <f>EXP(-LN(2)/25)*AV152+(1-EXP(-LN(2)/25))/(LN(2)/25)*Calculateur!AQ153*Calculateur!AS153*VLOOKUP('Données projet'!$B$10,Paramètres!$A$1:$I$89,3,0)*0.475*44/12</f>
        <v>38.283679883296479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156.56154042239064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68.696084373383485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155.76430449447392</v>
      </c>
      <c r="BJ153" s="59">
        <f t="shared" si="146"/>
        <v>363.39275685992129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6.2476586742189317</v>
      </c>
      <c r="BQ153" s="21">
        <f>EXP(-LN(2)/25)*BQ152+(1-EXP(-LN(2)/25))/(LN(2)/25)*Calculateur!BL153*Calculateur!BN153*VLOOKUP('Données projet'!$B$11,Paramètres!$A$1:$I$89,3,0)*0.475*44/12</f>
        <v>0.62139844319514448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6.8690571174140764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68.696084373383485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8.3249999999999993</v>
      </c>
      <c r="BY153" s="12">
        <f>IF('Données projet'!$A$114&gt;35,BY152+BX153-CG152,IF(A153&lt;'Données projet'!$A$114,$BV$205^A153,IF(A153='Données projet'!$A$114,'Données projet'!$B$114,BY152+BX153-CG152)))</f>
        <v>457.17000000000053</v>
      </c>
      <c r="BZ153" s="13">
        <f>BY153*VLOOKUP('Données projet'!$B$12,Paramètres!$A$1:$I$89,3,0)*VLOOKUP('Données projet'!$B$12,Paramètres!$A$1:$I$89,5,0)</f>
        <v>463.57038000000057</v>
      </c>
      <c r="CA153" s="13">
        <f t="shared" si="147"/>
        <v>104.55188773764013</v>
      </c>
      <c r="CB153" s="20">
        <f t="shared" si="118"/>
        <v>989.47961630972395</v>
      </c>
      <c r="CC153" s="59">
        <f t="shared" si="119"/>
        <v>1278.0319256787968</v>
      </c>
      <c r="CD153" s="59">
        <f ca="1">AVERAGE(OFFSET($CC$3,0,0,'Données projet'!$E$12+1,1))-AVERAGE(OFFSET($H$3,0,0,'Données projet'!$E$12+1,1))</f>
        <v>679.4570479719705</v>
      </c>
      <c r="CE153" s="59">
        <f t="shared" si="148"/>
        <v>310.8252119379963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68.9720865862637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68.9720865862637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68.696084373383485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146.95547268081216</v>
      </c>
      <c r="CZ153" s="59">
        <f t="shared" si="150"/>
        <v>343.21355872318065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5.8452021338551274</v>
      </c>
      <c r="DG153" s="21">
        <f>EXP(-LN(2)/25)*DG152+(1-EXP(-LN(2)/25))/(LN(2)/25)*Calculateur!DB153*Calculateur!DD153*VLOOKUP('Données projet'!$B$13,Paramètres!$A$1:$I$89,3,0)*0.475*44/12</f>
        <v>0.58136970912429153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6.4265718429794187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68.696084373383485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68.696084373383485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68.696084373383485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68.696084373383485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68.696084373383485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3.5999999999999996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13.199999999999998</v>
      </c>
      <c r="H154" s="67">
        <f t="shared" si="110"/>
        <v>203.86666666666667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68.718704394386648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366.78396742205962</v>
      </c>
      <c r="T154" s="59">
        <f t="shared" si="142"/>
        <v>271.89887525994988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40.812112951380939</v>
      </c>
      <c r="AA154" s="21">
        <f>EXP(-LN(2)/25)*AA153+(1-EXP(-LN(2)/25))/(LN(2)/25)*Calculateur!V154*Calculateur!X154*VLOOKUP('Données projet'!$B$9,Paramètres!$A$1:$I$89,3,0)*0.475*44/12</f>
        <v>11.579968095379748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52.392081046760687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68.718704394386648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6.2527760746888816E-13</v>
      </c>
      <c r="AJ154" s="13">
        <f>AI154*VLOOKUP('Données projet'!$B$10,Paramètres!$A$1:$I$89,3,0)*VLOOKUP('Données projet'!$B$10,Paramètres!$A$1:$I$89,5,0)</f>
        <v>2.9262992029543964E-13</v>
      </c>
      <c r="AK154" s="13">
        <f t="shared" ref="AK154:AK203" si="164">EXP(-1.0587+0.8836*LN(AJ154)+0.284)</f>
        <v>3.8796387982050903E-12</v>
      </c>
      <c r="AL154" s="20">
        <f t="shared" ref="AL154:AL203" si="165">(AJ154+AK154)*0.475*44/12</f>
        <v>7.2667013513884219E-12</v>
      </c>
      <c r="AM154" s="59">
        <f t="shared" si="113"/>
        <v>288.63524944609168</v>
      </c>
      <c r="AN154" s="59">
        <f ca="1">AVERAGE(OFFSET($AM$3,0,0,'Données projet'!$E$10+1,1))-AVERAGE(OFFSET($H$3,0,0,'Données projet'!$E$10+1,1))</f>
        <v>360.04137410460385</v>
      </c>
      <c r="AO154" s="59">
        <f t="shared" si="144"/>
        <v>287.81656468701829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115.95850383629399</v>
      </c>
      <c r="AV154" s="21">
        <f>EXP(-LN(2)/25)*AV153+(1-EXP(-LN(2)/25))/(LN(2)/25)*Calculateur!AQ154*Calculateur!AS154*VLOOKUP('Données projet'!$B$10,Paramètres!$A$1:$I$89,3,0)*0.475*44/12</f>
        <v>37.23681064363651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153.19531447993049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68.718704394386648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155.76430449447392</v>
      </c>
      <c r="BJ154" s="59">
        <f t="shared" si="146"/>
        <v>363.39275685992129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6.1251458983130149</v>
      </c>
      <c r="BQ154" s="21">
        <f>EXP(-LN(2)/25)*BQ153+(1-EXP(-LN(2)/25))/(LN(2)/25)*Calculateur!BL154*Calculateur!BN154*VLOOKUP('Données projet'!$B$11,Paramètres!$A$1:$I$89,3,0)*0.475*44/12</f>
        <v>0.60440627008804937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6.7295521684010646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68.718704394386648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8.3249999999999993</v>
      </c>
      <c r="BY154" s="12">
        <f>IF('Données projet'!$A$114&gt;35,BY153+BX154-CG153,IF(A154&lt;'Données projet'!$A$114,$BV$205^A154,IF(A154='Données projet'!$A$114,'Données projet'!$B$114,BY153+BX154-CG153)))</f>
        <v>465.49500000000052</v>
      </c>
      <c r="BZ154" s="13">
        <f>BY154*VLOOKUP('Données projet'!$B$12,Paramètres!$A$1:$I$89,3,0)*VLOOKUP('Données projet'!$B$12,Paramètres!$A$1:$I$89,5,0)</f>
        <v>472.01193000000058</v>
      </c>
      <c r="CA154" s="13">
        <f t="shared" ref="CA154:CA203" si="170">EXP(-1.0587+0.8836*LN(BZ154)+0.284)</f>
        <v>106.23238063605056</v>
      </c>
      <c r="CB154" s="20">
        <f t="shared" ref="CB154:CB203" si="171">(BZ154+CA154)*0.475*44/12</f>
        <v>1007.108841024456</v>
      </c>
      <c r="CC154" s="59">
        <f t="shared" si="119"/>
        <v>1295.7440904705404</v>
      </c>
      <c r="CD154" s="59">
        <f ca="1">AVERAGE(OFFSET($CC$3,0,0,'Données projet'!$E$12+1,1))-AVERAGE(OFFSET($H$3,0,0,'Données projet'!$E$12+1,1))</f>
        <v>679.4570479719705</v>
      </c>
      <c r="CE154" s="59">
        <f t="shared" si="148"/>
        <v>310.8252119379963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67.619586037125941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67.619586037125941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68.718704394386648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146.95547268081216</v>
      </c>
      <c r="CZ154" s="59">
        <f t="shared" si="150"/>
        <v>343.21355872318065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5.7305812852314935</v>
      </c>
      <c r="DG154" s="21">
        <f>EXP(-LN(2)/25)*DG153+(1-EXP(-LN(2)/25))/(LN(2)/25)*Calculateur!DB154*Calculateur!DD154*VLOOKUP('Données projet'!$B$13,Paramètres!$A$1:$I$89,3,0)*0.475*44/12</f>
        <v>0.56547212385538348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6.2960534090868769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68.718704394386648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68.718704394386648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68.718704394386648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68.718704394386648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68.718704394386648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3.5999999999999996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13.199999999999998</v>
      </c>
      <c r="H155" s="67">
        <f t="shared" si="110"/>
        <v>203.86666666666667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68.740932008596204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366.78396742205962</v>
      </c>
      <c r="T155" s="59">
        <f t="shared" si="142"/>
        <v>271.89887525994988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40.011812309335284</v>
      </c>
      <c r="AA155" s="21">
        <f>EXP(-LN(2)/25)*AA154+(1-EXP(-LN(2)/25))/(LN(2)/25)*Calculateur!V155*Calculateur!X155*VLOOKUP('Données projet'!$B$9,Paramètres!$A$1:$I$89,3,0)*0.475*44/12</f>
        <v>11.263313258847532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51.275125568182816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68.740932008596204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6.2527760746888816E-13</v>
      </c>
      <c r="AJ155" s="13">
        <f>AI155*VLOOKUP('Données projet'!$B$10,Paramètres!$A$1:$I$89,3,0)*VLOOKUP('Données projet'!$B$10,Paramètres!$A$1:$I$89,5,0)</f>
        <v>2.9262992029543964E-13</v>
      </c>
      <c r="AK155" s="13">
        <f t="shared" si="164"/>
        <v>3.8796387982050903E-12</v>
      </c>
      <c r="AL155" s="20">
        <f t="shared" si="165"/>
        <v>7.2667013513884219E-12</v>
      </c>
      <c r="AM155" s="59">
        <f t="shared" si="113"/>
        <v>288.71675069819338</v>
      </c>
      <c r="AN155" s="59">
        <f ca="1">AVERAGE(OFFSET($AM$3,0,0,'Données projet'!$E$10+1,1))-AVERAGE(OFFSET($H$3,0,0,'Données projet'!$E$10+1,1))</f>
        <v>360.04137410460385</v>
      </c>
      <c r="AO155" s="59">
        <f t="shared" si="144"/>
        <v>287.81656468701829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113.68462830376782</v>
      </c>
      <c r="AV155" s="21">
        <f>EXP(-LN(2)/25)*AV154+(1-EXP(-LN(2)/25))/(LN(2)/25)*Calculateur!AQ155*Calculateur!AS155*VLOOKUP('Données projet'!$B$10,Paramètres!$A$1:$I$89,3,0)*0.475*44/12</f>
        <v>36.2185680983875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149.90319640215532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68.740932008596204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155.76430449447392</v>
      </c>
      <c r="BJ155" s="59">
        <f t="shared" si="146"/>
        <v>363.39275685992129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6.0050355232171979</v>
      </c>
      <c r="BQ155" s="21">
        <f>EXP(-LN(2)/25)*BQ154+(1-EXP(-LN(2)/25))/(LN(2)/25)*Calculateur!BL155*Calculateur!BN155*VLOOKUP('Données projet'!$B$11,Paramètres!$A$1:$I$89,3,0)*0.475*44/12</f>
        <v>0.58787874884814728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6.5929142720653449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68.740932008596204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8.3249999999999993</v>
      </c>
      <c r="BY155" s="12">
        <f>IF('Données projet'!$A$114&gt;35,BY154+BX155-CG154,IF(A155&lt;'Données projet'!$A$114,$BV$205^A155,IF(A155='Données projet'!$A$114,'Données projet'!$B$114,BY154+BX155-CG154)))</f>
        <v>473.8200000000005</v>
      </c>
      <c r="BZ155" s="13">
        <f>BY155*VLOOKUP('Données projet'!$B$12,Paramètres!$A$1:$I$89,3,0)*VLOOKUP('Données projet'!$B$12,Paramètres!$A$1:$I$89,5,0)</f>
        <v>480.45348000000058</v>
      </c>
      <c r="CA155" s="13">
        <f t="shared" si="170"/>
        <v>107.90937866146631</v>
      </c>
      <c r="CB155" s="20">
        <f t="shared" si="171"/>
        <v>1024.7319788353882</v>
      </c>
      <c r="CC155" s="59">
        <f t="shared" si="119"/>
        <v>1313.4487295335744</v>
      </c>
      <c r="CD155" s="59">
        <f ca="1">AVERAGE(OFFSET($CC$3,0,0,'Données projet'!$E$12+1,1))-AVERAGE(OFFSET($H$3,0,0,'Données projet'!$E$12+1,1))</f>
        <v>679.4570479719705</v>
      </c>
      <c r="CE155" s="59">
        <f t="shared" si="148"/>
        <v>310.8252119379963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66.293607198812893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66.293607198812893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68.740932008596204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146.95547268081216</v>
      </c>
      <c r="CZ155" s="59">
        <f t="shared" si="150"/>
        <v>343.21355872318065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5.6182080815375546</v>
      </c>
      <c r="DG155" s="21">
        <f>EXP(-LN(2)/25)*DG154+(1-EXP(-LN(2)/25))/(LN(2)/25)*Calculateur!DB155*Calculateur!DD155*VLOOKUP('Données projet'!$B$13,Paramètres!$A$1:$I$89,3,0)*0.475*44/12</f>
        <v>0.5500092588916714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6.1682173404292264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68.740932008596204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68.740932008596204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68.740932008596204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68.740932008596204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68.740932008596204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3.5999999999999996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13.199999999999998</v>
      </c>
      <c r="H156" s="67">
        <f t="shared" si="110"/>
        <v>203.86666666666667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68.762774023392723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366.78396742205962</v>
      </c>
      <c r="T156" s="59">
        <f t="shared" si="142"/>
        <v>271.89887525994988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39.227205074744951</v>
      </c>
      <c r="AA156" s="21">
        <f>EXP(-LN(2)/25)*AA155+(1-EXP(-LN(2)/25))/(LN(2)/25)*Calculateur!V156*Calculateur!X156*VLOOKUP('Données projet'!$B$9,Paramètres!$A$1:$I$89,3,0)*0.475*44/12</f>
        <v>10.955317365472444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50.182522440217397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68.762774023392723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6.2527760746888816E-13</v>
      </c>
      <c r="AJ156" s="13">
        <f>AI156*VLOOKUP('Données projet'!$B$10,Paramètres!$A$1:$I$89,3,0)*VLOOKUP('Données projet'!$B$10,Paramètres!$A$1:$I$89,5,0)</f>
        <v>2.9262992029543964E-13</v>
      </c>
      <c r="AK156" s="13">
        <f t="shared" si="164"/>
        <v>3.8796387982050903E-12</v>
      </c>
      <c r="AL156" s="20">
        <f t="shared" si="165"/>
        <v>7.2667013513884219E-12</v>
      </c>
      <c r="AM156" s="59">
        <f t="shared" si="113"/>
        <v>288.79683808578062</v>
      </c>
      <c r="AN156" s="59">
        <f ca="1">AVERAGE(OFFSET($AM$3,0,0,'Données projet'!$E$10+1,1))-AVERAGE(OFFSET($H$3,0,0,'Données projet'!$E$10+1,1))</f>
        <v>360.04137410460385</v>
      </c>
      <c r="AO156" s="59">
        <f t="shared" si="144"/>
        <v>287.81656468701829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111.45534208350738</v>
      </c>
      <c r="AV156" s="21">
        <f>EXP(-LN(2)/25)*AV155+(1-EXP(-LN(2)/25))/(LN(2)/25)*Calculateur!AQ156*Calculateur!AS156*VLOOKUP('Données projet'!$B$10,Paramètres!$A$1:$I$89,3,0)*0.475*44/12</f>
        <v>35.228169449085378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146.68351153259275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68.762774023392723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155.76430449447392</v>
      </c>
      <c r="BJ156" s="59">
        <f t="shared" si="146"/>
        <v>363.39275685992129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5.8872804393169149</v>
      </c>
      <c r="BQ156" s="21">
        <f>EXP(-LN(2)/25)*BQ155+(1-EXP(-LN(2)/25))/(LN(2)/25)*Calculateur!BL156*Calculateur!BN156*VLOOKUP('Données projet'!$B$11,Paramètres!$A$1:$I$89,3,0)*0.475*44/12</f>
        <v>0.57180317354569488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6.4590836128626101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68.762774023392723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8.3249999999999993</v>
      </c>
      <c r="BY156" s="12">
        <f>IF('Données projet'!$A$114&gt;35,BY155+BX156-CG155,IF(A156&lt;'Données projet'!$A$114,$BV$205^A156,IF(A156='Données projet'!$A$114,'Données projet'!$B$114,BY155+BX156-CG155)))</f>
        <v>482.14500000000049</v>
      </c>
      <c r="BZ156" s="13">
        <f>BY156*VLOOKUP('Données projet'!$B$12,Paramètres!$A$1:$I$89,3,0)*VLOOKUP('Données projet'!$B$12,Paramètres!$A$1:$I$89,5,0)</f>
        <v>488.89503000000053</v>
      </c>
      <c r="CA156" s="13">
        <f t="shared" si="170"/>
        <v>109.582950303247</v>
      </c>
      <c r="CB156" s="20">
        <f t="shared" si="171"/>
        <v>1042.349149028156</v>
      </c>
      <c r="CC156" s="59">
        <f t="shared" si="119"/>
        <v>1331.1459871139293</v>
      </c>
      <c r="CD156" s="59">
        <f ca="1">AVERAGE(OFFSET($CC$3,0,0,'Données projet'!$E$12+1,1))-AVERAGE(OFFSET($H$3,0,0,'Données projet'!$E$12+1,1))</f>
        <v>679.4570479719705</v>
      </c>
      <c r="CE156" s="59">
        <f t="shared" si="148"/>
        <v>310.8252119379963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64.993629996751935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64.993629996751935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68.762774023392723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146.95547268081216</v>
      </c>
      <c r="CZ156" s="59">
        <f t="shared" si="150"/>
        <v>343.21355872318065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5.5080384478271673</v>
      </c>
      <c r="DG156" s="21">
        <f>EXP(-LN(2)/25)*DG155+(1-EXP(-LN(2)/25))/(LN(2)/25)*Calculateur!DB156*Calculateur!DD156*VLOOKUP('Données projet'!$B$13,Paramètres!$A$1:$I$89,3,0)*0.475*44/12</f>
        <v>0.53496922678354875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6.043007674610716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68.762774023392723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68.762774023392723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68.762774023392723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68.762774023392723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68.762774023392723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3.5999999999999996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13.199999999999998</v>
      </c>
      <c r="H157" s="67">
        <f t="shared" si="110"/>
        <v>203.86666666666667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68.78423712806395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366.78396742205962</v>
      </c>
      <c r="T157" s="59">
        <f t="shared" si="142"/>
        <v>271.89887525994988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38.457983509461776</v>
      </c>
      <c r="AA157" s="21">
        <f>EXP(-LN(2)/25)*AA156+(1-EXP(-LN(2)/25))/(LN(2)/25)*Calculateur!V157*Calculateur!X157*VLOOKUP('Données projet'!$B$9,Paramètres!$A$1:$I$89,3,0)*0.475*44/12</f>
        <v>10.655743635998499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49.113727145460274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68.78423712806395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6.2527760746888816E-13</v>
      </c>
      <c r="AJ157" s="13">
        <f>AI157*VLOOKUP('Données projet'!$B$10,Paramètres!$A$1:$I$89,3,0)*VLOOKUP('Données projet'!$B$10,Paramètres!$A$1:$I$89,5,0)</f>
        <v>2.9262992029543964E-13</v>
      </c>
      <c r="AK157" s="13">
        <f t="shared" si="164"/>
        <v>3.8796387982050903E-12</v>
      </c>
      <c r="AL157" s="20">
        <f t="shared" si="165"/>
        <v>7.2667013513884219E-12</v>
      </c>
      <c r="AM157" s="59">
        <f t="shared" si="113"/>
        <v>288.87553613624175</v>
      </c>
      <c r="AN157" s="59">
        <f ca="1">AVERAGE(OFFSET($AM$3,0,0,'Données projet'!$E$10+1,1))-AVERAGE(OFFSET($H$3,0,0,'Données projet'!$E$10+1,1))</f>
        <v>360.04137410460385</v>
      </c>
      <c r="AO157" s="59">
        <f t="shared" si="144"/>
        <v>287.81656468701829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109.2697708062959</v>
      </c>
      <c r="AV157" s="21">
        <f>EXP(-LN(2)/25)*AV156+(1-EXP(-LN(2)/25))/(LN(2)/25)*Calculateur!AQ157*Calculateur!AS157*VLOOKUP('Données projet'!$B$10,Paramètres!$A$1:$I$89,3,0)*0.475*44/12</f>
        <v>34.264853302931222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143.53462410922711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68.78423712806395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155.76430449447392</v>
      </c>
      <c r="BJ157" s="59">
        <f t="shared" si="146"/>
        <v>363.39275685992129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5.7718344607884076</v>
      </c>
      <c r="BQ157" s="21">
        <f>EXP(-LN(2)/25)*BQ156+(1-EXP(-LN(2)/25))/(LN(2)/25)*Calculateur!BL157*Calculateur!BN157*VLOOKUP('Données projet'!$B$11,Paramètres!$A$1:$I$89,3,0)*0.475*44/12</f>
        <v>0.5561671856952658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6.3280016464836732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68.78423712806395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>
        <f>VLOOKUP(A157,'Données projet'!$A$113:$I$133,2,0)</f>
        <v>490.47</v>
      </c>
      <c r="BW157" s="12">
        <f>VLOOKUP(A157,'Données projet'!$A$113:$I$133,9,0)</f>
        <v>8.3249999999999993</v>
      </c>
      <c r="BX157" s="12">
        <f t="array" ref="BX157">INDEX(BW:BW,MIN(IF(ISNUMBER(BW157:BW353),ROW(BW157:BW353),"")))</f>
        <v>8.3249999999999993</v>
      </c>
      <c r="BY157" s="12">
        <f>IF('Données projet'!$A$114&gt;35,BY156+BX157-CG156,IF(A157&lt;'Données projet'!$A$114,$BV$205^A157,IF(A157='Données projet'!$A$114,'Données projet'!$B$114,BY156+BX157-CG156)))</f>
        <v>490.47000000000048</v>
      </c>
      <c r="BZ157" s="13">
        <f>BY157*VLOOKUP('Données projet'!$B$12,Paramètres!$A$1:$I$89,3,0)*VLOOKUP('Données projet'!$B$12,Paramètres!$A$1:$I$89,5,0)</f>
        <v>497.33658000000054</v>
      </c>
      <c r="CA157" s="13">
        <f t="shared" si="170"/>
        <v>111.2531615500869</v>
      </c>
      <c r="CB157" s="20">
        <f t="shared" si="171"/>
        <v>1059.9604665330687</v>
      </c>
      <c r="CC157" s="59">
        <f t="shared" si="119"/>
        <v>1348.8360026693031</v>
      </c>
      <c r="CD157" s="59">
        <f ca="1">AVERAGE(OFFSET($CC$3,0,0,'Données projet'!$E$12+1,1))-AVERAGE(OFFSET($H$3,0,0,'Données projet'!$E$12+1,1))</f>
        <v>679.4570479719705</v>
      </c>
      <c r="CE157" s="59">
        <f t="shared" si="148"/>
        <v>310.8252119379963</v>
      </c>
      <c r="CF157" s="15">
        <f>IF(ISNA(VLOOKUP(A157,'Données projet'!$A$113:$I$133,3,0)),0,VLOOKUP(A157,'Données projet'!$A$113:$I$133,3,0))</f>
        <v>13</v>
      </c>
      <c r="CG157" s="15">
        <f>IF(ISNA(VLOOKUP(A157,'Données projet'!$A$113:$I$133,4,0)),0,VLOOKUP(A157,'Données projet'!$A$113:$I$133,4,0))</f>
        <v>55.13</v>
      </c>
      <c r="CH157" s="16">
        <f>IF(ISNA(VLOOKUP(A157,'Données projet'!$A$113:$I$133,5,0)),0%,VLOOKUP(A157,'Données projet'!$A$113:$I$133,5,0)*VLOOKUP('Données projet'!$B$12,Paramètres!$A$1:$I$89,7,0))</f>
        <v>0.25800000000000001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79.662978547087107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79.662978547087107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68.78423712806395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146.95547268081216</v>
      </c>
      <c r="CZ157" s="59">
        <f t="shared" si="150"/>
        <v>343.21355872318065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5.4000291734369998</v>
      </c>
      <c r="DG157" s="21">
        <f>EXP(-LN(2)/25)*DG156+(1-EXP(-LN(2)/25))/(LN(2)/25)*Calculateur!DB157*Calculateur!DD157*VLOOKUP('Données projet'!$B$13,Paramètres!$A$1:$I$89,3,0)*0.475*44/12</f>
        <v>0.52034046514434362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5.9203696385813434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68.78423712806395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68.78423712806395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68.78423712806395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68.78423712806395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68.78423712806395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3.5999999999999996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13.199999999999998</v>
      </c>
      <c r="H158" s="67">
        <f t="shared" si="110"/>
        <v>203.86666666666667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68.805327895853452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366.78396742205962</v>
      </c>
      <c r="T158" s="59">
        <f t="shared" si="142"/>
        <v>271.89887525994988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37.70384590989498</v>
      </c>
      <c r="AA158" s="21">
        <f>EXP(-LN(2)/25)*AA157+(1-EXP(-LN(2)/25))/(LN(2)/25)*Calculateur!V158*Calculateur!X158*VLOOKUP('Données projet'!$B$9,Paramètres!$A$1:$I$89,3,0)*0.475*44/12</f>
        <v>10.364361765910918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48.068207675805894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68.805327895853452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6.2527760746888816E-13</v>
      </c>
      <c r="AJ158" s="13">
        <f>AI158*VLOOKUP('Données projet'!$B$10,Paramètres!$A$1:$I$89,3,0)*VLOOKUP('Données projet'!$B$10,Paramètres!$A$1:$I$89,5,0)</f>
        <v>2.9262992029543964E-13</v>
      </c>
      <c r="AK158" s="13">
        <f t="shared" si="164"/>
        <v>3.8796387982050903E-12</v>
      </c>
      <c r="AL158" s="20">
        <f t="shared" si="165"/>
        <v>7.2667013513884219E-12</v>
      </c>
      <c r="AM158" s="59">
        <f t="shared" si="113"/>
        <v>288.95286895146995</v>
      </c>
      <c r="AN158" s="59">
        <f ca="1">AVERAGE(OFFSET($AM$3,0,0,'Données projet'!$E$10+1,1))-AVERAGE(OFFSET($H$3,0,0,'Données projet'!$E$10+1,1))</f>
        <v>360.04137410460385</v>
      </c>
      <c r="AO158" s="59">
        <f t="shared" si="144"/>
        <v>287.81656468701829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107.12705724876368</v>
      </c>
      <c r="AV158" s="21">
        <f>EXP(-LN(2)/25)*AV157+(1-EXP(-LN(2)/25))/(LN(2)/25)*Calculateur!AQ158*Calculateur!AS158*VLOOKUP('Données projet'!$B$10,Paramètres!$A$1:$I$89,3,0)*0.475*44/12</f>
        <v>33.327879087452246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140.45493633621592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68.805327895853452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155.76430449447392</v>
      </c>
      <c r="BJ158" s="59">
        <f t="shared" si="146"/>
        <v>363.39275685992129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5.6586523074837505</v>
      </c>
      <c r="BQ158" s="21">
        <f>EXP(-LN(2)/25)*BQ157+(1-EXP(-LN(2)/25))/(LN(2)/25)*Calculateur!BL158*Calculateur!BN158*VLOOKUP('Données projet'!$B$11,Paramètres!$A$1:$I$89,3,0)*0.475*44/12</f>
        <v>0.54095876475486759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6.1996110722386177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68.805327895853452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8.4429999999999943</v>
      </c>
      <c r="BY158" s="12">
        <f>IF('Données projet'!$A$114&gt;35,BY157+BX158-CG157,IF(A158&lt;'Données projet'!$A$114,$BV$205^A158,IF(A158='Données projet'!$A$114,'Données projet'!$B$114,BY157+BX158-CG157)))</f>
        <v>443.78300000000047</v>
      </c>
      <c r="BZ158" s="13">
        <f>BY158*VLOOKUP('Données projet'!$B$12,Paramètres!$A$1:$I$89,3,0)*VLOOKUP('Données projet'!$B$12,Paramètres!$A$1:$I$89,5,0)</f>
        <v>449.99596200000047</v>
      </c>
      <c r="CA158" s="13">
        <f t="shared" si="170"/>
        <v>101.84206543885381</v>
      </c>
      <c r="CB158" s="20">
        <f t="shared" si="171"/>
        <v>961.1178977893378</v>
      </c>
      <c r="CC158" s="59">
        <f t="shared" si="119"/>
        <v>1250.0707667408005</v>
      </c>
      <c r="CD158" s="59">
        <f ca="1">AVERAGE(OFFSET($CC$3,0,0,'Données projet'!$E$12+1,1))-AVERAGE(OFFSET($H$3,0,0,'Données projet'!$E$12+1,1))</f>
        <v>679.4570479719705</v>
      </c>
      <c r="CE158" s="59">
        <f t="shared" si="148"/>
        <v>310.8252119379963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78.100836127397812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78.100836127397812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68.805327895853452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146.95547268081216</v>
      </c>
      <c r="CZ158" s="59">
        <f t="shared" si="150"/>
        <v>343.21355872318065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5.294137895038471</v>
      </c>
      <c r="DG158" s="21">
        <f>EXP(-LN(2)/25)*DG157+(1-EXP(-LN(2)/25))/(LN(2)/25)*Calculateur!DB158*Calculateur!DD158*VLOOKUP('Données projet'!$B$13,Paramètres!$A$1:$I$89,3,0)*0.475*44/12</f>
        <v>0.50611172776145574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5.8002496227999263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68.805327895853452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68.805327895853452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68.805327895853452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68.805327895853452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68.805327895853452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3.5999999999999996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13.199999999999998</v>
      </c>
      <c r="H159" s="67">
        <f t="shared" si="110"/>
        <v>203.86666666666667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68.826052785973701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366.78396742205962</v>
      </c>
      <c r="T159" s="59">
        <f t="shared" si="142"/>
        <v>271.89887525994988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36.96449648867717</v>
      </c>
      <c r="AA159" s="21">
        <f>EXP(-LN(2)/25)*AA158+(1-EXP(-LN(2)/25))/(LN(2)/25)*Calculateur!V159*Calculateur!X159*VLOOKUP('Données projet'!$B$9,Paramètres!$A$1:$I$89,3,0)*0.475*44/12</f>
        <v>10.080947748383986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47.045444237061155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68.826052785973701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6.2527760746888816E-13</v>
      </c>
      <c r="AJ159" s="13">
        <f>AI159*VLOOKUP('Données projet'!$B$10,Paramètres!$A$1:$I$89,3,0)*VLOOKUP('Données projet'!$B$10,Paramètres!$A$1:$I$89,5,0)</f>
        <v>2.9262992029543964E-13</v>
      </c>
      <c r="AK159" s="13">
        <f t="shared" si="164"/>
        <v>3.8796387982050903E-12</v>
      </c>
      <c r="AL159" s="20">
        <f t="shared" si="165"/>
        <v>7.2667013513884219E-12</v>
      </c>
      <c r="AM159" s="59">
        <f t="shared" si="113"/>
        <v>289.02886021524415</v>
      </c>
      <c r="AN159" s="59">
        <f ca="1">AVERAGE(OFFSET($AM$3,0,0,'Données projet'!$E$10+1,1))-AVERAGE(OFFSET($H$3,0,0,'Données projet'!$E$10+1,1))</f>
        <v>360.04137410460385</v>
      </c>
      <c r="AO159" s="59">
        <f t="shared" si="144"/>
        <v>287.81656468701829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105.02636099716845</v>
      </c>
      <c r="AV159" s="21">
        <f>EXP(-LN(2)/25)*AV158+(1-EXP(-LN(2)/25))/(LN(2)/25)*Calculateur!AQ159*Calculateur!AS159*VLOOKUP('Données projet'!$B$10,Paramètres!$A$1:$I$89,3,0)*0.475*44/12</f>
        <v>32.416526481168873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137.44288747833733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68.826052785973701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155.76430449447392</v>
      </c>
      <c r="BJ159" s="59">
        <f t="shared" si="146"/>
        <v>363.39275685992129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5.5476895871711003</v>
      </c>
      <c r="BQ159" s="21">
        <f>EXP(-LN(2)/25)*BQ158+(1-EXP(-LN(2)/25))/(LN(2)/25)*Calculateur!BL159*Calculateur!BN159*VLOOKUP('Données projet'!$B$11,Paramètres!$A$1:$I$89,3,0)*0.475*44/12</f>
        <v>0.5261662188848607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6.0738558060559606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68.826052785973701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8.4429999999999943</v>
      </c>
      <c r="BY159" s="12">
        <f>IF('Données projet'!$A$114&gt;35,BY158+BX159-CG158,IF(A159&lt;'Données projet'!$A$114,$BV$205^A159,IF(A159='Données projet'!$A$114,'Données projet'!$B$114,BY158+BX159-CG158)))</f>
        <v>452.22600000000045</v>
      </c>
      <c r="BZ159" s="13">
        <f>BY159*VLOOKUP('Données projet'!$B$12,Paramètres!$A$1:$I$89,3,0)*VLOOKUP('Données projet'!$B$12,Paramètres!$A$1:$I$89,5,0)</f>
        <v>458.55716400000051</v>
      </c>
      <c r="CA159" s="13">
        <f t="shared" si="170"/>
        <v>103.55220386280693</v>
      </c>
      <c r="CB159" s="20">
        <f t="shared" si="171"/>
        <v>979.00714902772279</v>
      </c>
      <c r="CC159" s="59">
        <f t="shared" si="119"/>
        <v>1268.0360092429596</v>
      </c>
      <c r="CD159" s="59">
        <f ca="1">AVERAGE(OFFSET($CC$3,0,0,'Données projet'!$E$12+1,1))-AVERAGE(OFFSET($H$3,0,0,'Données projet'!$E$12+1,1))</f>
        <v>679.4570479719705</v>
      </c>
      <c r="CE159" s="59">
        <f t="shared" si="148"/>
        <v>310.8252119379963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76.56932636774583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76.56932636774583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68.826052785973701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146.95547268081216</v>
      </c>
      <c r="CZ159" s="59">
        <f t="shared" si="150"/>
        <v>343.21355872318065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5.1903230800220346</v>
      </c>
      <c r="DG159" s="21">
        <f>EXP(-LN(2)/25)*DG158+(1-EXP(-LN(2)/25))/(LN(2)/25)*Calculateur!DB159*Calculateur!DD159*VLOOKUP('Données projet'!$B$13,Paramètres!$A$1:$I$89,3,0)*0.475*44/12</f>
        <v>0.49227207595055972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5.682595155972594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68.826052785973701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68.826052785973701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68.826052785973701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68.826052785973701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68.826052785973701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3.5999999999999996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13.199999999999998</v>
      </c>
      <c r="H160" s="67">
        <f t="shared" si="110"/>
        <v>203.86666666666667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68.846418145584281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366.78396742205962</v>
      </c>
      <c r="T160" s="59">
        <f t="shared" si="142"/>
        <v>271.89887525994988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36.239645258650825</v>
      </c>
      <c r="AA160" s="21">
        <f>EXP(-LN(2)/25)*AA159+(1-EXP(-LN(2)/25))/(LN(2)/25)*Calculateur!V160*Calculateur!X160*VLOOKUP('Données projet'!$B$9,Paramètres!$A$1:$I$89,3,0)*0.475*44/12</f>
        <v>9.8052837020704242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46.044928960721251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68.846418145584281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6.2527760746888816E-13</v>
      </c>
      <c r="AJ160" s="13">
        <f>AI160*VLOOKUP('Données projet'!$B$10,Paramètres!$A$1:$I$89,3,0)*VLOOKUP('Données projet'!$B$10,Paramètres!$A$1:$I$89,5,0)</f>
        <v>2.9262992029543964E-13</v>
      </c>
      <c r="AK160" s="13">
        <f t="shared" si="164"/>
        <v>3.8796387982050903E-12</v>
      </c>
      <c r="AL160" s="20">
        <f t="shared" si="165"/>
        <v>7.2667013513884219E-12</v>
      </c>
      <c r="AM160" s="59">
        <f t="shared" si="113"/>
        <v>289.10353320048296</v>
      </c>
      <c r="AN160" s="59">
        <f ca="1">AVERAGE(OFFSET($AM$3,0,0,'Données projet'!$E$10+1,1))-AVERAGE(OFFSET($H$3,0,0,'Données projet'!$E$10+1,1))</f>
        <v>360.04137410460385</v>
      </c>
      <c r="AO160" s="59">
        <f t="shared" si="144"/>
        <v>287.81656468701829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102.96685811776881</v>
      </c>
      <c r="AV160" s="21">
        <f>EXP(-LN(2)/25)*AV159+(1-EXP(-LN(2)/25))/(LN(2)/25)*Calculateur!AQ160*Calculateur!AS160*VLOOKUP('Données projet'!$B$10,Paramètres!$A$1:$I$89,3,0)*0.475*44/12</f>
        <v>31.530094859830271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134.49695297759908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68.846418145584281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155.76430449447392</v>
      </c>
      <c r="BJ160" s="59">
        <f t="shared" si="146"/>
        <v>363.39275685992129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5.4389027781232047</v>
      </c>
      <c r="BQ160" s="21">
        <f>EXP(-LN(2)/25)*BQ159+(1-EXP(-LN(2)/25))/(LN(2)/25)*Calculateur!BL160*Calculateur!BN160*VLOOKUP('Données projet'!$B$11,Paramètres!$A$1:$I$89,3,0)*0.475*44/12</f>
        <v>0.51177817595957531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5.9506809540827801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68.846418145584281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8.4429999999999943</v>
      </c>
      <c r="BY160" s="12">
        <f>IF('Données projet'!$A$114&gt;35,BY159+BX160-CG159,IF(A160&lt;'Données projet'!$A$114,$BV$205^A160,IF(A160='Données projet'!$A$114,'Données projet'!$B$114,BY159+BX160-CG159)))</f>
        <v>460.66900000000044</v>
      </c>
      <c r="BZ160" s="13">
        <f>BY160*VLOOKUP('Données projet'!$B$12,Paramètres!$A$1:$I$89,3,0)*VLOOKUP('Données projet'!$B$12,Paramètres!$A$1:$I$89,5,0)</f>
        <v>467.11836600000044</v>
      </c>
      <c r="CA160" s="13">
        <f t="shared" si="170"/>
        <v>105.25862966790358</v>
      </c>
      <c r="CB160" s="20">
        <f t="shared" si="171"/>
        <v>996.88993412159937</v>
      </c>
      <c r="CC160" s="59">
        <f t="shared" si="119"/>
        <v>1285.993467322075</v>
      </c>
      <c r="CD160" s="59">
        <f ca="1">AVERAGE(OFFSET($CC$3,0,0,'Données projet'!$E$12+1,1))-AVERAGE(OFFSET($H$3,0,0,'Données projet'!$E$12+1,1))</f>
        <v>679.4570479719705</v>
      </c>
      <c r="CE160" s="59">
        <f t="shared" si="148"/>
        <v>310.8252119379963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75.067848580351907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75.067848580351907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68.846418145584281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146.95547268081216</v>
      </c>
      <c r="CZ160" s="59">
        <f t="shared" si="150"/>
        <v>343.21355872318065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5.0885440102072863</v>
      </c>
      <c r="DG160" s="21">
        <f>EXP(-LN(2)/25)*DG159+(1-EXP(-LN(2)/25))/(LN(2)/25)*Calculateur!DB160*Calculateur!DD160*VLOOKUP('Données projet'!$B$13,Paramètres!$A$1:$I$89,3,0)*0.475*44/12</f>
        <v>0.47881087014622831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5.5673548803535144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68.846418145584281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68.846418145584281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68.846418145584281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68.846418145584281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68.846418145584281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3.5999999999999996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13.199999999999998</v>
      </c>
      <c r="H161" s="67">
        <f t="shared" si="110"/>
        <v>203.86666666666667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68.866430211735732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366.78396742205962</v>
      </c>
      <c r="T161" s="59">
        <f t="shared" si="142"/>
        <v>271.89887525994988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35.529007919129704</v>
      </c>
      <c r="AA161" s="21">
        <f>EXP(-LN(2)/25)*AA160+(1-EXP(-LN(2)/25))/(LN(2)/25)*Calculateur!V161*Calculateur!X161*VLOOKUP('Données projet'!$B$9,Paramètres!$A$1:$I$89,3,0)*0.475*44/12</f>
        <v>9.5371577035998492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45.066165622729557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68.866430211735732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6.2527760746888816E-13</v>
      </c>
      <c r="AJ161" s="13">
        <f>AI161*VLOOKUP('Données projet'!$B$10,Paramètres!$A$1:$I$89,3,0)*VLOOKUP('Données projet'!$B$10,Paramètres!$A$1:$I$89,5,0)</f>
        <v>2.9262992029543964E-13</v>
      </c>
      <c r="AK161" s="13">
        <f t="shared" si="164"/>
        <v>3.8796387982050903E-12</v>
      </c>
      <c r="AL161" s="20">
        <f t="shared" si="165"/>
        <v>7.2667013513884219E-12</v>
      </c>
      <c r="AM161" s="59">
        <f t="shared" si="113"/>
        <v>289.17691077637164</v>
      </c>
      <c r="AN161" s="59">
        <f ca="1">AVERAGE(OFFSET($AM$3,0,0,'Données projet'!$E$10+1,1))-AVERAGE(OFFSET($H$3,0,0,'Données projet'!$E$10+1,1))</f>
        <v>360.04137410460385</v>
      </c>
      <c r="AO161" s="59">
        <f t="shared" si="144"/>
        <v>287.81656468701829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100.94774083366147</v>
      </c>
      <c r="AV161" s="21">
        <f>EXP(-LN(2)/25)*AV160+(1-EXP(-LN(2)/25))/(LN(2)/25)*Calculateur!AQ161*Calculateur!AS161*VLOOKUP('Données projet'!$B$10,Paramètres!$A$1:$I$89,3,0)*0.475*44/12</f>
        <v>30.667902757792586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131.61564359145405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68.866430211735732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155.76430449447392</v>
      </c>
      <c r="BJ161" s="59">
        <f t="shared" si="146"/>
        <v>363.39275685992129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5.332249212047337</v>
      </c>
      <c r="BQ161" s="21">
        <f>EXP(-LN(2)/25)*BQ160+(1-EXP(-LN(2)/25))/(LN(2)/25)*Calculateur!BL161*Calculateur!BN161*VLOOKUP('Données projet'!$B$11,Paramètres!$A$1:$I$89,3,0)*0.475*44/12</f>
        <v>0.49778357482471614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5.830032786872053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68.866430211735732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8.4429999999999943</v>
      </c>
      <c r="BY161" s="12">
        <f>IF('Données projet'!$A$114&gt;35,BY160+BX161-CG160,IF(A161&lt;'Données projet'!$A$114,$BV$205^A161,IF(A161='Données projet'!$A$114,'Données projet'!$B$114,BY160+BX161-CG160)))</f>
        <v>469.11200000000042</v>
      </c>
      <c r="BZ161" s="13">
        <f>BY161*VLOOKUP('Données projet'!$B$12,Paramètres!$A$1:$I$89,3,0)*VLOOKUP('Données projet'!$B$12,Paramètres!$A$1:$I$89,5,0)</f>
        <v>475.67956800000047</v>
      </c>
      <c r="CA161" s="13">
        <f t="shared" si="170"/>
        <v>106.96141874577063</v>
      </c>
      <c r="CB161" s="20">
        <f t="shared" si="171"/>
        <v>1014.7663852488846</v>
      </c>
      <c r="CC161" s="59">
        <f t="shared" si="119"/>
        <v>1303.9432960252489</v>
      </c>
      <c r="CD161" s="59">
        <f ca="1">AVERAGE(OFFSET($CC$3,0,0,'Données projet'!$E$12+1,1))-AVERAGE(OFFSET($H$3,0,0,'Données projet'!$E$12+1,1))</f>
        <v>679.4570479719705</v>
      </c>
      <c r="CE161" s="59">
        <f t="shared" si="148"/>
        <v>310.8252119379963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73.595813856557768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73.595813856557768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68.866430211735732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146.95547268081216</v>
      </c>
      <c r="CZ161" s="59">
        <f t="shared" si="150"/>
        <v>343.21355872318065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4.9887607658725024</v>
      </c>
      <c r="DG161" s="21">
        <f>EXP(-LN(2)/25)*DG160+(1-EXP(-LN(2)/25))/(LN(2)/25)*Calculateur!DB161*Calculateur!DD161*VLOOKUP('Données projet'!$B$13,Paramètres!$A$1:$I$89,3,0)*0.475*44/12</f>
        <v>0.46571776172251039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5.4544785275950129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68.866430211735732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68.866430211735732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68.866430211735732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68.866430211735732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68.866430211735732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3.5999999999999996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13.199999999999998</v>
      </c>
      <c r="H162" s="67">
        <f t="shared" si="110"/>
        <v>203.86666666666667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68.886095113279737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366.78396742205962</v>
      </c>
      <c r="T162" s="59">
        <f t="shared" si="142"/>
        <v>271.89887525994988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34.832305744390609</v>
      </c>
      <c r="AA162" s="21">
        <f>EXP(-LN(2)/25)*AA161+(1-EXP(-LN(2)/25))/(LN(2)/25)*Calculateur!V162*Calculateur!X162*VLOOKUP('Données projet'!$B$9,Paramètres!$A$1:$I$89,3,0)*0.475*44/12</f>
        <v>9.2763636246575842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44.108669369048194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68.886095113279737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6.2527760746888816E-13</v>
      </c>
      <c r="AJ162" s="13">
        <f>AI162*VLOOKUP('Données projet'!$B$10,Paramètres!$A$1:$I$89,3,0)*VLOOKUP('Données projet'!$B$10,Paramètres!$A$1:$I$89,5,0)</f>
        <v>2.9262992029543964E-13</v>
      </c>
      <c r="AK162" s="13">
        <f t="shared" si="164"/>
        <v>3.8796387982050903E-12</v>
      </c>
      <c r="AL162" s="20">
        <f t="shared" si="165"/>
        <v>7.2667013513884219E-12</v>
      </c>
      <c r="AM162" s="59">
        <f t="shared" si="113"/>
        <v>289.24901541536633</v>
      </c>
      <c r="AN162" s="59">
        <f ca="1">AVERAGE(OFFSET($AM$3,0,0,'Données projet'!$E$10+1,1))-AVERAGE(OFFSET($H$3,0,0,'Données projet'!$E$10+1,1))</f>
        <v>360.04137410460385</v>
      </c>
      <c r="AO162" s="59">
        <f t="shared" si="144"/>
        <v>287.81656468701829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98.968217207955547</v>
      </c>
      <c r="AV162" s="21">
        <f>EXP(-LN(2)/25)*AV161+(1-EXP(-LN(2)/25))/(LN(2)/25)*Calculateur!AQ162*Calculateur!AS162*VLOOKUP('Données projet'!$B$10,Paramètres!$A$1:$I$89,3,0)*0.475*44/12</f>
        <v>29.829287344125834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128.79750455208139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68.886095113279737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155.76430449447392</v>
      </c>
      <c r="BJ162" s="59">
        <f t="shared" si="146"/>
        <v>363.39275685992129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5.2276870573499652</v>
      </c>
      <c r="BQ162" s="21">
        <f>EXP(-LN(2)/25)*BQ161+(1-EXP(-LN(2)/25))/(LN(2)/25)*Calculateur!BL162*Calculateur!BN162*VLOOKUP('Données projet'!$B$11,Paramètres!$A$1:$I$89,3,0)*0.475*44/12</f>
        <v>0.48417165679383378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5.7118587141437986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68.886095113279737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8.4429999999999943</v>
      </c>
      <c r="BY162" s="12">
        <f>IF('Données projet'!$A$114&gt;35,BY161+BX162-CG161,IF(A162&lt;'Données projet'!$A$114,$BV$205^A162,IF(A162='Données projet'!$A$114,'Données projet'!$B$114,BY161+BX162-CG161)))</f>
        <v>477.5550000000004</v>
      </c>
      <c r="BZ162" s="13">
        <f>BY162*VLOOKUP('Données projet'!$B$12,Paramètres!$A$1:$I$89,3,0)*VLOOKUP('Données projet'!$B$12,Paramètres!$A$1:$I$89,5,0)</f>
        <v>484.24077000000045</v>
      </c>
      <c r="CA162" s="13">
        <f t="shared" si="170"/>
        <v>108.66064409983538</v>
      </c>
      <c r="CB162" s="20">
        <f t="shared" si="171"/>
        <v>1032.6366295572141</v>
      </c>
      <c r="CC162" s="59">
        <f t="shared" si="119"/>
        <v>1321.8856449725731</v>
      </c>
      <c r="CD162" s="59">
        <f ca="1">AVERAGE(OFFSET($CC$3,0,0,'Données projet'!$E$12+1,1))-AVERAGE(OFFSET($H$3,0,0,'Données projet'!$E$12+1,1))</f>
        <v>679.4570479719705</v>
      </c>
      <c r="CE162" s="59">
        <f t="shared" si="148"/>
        <v>310.8252119379963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72.152644835844697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72.152644835844697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68.886095113279737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146.95547268081216</v>
      </c>
      <c r="CZ162" s="59">
        <f t="shared" si="150"/>
        <v>343.21355872318065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4.8909342100973543</v>
      </c>
      <c r="DG162" s="21">
        <f>EXP(-LN(2)/25)*DG161+(1-EXP(-LN(2)/25))/(LN(2)/25)*Calculateur!DB162*Calculateur!DD162*VLOOKUP('Données projet'!$B$13,Paramètres!$A$1:$I$89,3,0)*0.475*44/12</f>
        <v>0.45298268503717565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5.3439168951345302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68.886095113279737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68.886095113279737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68.886095113279737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68.886095113279737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68.886095113279737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3.5999999999999996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13.199999999999998</v>
      </c>
      <c r="H163" s="67">
        <f t="shared" si="110"/>
        <v>203.86666666666667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68.905418872746083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366.78396742205962</v>
      </c>
      <c r="T163" s="59">
        <f t="shared" si="142"/>
        <v>271.89887525994988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34.149265474351786</v>
      </c>
      <c r="AA163" s="21">
        <f>EXP(-LN(2)/25)*AA162+(1-EXP(-LN(2)/25))/(LN(2)/25)*Calculateur!V163*Calculateur!X163*VLOOKUP('Données projet'!$B$9,Paramètres!$A$1:$I$89,3,0)*0.475*44/12</f>
        <v>9.0227009735185604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43.171966447870346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68.905418872746083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6.2527760746888816E-13</v>
      </c>
      <c r="AJ163" s="13">
        <f>AI163*VLOOKUP('Données projet'!$B$10,Paramètres!$A$1:$I$89,3,0)*VLOOKUP('Données projet'!$B$10,Paramètres!$A$1:$I$89,5,0)</f>
        <v>2.9262992029543964E-13</v>
      </c>
      <c r="AK163" s="13">
        <f t="shared" si="164"/>
        <v>3.8796387982050903E-12</v>
      </c>
      <c r="AL163" s="20">
        <f t="shared" si="165"/>
        <v>7.2667013513884219E-12</v>
      </c>
      <c r="AM163" s="59">
        <f t="shared" si="113"/>
        <v>289.31986920007625</v>
      </c>
      <c r="AN163" s="59">
        <f ca="1">AVERAGE(OFFSET($AM$3,0,0,'Données projet'!$E$10+1,1))-AVERAGE(OFFSET($H$3,0,0,'Données projet'!$E$10+1,1))</f>
        <v>360.04137410460385</v>
      </c>
      <c r="AO163" s="59">
        <f t="shared" si="144"/>
        <v>287.81656468701829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97.027510833159525</v>
      </c>
      <c r="AV163" s="21">
        <f>EXP(-LN(2)/25)*AV162+(1-EXP(-LN(2)/25))/(LN(2)/25)*Calculateur!AQ163*Calculateur!AS163*VLOOKUP('Données projet'!$B$10,Paramètres!$A$1:$I$89,3,0)*0.475*44/12</f>
        <v>29.013603913046669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126.04111474620619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68.905418872746083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155.76430449447392</v>
      </c>
      <c r="BJ163" s="59">
        <f t="shared" si="146"/>
        <v>363.39275685992129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5.1251753027295921</v>
      </c>
      <c r="BQ163" s="21">
        <f>EXP(-LN(2)/25)*BQ162+(1-EXP(-LN(2)/25))/(LN(2)/25)*Calculateur!BL163*Calculateur!BN163*VLOOKUP('Données projet'!$B$11,Paramètres!$A$1:$I$89,3,0)*0.475*44/12</f>
        <v>0.47093195737732557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5.5961072601069173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68.905418872746083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8.4429999999999943</v>
      </c>
      <c r="BY163" s="12">
        <f>IF('Données projet'!$A$114&gt;35,BY162+BX163-CG162,IF(A163&lt;'Données projet'!$A$114,$BV$205^A163,IF(A163='Données projet'!$A$114,'Données projet'!$B$114,BY162+BX163-CG162)))</f>
        <v>485.99800000000039</v>
      </c>
      <c r="BZ163" s="13">
        <f>BY163*VLOOKUP('Données projet'!$B$12,Paramètres!$A$1:$I$89,3,0)*VLOOKUP('Données projet'!$B$12,Paramètres!$A$1:$I$89,5,0)</f>
        <v>492.80197200000038</v>
      </c>
      <c r="CA163" s="13">
        <f t="shared" si="170"/>
        <v>110.35637600432534</v>
      </c>
      <c r="CB163" s="20">
        <f t="shared" si="171"/>
        <v>1050.5007894408673</v>
      </c>
      <c r="CC163" s="59">
        <f t="shared" si="119"/>
        <v>1339.8206586409362</v>
      </c>
      <c r="CD163" s="59">
        <f ca="1">AVERAGE(OFFSET($CC$3,0,0,'Données projet'!$E$12+1,1))-AVERAGE(OFFSET($H$3,0,0,'Données projet'!$E$12+1,1))</f>
        <v>679.4570479719705</v>
      </c>
      <c r="CE163" s="59">
        <f t="shared" si="148"/>
        <v>310.8252119379963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70.737775479381625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70.737775479381625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68.905418872746083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146.95547268081216</v>
      </c>
      <c r="CZ163" s="59">
        <f t="shared" si="150"/>
        <v>343.21355872318065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4.795025973412649</v>
      </c>
      <c r="DG163" s="21">
        <f>EXP(-LN(2)/25)*DG162+(1-EXP(-LN(2)/25))/(LN(2)/25)*Calculateur!DB163*Calculateur!DD163*VLOOKUP('Données projet'!$B$13,Paramètres!$A$1:$I$89,3,0)*0.475*44/12</f>
        <v>0.44059584969350996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5.2356218231061593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68.905418872746083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68.905418872746083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68.905418872746083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68.905418872746083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68.905418872746083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3.5999999999999996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13.199999999999998</v>
      </c>
      <c r="H164" s="67">
        <f t="shared" si="110"/>
        <v>203.86666666666667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68.924407408187136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366.78396742205962</v>
      </c>
      <c r="T164" s="59">
        <f t="shared" si="142"/>
        <v>271.89887525994988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33.479619207394997</v>
      </c>
      <c r="AA164" s="21">
        <f>EXP(-LN(2)/25)*AA163+(1-EXP(-LN(2)/25))/(LN(2)/25)*Calculateur!V164*Calculateur!X164*VLOOKUP('Données projet'!$B$9,Paramètres!$A$1:$I$89,3,0)*0.475*44/12</f>
        <v>8.7759747409144726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42.255593948309468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68.924407408187136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6.2527760746888816E-13</v>
      </c>
      <c r="AJ164" s="13">
        <f>AI164*VLOOKUP('Données projet'!$B$10,Paramètres!$A$1:$I$89,3,0)*VLOOKUP('Données projet'!$B$10,Paramètres!$A$1:$I$89,5,0)</f>
        <v>2.9262992029543964E-13</v>
      </c>
      <c r="AK164" s="13">
        <f t="shared" si="164"/>
        <v>3.8796387982050903E-12</v>
      </c>
      <c r="AL164" s="20">
        <f t="shared" si="165"/>
        <v>7.2667013513884219E-12</v>
      </c>
      <c r="AM164" s="59">
        <f t="shared" si="113"/>
        <v>289.38949383002677</v>
      </c>
      <c r="AN164" s="59">
        <f ca="1">AVERAGE(OFFSET($AM$3,0,0,'Données projet'!$E$10+1,1))-AVERAGE(OFFSET($H$3,0,0,'Données projet'!$E$10+1,1))</f>
        <v>360.04137410460385</v>
      </c>
      <c r="AO164" s="59">
        <f t="shared" si="144"/>
        <v>287.81656468701829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95.124860526659248</v>
      </c>
      <c r="AV164" s="21">
        <f>EXP(-LN(2)/25)*AV163+(1-EXP(-LN(2)/25))/(LN(2)/25)*Calculateur!AQ164*Calculateur!AS164*VLOOKUP('Données projet'!$B$10,Paramètres!$A$1:$I$89,3,0)*0.475*44/12</f>
        <v>28.220225388285289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123.34508591494453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68.924407408187136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155.76430449447392</v>
      </c>
      <c r="BJ164" s="59">
        <f t="shared" si="146"/>
        <v>363.39275685992129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5.0246737410913278</v>
      </c>
      <c r="BQ164" s="21">
        <f>EXP(-LN(2)/25)*BQ163+(1-EXP(-LN(2)/25))/(LN(2)/25)*Calculateur!BL164*Calculateur!BN164*VLOOKUP('Données projet'!$B$11,Paramètres!$A$1:$I$89,3,0)*0.475*44/12</f>
        <v>0.45805429823760729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5.4827280393289355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68.924407408187136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8.4429999999999943</v>
      </c>
      <c r="BY164" s="12">
        <f>IF('Données projet'!$A$114&gt;35,BY163+BX164-CG163,IF(A164&lt;'Données projet'!$A$114,$BV$205^A164,IF(A164='Données projet'!$A$114,'Données projet'!$B$114,BY163+BX164-CG163)))</f>
        <v>494.44100000000037</v>
      </c>
      <c r="BZ164" s="13">
        <f>BY164*VLOOKUP('Données projet'!$B$12,Paramètres!$A$1:$I$89,3,0)*VLOOKUP('Données projet'!$B$12,Paramètres!$A$1:$I$89,5,0)</f>
        <v>501.36317400000041</v>
      </c>
      <c r="CA164" s="13">
        <f t="shared" si="170"/>
        <v>112.04868215190658</v>
      </c>
      <c r="CB164" s="20">
        <f t="shared" si="171"/>
        <v>1068.3589827979044</v>
      </c>
      <c r="CC164" s="59">
        <f t="shared" si="119"/>
        <v>1357.748476627924</v>
      </c>
      <c r="CD164" s="59">
        <f ca="1">AVERAGE(OFFSET($CC$3,0,0,'Données projet'!$E$12+1,1))-AVERAGE(OFFSET($H$3,0,0,'Données projet'!$E$12+1,1))</f>
        <v>679.4570479719705</v>
      </c>
      <c r="CE164" s="59">
        <f t="shared" si="148"/>
        <v>310.8252119379963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69.3506508480137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69.3506508480137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68.924407408187136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146.95547268081216</v>
      </c>
      <c r="CZ164" s="59">
        <f t="shared" si="150"/>
        <v>343.21355872318065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4.7009984387510828</v>
      </c>
      <c r="DG164" s="21">
        <f>EXP(-LN(2)/25)*DG163+(1-EXP(-LN(2)/25))/(LN(2)/25)*Calculateur!DB164*Calculateur!DD164*VLOOKUP('Données projet'!$B$13,Paramètres!$A$1:$I$89,3,0)*0.475*44/12</f>
        <v>0.42854773301371218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5.1295461717647948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68.924407408187136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68.924407408187136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68.924407408187136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68.924407408187136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68.924407408187136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3.5999999999999996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13.199999999999998</v>
      </c>
      <c r="H165" s="67">
        <f t="shared" si="110"/>
        <v>203.86666666666667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68.943066534990294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366.78396742205962</v>
      </c>
      <c r="T165" s="59">
        <f t="shared" si="142"/>
        <v>271.89887525994988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32.823104295289333</v>
      </c>
      <c r="AA165" s="21">
        <f>EXP(-LN(2)/25)*AA164+(1-EXP(-LN(2)/25))/(LN(2)/25)*Calculateur!V165*Calculateur!X165*VLOOKUP('Données projet'!$B$9,Paramètres!$A$1:$I$89,3,0)*0.475*44/12</f>
        <v>8.5359952501157128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41.359099545405044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68.943066534990294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6.2527760746888816E-13</v>
      </c>
      <c r="AJ165" s="13">
        <f>AI165*VLOOKUP('Données projet'!$B$10,Paramètres!$A$1:$I$89,3,0)*VLOOKUP('Données projet'!$B$10,Paramètres!$A$1:$I$89,5,0)</f>
        <v>2.9262992029543964E-13</v>
      </c>
      <c r="AK165" s="13">
        <f t="shared" si="164"/>
        <v>3.8796387982050903E-12</v>
      </c>
      <c r="AL165" s="20">
        <f t="shared" si="165"/>
        <v>7.2667013513884219E-12</v>
      </c>
      <c r="AM165" s="59">
        <f t="shared" si="113"/>
        <v>289.457910628305</v>
      </c>
      <c r="AN165" s="59">
        <f ca="1">AVERAGE(OFFSET($AM$3,0,0,'Données projet'!$E$10+1,1))-AVERAGE(OFFSET($H$3,0,0,'Données projet'!$E$10+1,1))</f>
        <v>360.04137410460385</v>
      </c>
      <c r="AO165" s="59">
        <f t="shared" si="144"/>
        <v>287.81656468701829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93.259520032167345</v>
      </c>
      <c r="AV165" s="21">
        <f>EXP(-LN(2)/25)*AV164+(1-EXP(-LN(2)/25))/(LN(2)/25)*Calculateur!AQ165*Calculateur!AS165*VLOOKUP('Données projet'!$B$10,Paramètres!$A$1:$I$89,3,0)*0.475*44/12</f>
        <v>27.448541841005472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120.70806187317282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68.943066534990294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155.76430449447392</v>
      </c>
      <c r="BJ165" s="59">
        <f t="shared" si="146"/>
        <v>363.39275685992129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4.9261429537768899</v>
      </c>
      <c r="BQ165" s="21">
        <f>EXP(-LN(2)/25)*BQ164+(1-EXP(-LN(2)/25))/(LN(2)/25)*Calculateur!BL165*Calculateur!BN165*VLOOKUP('Données projet'!$B$11,Paramètres!$A$1:$I$89,3,0)*0.475*44/12</f>
        <v>0.44552877936427127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5.3716717331411612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68.943066534990294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8.4429999999999943</v>
      </c>
      <c r="BY165" s="12">
        <f>IF('Données projet'!$A$114&gt;35,BY164+BX165-CG164,IF(A165&lt;'Données projet'!$A$114,$BV$205^A165,IF(A165='Données projet'!$A$114,'Données projet'!$B$114,BY164+BX165-CG164)))</f>
        <v>502.88400000000036</v>
      </c>
      <c r="BZ165" s="13">
        <f>BY165*VLOOKUP('Données projet'!$B$12,Paramètres!$A$1:$I$89,3,0)*VLOOKUP('Données projet'!$B$12,Paramètres!$A$1:$I$89,5,0)</f>
        <v>509.92437600000034</v>
      </c>
      <c r="CA165" s="13">
        <f t="shared" si="170"/>
        <v>113.73762779095213</v>
      </c>
      <c r="CB165" s="20">
        <f t="shared" si="171"/>
        <v>1086.211323269242</v>
      </c>
      <c r="CC165" s="59">
        <f t="shared" si="119"/>
        <v>1375.6692338975397</v>
      </c>
      <c r="CD165" s="59">
        <f ca="1">AVERAGE(OFFSET($CC$3,0,0,'Données projet'!$E$12+1,1))-AVERAGE(OFFSET($H$3,0,0,'Données projet'!$E$12+1,1))</f>
        <v>679.4570479719705</v>
      </c>
      <c r="CE165" s="59">
        <f t="shared" si="148"/>
        <v>310.8252119379963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67.990726884604413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67.990726884604413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68.943066534990294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146.95547268081216</v>
      </c>
      <c r="CZ165" s="59">
        <f t="shared" si="150"/>
        <v>343.21355872318065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4.6088147266930966</v>
      </c>
      <c r="DG165" s="21">
        <f>EXP(-LN(2)/25)*DG164+(1-EXP(-LN(2)/25))/(LN(2)/25)*Calculateur!DB165*Calculateur!DD165*VLOOKUP('Données projet'!$B$13,Paramètres!$A$1:$I$89,3,0)*0.475*44/12</f>
        <v>0.41682907271810643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5.0256437994112027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68.943066534990294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68.943066534990294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68.943066534990294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68.943066534990294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68.943066534990294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3.5999999999999996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13.199999999999998</v>
      </c>
      <c r="H166" s="67">
        <f t="shared" si="110"/>
        <v>203.86666666666667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68.961401967658986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366.78396742205962</v>
      </c>
      <c r="T166" s="59">
        <f t="shared" si="142"/>
        <v>271.89887525994988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32.179463240175508</v>
      </c>
      <c r="AA166" s="21">
        <f>EXP(-LN(2)/25)*AA165+(1-EXP(-LN(2)/25))/(LN(2)/25)*Calculateur!V166*Calculateur!X166*VLOOKUP('Données projet'!$B$9,Paramètres!$A$1:$I$89,3,0)*0.475*44/12</f>
        <v>8.3025780111128178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40.482041251288322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68.961401967658986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6.2527760746888816E-13</v>
      </c>
      <c r="AJ166" s="13">
        <f>AI166*VLOOKUP('Données projet'!$B$10,Paramètres!$A$1:$I$89,3,0)*VLOOKUP('Données projet'!$B$10,Paramètres!$A$1:$I$89,5,0)</f>
        <v>2.9262992029543964E-13</v>
      </c>
      <c r="AK166" s="13">
        <f t="shared" si="164"/>
        <v>3.8796387982050903E-12</v>
      </c>
      <c r="AL166" s="20">
        <f t="shared" si="165"/>
        <v>7.2667013513884219E-12</v>
      </c>
      <c r="AM166" s="59">
        <f t="shared" si="113"/>
        <v>289.52514054809023</v>
      </c>
      <c r="AN166" s="59">
        <f ca="1">AVERAGE(OFFSET($AM$3,0,0,'Données projet'!$E$10+1,1))-AVERAGE(OFFSET($H$3,0,0,'Données projet'!$E$10+1,1))</f>
        <v>360.04137410460385</v>
      </c>
      <c r="AO166" s="59">
        <f t="shared" si="144"/>
        <v>287.81656468701829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91.430757727027057</v>
      </c>
      <c r="AV166" s="21">
        <f>EXP(-LN(2)/25)*AV165+(1-EXP(-LN(2)/25))/(LN(2)/25)*Calculateur!AQ166*Calculateur!AS166*VLOOKUP('Données projet'!$B$10,Paramètres!$A$1:$I$89,3,0)*0.475*44/12</f>
        <v>26.697960020907097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118.12871774793416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68.961401967658986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155.76430449447392</v>
      </c>
      <c r="BJ166" s="59">
        <f t="shared" si="146"/>
        <v>363.39275685992129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4.8295442951038421</v>
      </c>
      <c r="BQ166" s="21">
        <f>EXP(-LN(2)/25)*BQ165+(1-EXP(-LN(2)/25))/(LN(2)/25)*Calculateur!BL166*Calculateur!BN166*VLOOKUP('Données projet'!$B$11,Paramètres!$A$1:$I$89,3,0)*0.475*44/12</f>
        <v>0.43334577146321501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5.2628900665670573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68.961401967658986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8.4429999999999943</v>
      </c>
      <c r="BY166" s="12">
        <f>IF('Données projet'!$A$114&gt;35,BY165+BX166-CG165,IF(A166&lt;'Données projet'!$A$114,$BV$205^A166,IF(A166='Données projet'!$A$114,'Données projet'!$B$114,BY165+BX166-CG165)))</f>
        <v>511.32700000000034</v>
      </c>
      <c r="BZ166" s="13">
        <f>BY166*VLOOKUP('Données projet'!$B$12,Paramètres!$A$1:$I$89,3,0)*VLOOKUP('Données projet'!$B$12,Paramètres!$A$1:$I$89,5,0)</f>
        <v>518.48557800000037</v>
      </c>
      <c r="CA166" s="13">
        <f t="shared" si="170"/>
        <v>115.42327585333055</v>
      </c>
      <c r="CB166" s="20">
        <f t="shared" si="171"/>
        <v>1104.0579204612179</v>
      </c>
      <c r="CC166" s="59">
        <f t="shared" si="119"/>
        <v>1393.5830610093008</v>
      </c>
      <c r="CD166" s="59">
        <f ca="1">AVERAGE(OFFSET($CC$3,0,0,'Données projet'!$E$12+1,1))-AVERAGE(OFFSET($H$3,0,0,'Données projet'!$E$12+1,1))</f>
        <v>679.4570479719705</v>
      </c>
      <c r="CE166" s="59">
        <f t="shared" si="148"/>
        <v>310.8252119379963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66.657470200645875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66.657470200645875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68.961401967658986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146.95547268081216</v>
      </c>
      <c r="CZ166" s="59">
        <f t="shared" si="150"/>
        <v>343.21355872318065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4.5184386810020554</v>
      </c>
      <c r="DG166" s="21">
        <f>EXP(-LN(2)/25)*DG165+(1-EXP(-LN(2)/25))/(LN(2)/25)*Calculateur!DB166*Calculateur!DD166*VLOOKUP('Données projet'!$B$13,Paramètres!$A$1:$I$89,3,0)*0.475*44/12</f>
        <v>0.40543085980454158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4.9238695408065967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68.961401967658986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68.961401967658986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68.961401967658986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68.961401967658986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68.961401967658986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3.5999999999999996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13.199999999999998</v>
      </c>
      <c r="H167" s="67">
        <f t="shared" si="110"/>
        <v>203.86666666666667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68.979419321562759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366.78396742205962</v>
      </c>
      <c r="T167" s="59">
        <f t="shared" si="142"/>
        <v>271.89887525994988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31.548443593570184</v>
      </c>
      <c r="AA167" s="21">
        <f>EXP(-LN(2)/25)*AA166+(1-EXP(-LN(2)/25))/(LN(2)/25)*Calculateur!V167*Calculateur!X167*VLOOKUP('Données projet'!$B$9,Paramètres!$A$1:$I$89,3,0)*0.475*44/12</f>
        <v>8.0755435787853358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39.62398717235552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68.979419321562759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6.2527760746888816E-13</v>
      </c>
      <c r="AJ167" s="13">
        <f>AI167*VLOOKUP('Données projet'!$B$10,Paramètres!$A$1:$I$89,3,0)*VLOOKUP('Données projet'!$B$10,Paramètres!$A$1:$I$89,5,0)</f>
        <v>2.9262992029543964E-13</v>
      </c>
      <c r="AK167" s="13">
        <f t="shared" si="164"/>
        <v>3.8796387982050903E-12</v>
      </c>
      <c r="AL167" s="20">
        <f t="shared" si="165"/>
        <v>7.2667013513884219E-12</v>
      </c>
      <c r="AM167" s="59">
        <f t="shared" si="113"/>
        <v>289.59120417907076</v>
      </c>
      <c r="AN167" s="59">
        <f ca="1">AVERAGE(OFFSET($AM$3,0,0,'Données projet'!$E$10+1,1))-AVERAGE(OFFSET($H$3,0,0,'Données projet'!$E$10+1,1))</f>
        <v>360.04137410460385</v>
      </c>
      <c r="AO167" s="59">
        <f t="shared" si="144"/>
        <v>287.81656468701829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89.637856335255705</v>
      </c>
      <c r="AV167" s="21">
        <f>EXP(-LN(2)/25)*AV166+(1-EXP(-LN(2)/25))/(LN(2)/25)*Calculateur!AQ167*Calculateur!AS167*VLOOKUP('Données projet'!$B$10,Paramètres!$A$1:$I$89,3,0)*0.475*44/12</f>
        <v>25.967902900150694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115.6057592354064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68.979419321562759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155.76430449447392</v>
      </c>
      <c r="BJ167" s="59">
        <f t="shared" si="146"/>
        <v>363.39275685992129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4.7348398772080094</v>
      </c>
      <c r="BQ167" s="21">
        <f>EXP(-LN(2)/25)*BQ166+(1-EXP(-LN(2)/25))/(LN(2)/25)*Calculateur!BL167*Calculateur!BN167*VLOOKUP('Données projet'!$B$11,Paramètres!$A$1:$I$89,3,0)*0.475*44/12</f>
        <v>0.42149590855388969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5.1563357857618994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68.979419321562759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>
        <f>VLOOKUP(A167,'Données projet'!$A$113:$I$133,2,0)</f>
        <v>519.77</v>
      </c>
      <c r="BW167" s="12">
        <f>VLOOKUP(A167,'Données projet'!$A$113:$I$133,9,0)</f>
        <v>8.4429999999999943</v>
      </c>
      <c r="BX167" s="12">
        <f t="array" ref="BX167">INDEX(BW:BW,MIN(IF(ISNUMBER(BW167:BW363),ROW(BW167:BW363),"")))</f>
        <v>8.4429999999999943</v>
      </c>
      <c r="BY167" s="12">
        <f>IF('Données projet'!$A$114&gt;35,BY166+BX167-CG166,IF(A167&lt;'Données projet'!$A$114,$BV$205^A167,IF(A167='Données projet'!$A$114,'Données projet'!$B$114,BY166+BX167-CG166)))</f>
        <v>519.77000000000032</v>
      </c>
      <c r="BZ167" s="13">
        <f>BY167*VLOOKUP('Données projet'!$B$12,Paramètres!$A$1:$I$89,3,0)*VLOOKUP('Données projet'!$B$12,Paramètres!$A$1:$I$89,5,0)</f>
        <v>527.04678000000035</v>
      </c>
      <c r="CA167" s="13">
        <f t="shared" si="170"/>
        <v>117.10568707351568</v>
      </c>
      <c r="CB167" s="20">
        <f t="shared" si="171"/>
        <v>1121.8988801530404</v>
      </c>
      <c r="CC167" s="59">
        <f t="shared" si="119"/>
        <v>1411.4900843321038</v>
      </c>
      <c r="CD167" s="59">
        <f ca="1">AVERAGE(OFFSET($CC$3,0,0,'Données projet'!$E$12+1,1))-AVERAGE(OFFSET($H$3,0,0,'Données projet'!$E$12+1,1))</f>
        <v>679.4570479719705</v>
      </c>
      <c r="CE167" s="59">
        <f t="shared" si="148"/>
        <v>310.8252119379963</v>
      </c>
      <c r="CF167" s="15">
        <f>IF(ISNA(VLOOKUP(A167,'Données projet'!$A$113:$I$133,3,0)),0,VLOOKUP(A167,'Données projet'!$A$113:$I$133,3,0))</f>
        <v>14</v>
      </c>
      <c r="CG167" s="15">
        <f>IF(ISNA(VLOOKUP(A167,'Données projet'!$A$113:$I$133,4,0)),0,VLOOKUP(A167,'Données projet'!$A$113:$I$133,4,0))</f>
        <v>59.58</v>
      </c>
      <c r="CH167" s="16">
        <f>IF(ISNA(VLOOKUP(A167,'Données projet'!$A$113:$I$133,5,0)),0%,VLOOKUP(A167,'Données projet'!$A$113:$I$133,5,0)*VLOOKUP('Données projet'!$B$12,Paramètres!$A$1:$I$89,7,0))</f>
        <v>0.25800000000000001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82.581151069765184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82.581151069765184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68.979419321562759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146.95547268081216</v>
      </c>
      <c r="CZ167" s="59">
        <f t="shared" si="150"/>
        <v>343.21355872318065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4.4298348544430706</v>
      </c>
      <c r="DG167" s="21">
        <f>EXP(-LN(2)/25)*DG166+(1-EXP(-LN(2)/25))/(LN(2)/25)*Calculateur!DB167*Calculateur!DD167*VLOOKUP('Données projet'!$B$13,Paramètres!$A$1:$I$89,3,0)*0.475*44/12</f>
        <v>0.3943443316225041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4.8241791860655745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68.979419321562759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68.979419321562759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68.979419321562759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68.979419321562759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68.979419321562759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3.5999999999999996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13.199999999999998</v>
      </c>
      <c r="H168" s="67">
        <f t="shared" si="110"/>
        <v>203.86666666666667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68.997124114657055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366.78396742205962</v>
      </c>
      <c r="T168" s="59">
        <f t="shared" si="142"/>
        <v>271.89887525994988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30.92979785735081</v>
      </c>
      <c r="AA168" s="21">
        <f>EXP(-LN(2)/25)*AA167+(1-EXP(-LN(2)/25))/(LN(2)/25)*Calculateur!V168*Calculateur!X168*VLOOKUP('Données projet'!$B$9,Paramètres!$A$1:$I$89,3,0)*0.475*44/12</f>
        <v>7.8547174149490706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38.784515272299878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68.997124114657055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6.2527760746888816E-13</v>
      </c>
      <c r="AJ168" s="13">
        <f>AI168*VLOOKUP('Données projet'!$B$10,Paramètres!$A$1:$I$89,3,0)*VLOOKUP('Données projet'!$B$10,Paramètres!$A$1:$I$89,5,0)</f>
        <v>2.9262992029543964E-13</v>
      </c>
      <c r="AK168" s="13">
        <f t="shared" si="164"/>
        <v>3.8796387982050903E-12</v>
      </c>
      <c r="AL168" s="20">
        <f t="shared" si="165"/>
        <v>7.2667013513884219E-12</v>
      </c>
      <c r="AM168" s="59">
        <f t="shared" si="113"/>
        <v>289.6561217537498</v>
      </c>
      <c r="AN168" s="59">
        <f ca="1">AVERAGE(OFFSET($AM$3,0,0,'Données projet'!$E$10+1,1))-AVERAGE(OFFSET($H$3,0,0,'Données projet'!$E$10+1,1))</f>
        <v>360.04137410460385</v>
      </c>
      <c r="AO168" s="59">
        <f t="shared" si="144"/>
        <v>287.81656468701829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87.880112646215125</v>
      </c>
      <c r="AV168" s="21">
        <f>EXP(-LN(2)/25)*AV167+(1-EXP(-LN(2)/25))/(LN(2)/25)*Calculateur!AQ168*Calculateur!AS168*VLOOKUP('Données projet'!$B$10,Paramètres!$A$1:$I$89,3,0)*0.475*44/12</f>
        <v>25.257809229753409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113.13792187596853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68.997124114657055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155.76430449447392</v>
      </c>
      <c r="BJ168" s="59">
        <f t="shared" si="146"/>
        <v>363.39275685992129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4.6419925551831227</v>
      </c>
      <c r="BQ168" s="21">
        <f>EXP(-LN(2)/25)*BQ167+(1-EXP(-LN(2)/25))/(LN(2)/25)*Calculateur!BL168*Calculateur!BN168*VLOOKUP('Données projet'!$B$11,Paramètres!$A$1:$I$89,3,0)*0.475*44/12</f>
        <v>0.40997008076897706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5.0519626359520995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68.997124114657055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8.5459999999999976</v>
      </c>
      <c r="BY168" s="12">
        <f>IF('Données projet'!$A$114&gt;35,BY167+BX168-CG167,IF(A168&lt;'Données projet'!$A$114,$BV$205^A168,IF(A168='Données projet'!$A$114,'Données projet'!$B$114,BY167+BX168-CG167)))</f>
        <v>468.73600000000039</v>
      </c>
      <c r="BZ168" s="13">
        <f>BY168*VLOOKUP('Données projet'!$B$12,Paramètres!$A$1:$I$89,3,0)*VLOOKUP('Données projet'!$B$12,Paramètres!$A$1:$I$89,5,0)</f>
        <v>475.29830400000037</v>
      </c>
      <c r="CA168" s="13">
        <f t="shared" si="170"/>
        <v>106.88566320039537</v>
      </c>
      <c r="CB168" s="20">
        <f t="shared" si="171"/>
        <v>1013.9704095406892</v>
      </c>
      <c r="CC168" s="59">
        <f t="shared" si="119"/>
        <v>1303.6265312944317</v>
      </c>
      <c r="CD168" s="59">
        <f ca="1">AVERAGE(OFFSET($CC$3,0,0,'Données projet'!$E$12+1,1))-AVERAGE(OFFSET($H$3,0,0,'Données projet'!$E$12+1,1))</f>
        <v>679.4570479719705</v>
      </c>
      <c r="CE168" s="59">
        <f t="shared" si="148"/>
        <v>310.8252119379963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80.961785066815665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80.961785066815665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68.997124114657055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146.95547268081216</v>
      </c>
      <c r="CZ168" s="59">
        <f t="shared" si="150"/>
        <v>343.21355872318065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4.3429684948799094</v>
      </c>
      <c r="DG168" s="21">
        <f>EXP(-LN(2)/25)*DG167+(1-EXP(-LN(2)/25))/(LN(2)/25)*Calculateur!DB168*Calculateur!DD168*VLOOKUP('Données projet'!$B$13,Paramètres!$A$1:$I$89,3,0)*0.475*44/12</f>
        <v>0.38356096513661958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4.7265294600165291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68.997124114657055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68.997124114657055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68.997124114657055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68.997124114657055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68.997124114657055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3.5999999999999996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13.199999999999998</v>
      </c>
      <c r="H169" s="67">
        <f t="shared" si="110"/>
        <v>203.86666666666667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69.014521769173172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366.78396742205962</v>
      </c>
      <c r="T169" s="59">
        <f t="shared" si="142"/>
        <v>271.89887525994988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30.323283386682057</v>
      </c>
      <c r="AA169" s="21">
        <f>EXP(-LN(2)/25)*AA168+(1-EXP(-LN(2)/25))/(LN(2)/25)*Calculateur!V169*Calculateur!X169*VLOOKUP('Données projet'!$B$9,Paramètres!$A$1:$I$89,3,0)*0.475*44/12</f>
        <v>7.6399297541756512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37.963213140857711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69.014521769173172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6.2527760746888816E-13</v>
      </c>
      <c r="AJ169" s="13">
        <f>AI169*VLOOKUP('Données projet'!$B$10,Paramètres!$A$1:$I$89,3,0)*VLOOKUP('Données projet'!$B$10,Paramètres!$A$1:$I$89,5,0)</f>
        <v>2.9262992029543964E-13</v>
      </c>
      <c r="AK169" s="13">
        <f t="shared" si="164"/>
        <v>3.8796387982050903E-12</v>
      </c>
      <c r="AL169" s="20">
        <f t="shared" si="165"/>
        <v>7.2667013513884219E-12</v>
      </c>
      <c r="AM169" s="59">
        <f t="shared" si="113"/>
        <v>289.71991315364227</v>
      </c>
      <c r="AN169" s="59">
        <f ca="1">AVERAGE(OFFSET($AM$3,0,0,'Données projet'!$E$10+1,1))-AVERAGE(OFFSET($H$3,0,0,'Données projet'!$E$10+1,1))</f>
        <v>360.04137410460385</v>
      </c>
      <c r="AO169" s="59">
        <f t="shared" si="144"/>
        <v>287.81656468701829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86.156837238798843</v>
      </c>
      <c r="AV169" s="21">
        <f>EXP(-LN(2)/25)*AV168+(1-EXP(-LN(2)/25))/(LN(2)/25)*Calculateur!AQ169*Calculateur!AS169*VLOOKUP('Données projet'!$B$10,Paramètres!$A$1:$I$89,3,0)*0.475*44/12</f>
        <v>24.567133108115343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110.72397034691419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69.014521769173172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155.76430449447392</v>
      </c>
      <c r="BJ169" s="59">
        <f t="shared" si="146"/>
        <v>363.39275685992129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4.5509659125118693</v>
      </c>
      <c r="BQ169" s="21">
        <f>EXP(-LN(2)/25)*BQ168+(1-EXP(-LN(2)/25))/(LN(2)/25)*Calculateur!BL169*Calculateur!BN169*VLOOKUP('Données projet'!$B$11,Paramètres!$A$1:$I$89,3,0)*0.475*44/12</f>
        <v>0.39875942735095982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4.9497253398628294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69.014521769173172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8.5459999999999976</v>
      </c>
      <c r="BY169" s="12">
        <f>IF('Données projet'!$A$114&gt;35,BY168+BX169-CG168,IF(A169&lt;'Données projet'!$A$114,$BV$205^A169,IF(A169='Données projet'!$A$114,'Données projet'!$B$114,BY168+BX169-CG168)))</f>
        <v>477.28200000000038</v>
      </c>
      <c r="BZ169" s="13">
        <f>BY169*VLOOKUP('Données projet'!$B$12,Paramètres!$A$1:$I$89,3,0)*VLOOKUP('Données projet'!$B$12,Paramètres!$A$1:$I$89,5,0)</f>
        <v>483.96394800000041</v>
      </c>
      <c r="CA169" s="13">
        <f t="shared" si="170"/>
        <v>108.6057555590847</v>
      </c>
      <c r="CB169" s="20">
        <f t="shared" si="171"/>
        <v>1032.0589003654065</v>
      </c>
      <c r="CC169" s="59">
        <f t="shared" si="119"/>
        <v>1321.7788135190415</v>
      </c>
      <c r="CD169" s="59">
        <f ca="1">AVERAGE(OFFSET($CC$3,0,0,'Données projet'!$E$12+1,1))-AVERAGE(OFFSET($H$3,0,0,'Données projet'!$E$12+1,1))</f>
        <v>679.4570479719705</v>
      </c>
      <c r="CE169" s="59">
        <f t="shared" si="148"/>
        <v>310.8252119379963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79.374173843468256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79.374173843468256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69.014521769173172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146.95547268081216</v>
      </c>
      <c r="CZ169" s="59">
        <f t="shared" si="150"/>
        <v>343.21355872318065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4.257805531644534</v>
      </c>
      <c r="DG169" s="21">
        <f>EXP(-LN(2)/25)*DG168+(1-EXP(-LN(2)/25))/(LN(2)/25)*Calculateur!DB169*Calculateur!DD169*VLOOKUP('Données projet'!$B$13,Paramètres!$A$1:$I$89,3,0)*0.475*44/12</f>
        <v>0.3730724703743642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4.630878002018898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69.014521769173172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69.014521769173172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69.014521769173172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69.014521769173172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69.014521769173172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3.5999999999999996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13.199999999999998</v>
      </c>
      <c r="H170" s="67">
        <f t="shared" si="110"/>
        <v>203.86666666666667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69.031617613278769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366.78396742205962</v>
      </c>
      <c r="T170" s="59">
        <f t="shared" si="142"/>
        <v>271.89887525994988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29.728662294845822</v>
      </c>
      <c r="AA170" s="21">
        <f>EXP(-LN(2)/25)*AA169+(1-EXP(-LN(2)/25))/(LN(2)/25)*Calculateur!V170*Calculateur!X170*VLOOKUP('Données projet'!$B$9,Paramètres!$A$1:$I$89,3,0)*0.475*44/12</f>
        <v>7.4310154732812732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37.159677768127096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69.031617613278769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6.2527760746888816E-13</v>
      </c>
      <c r="AJ170" s="13">
        <f>AI170*VLOOKUP('Données projet'!$B$10,Paramètres!$A$1:$I$89,3,0)*VLOOKUP('Données projet'!$B$10,Paramètres!$A$1:$I$89,5,0)</f>
        <v>2.9262992029543964E-13</v>
      </c>
      <c r="AK170" s="13">
        <f t="shared" si="164"/>
        <v>3.8796387982050903E-12</v>
      </c>
      <c r="AL170" s="20">
        <f t="shared" si="165"/>
        <v>7.2667013513884219E-12</v>
      </c>
      <c r="AM170" s="59">
        <f t="shared" si="113"/>
        <v>289.78259791536277</v>
      </c>
      <c r="AN170" s="59">
        <f ca="1">AVERAGE(OFFSET($AM$3,0,0,'Données projet'!$E$10+1,1))-AVERAGE(OFFSET($H$3,0,0,'Données projet'!$E$10+1,1))</f>
        <v>360.04137410460385</v>
      </c>
      <c r="AO170" s="59">
        <f t="shared" si="144"/>
        <v>287.81656468701829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84.467354211027782</v>
      </c>
      <c r="AV170" s="21">
        <f>EXP(-LN(2)/25)*AV169+(1-EXP(-LN(2)/25))/(LN(2)/25)*Calculateur!AQ170*Calculateur!AS170*VLOOKUP('Données projet'!$B$10,Paramètres!$A$1:$I$89,3,0)*0.475*44/12</f>
        <v>23.895343561344546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108.36269777237233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69.031617613278769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155.76430449447392</v>
      </c>
      <c r="BJ170" s="59">
        <f t="shared" si="146"/>
        <v>363.39275685992129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4.4617242467826292</v>
      </c>
      <c r="BQ170" s="21">
        <f>EXP(-LN(2)/25)*BQ169+(1-EXP(-LN(2)/25))/(LN(2)/25)*Calculateur!BL170*Calculateur!BN170*VLOOKUP('Données projet'!$B$11,Paramètres!$A$1:$I$89,3,0)*0.475*44/12</f>
        <v>0.38785532984020094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4.8495795766228298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69.031617613278769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8.5459999999999976</v>
      </c>
      <c r="BY170" s="12">
        <f>IF('Données projet'!$A$114&gt;35,BY169+BX170-CG169,IF(A170&lt;'Données projet'!$A$114,$BV$205^A170,IF(A170='Données projet'!$A$114,'Données projet'!$B$114,BY169+BX170-CG169)))</f>
        <v>485.82800000000037</v>
      </c>
      <c r="BZ170" s="13">
        <f>BY170*VLOOKUP('Données projet'!$B$12,Paramètres!$A$1:$I$89,3,0)*VLOOKUP('Données projet'!$B$12,Paramètres!$A$1:$I$89,5,0)</f>
        <v>492.6295920000004</v>
      </c>
      <c r="CA170" s="13">
        <f t="shared" si="170"/>
        <v>110.3222664206035</v>
      </c>
      <c r="CB170" s="20">
        <f t="shared" si="171"/>
        <v>1050.1411534158851</v>
      </c>
      <c r="CC170" s="59">
        <f t="shared" si="119"/>
        <v>1339.9237513312405</v>
      </c>
      <c r="CD170" s="59">
        <f ca="1">AVERAGE(OFFSET($CC$3,0,0,'Données projet'!$E$12+1,1))-AVERAGE(OFFSET($H$3,0,0,'Données projet'!$E$12+1,1))</f>
        <v>679.4570479719705</v>
      </c>
      <c r="CE170" s="59">
        <f t="shared" si="148"/>
        <v>310.8252119379963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77.817694707863453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77.817694707863453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69.031617613278769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146.95547268081216</v>
      </c>
      <c r="CZ170" s="59">
        <f t="shared" si="150"/>
        <v>343.21355872318065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4.1743125621739257</v>
      </c>
      <c r="DG170" s="21">
        <f>EXP(-LN(2)/25)*DG169+(1-EXP(-LN(2)/25))/(LN(2)/25)*Calculateur!DB170*Calculateur!DD170*VLOOKUP('Données projet'!$B$13,Paramètres!$A$1:$I$89,3,0)*0.475*44/12</f>
        <v>0.36287078405294865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4.5371833462268745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69.031617613278769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69.031617613278769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69.031617613278769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69.031617613278769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69.031617613278769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3.5999999999999996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13.199999999999998</v>
      </c>
      <c r="H171" s="67">
        <f t="shared" si="110"/>
        <v>203.86666666666667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69.048416882709688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366.78396742205962</v>
      </c>
      <c r="T171" s="59">
        <f t="shared" si="142"/>
        <v>271.89887525994988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29.145701359937441</v>
      </c>
      <c r="AA171" s="21">
        <f>EXP(-LN(2)/25)*AA170+(1-EXP(-LN(2)/25))/(LN(2)/25)*Calculateur!V171*Calculateur!X171*VLOOKUP('Données projet'!$B$9,Paramètres!$A$1:$I$89,3,0)*0.475*44/12</f>
        <v>7.2278139643842767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36.373515324321716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69.048416882709688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6.2527760746888816E-13</v>
      </c>
      <c r="AJ171" s="13">
        <f>AI171*VLOOKUP('Données projet'!$B$10,Paramètres!$A$1:$I$89,3,0)*VLOOKUP('Données projet'!$B$10,Paramètres!$A$1:$I$89,5,0)</f>
        <v>2.9262992029543964E-13</v>
      </c>
      <c r="AK171" s="13">
        <f t="shared" si="164"/>
        <v>3.8796387982050903E-12</v>
      </c>
      <c r="AL171" s="20">
        <f t="shared" si="165"/>
        <v>7.2667013513884219E-12</v>
      </c>
      <c r="AM171" s="59">
        <f t="shared" si="113"/>
        <v>289.84419523660944</v>
      </c>
      <c r="AN171" s="59">
        <f ca="1">AVERAGE(OFFSET($AM$3,0,0,'Données projet'!$E$10+1,1))-AVERAGE(OFFSET($H$3,0,0,'Données projet'!$E$10+1,1))</f>
        <v>360.04137410460385</v>
      </c>
      <c r="AO171" s="59">
        <f t="shared" si="144"/>
        <v>287.81656468701829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82.811000914948423</v>
      </c>
      <c r="AV171" s="21">
        <f>EXP(-LN(2)/25)*AV170+(1-EXP(-LN(2)/25))/(LN(2)/25)*Calculateur!AQ171*Calculateur!AS171*VLOOKUP('Données projet'!$B$10,Paramètres!$A$1:$I$89,3,0)*0.475*44/12</f>
        <v>23.241924135058074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106.05292505000649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69.048416882709688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155.76430449447392</v>
      </c>
      <c r="BJ171" s="59">
        <f t="shared" si="146"/>
        <v>363.39275685992129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4.374232555686298</v>
      </c>
      <c r="BQ171" s="21">
        <f>EXP(-LN(2)/25)*BQ170+(1-EXP(-LN(2)/25))/(LN(2)/25)*Calculateur!BL171*Calculateur!BN171*VLOOKUP('Données projet'!$B$11,Paramètres!$A$1:$I$89,3,0)*0.475*44/12</f>
        <v>0.37724940544929531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4.7514819611355934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69.048416882709688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8.5459999999999976</v>
      </c>
      <c r="BY171" s="12">
        <f>IF('Données projet'!$A$114&gt;35,BY170+BX171-CG170,IF(A171&lt;'Données projet'!$A$114,$BV$205^A171,IF(A171='Données projet'!$A$114,'Données projet'!$B$114,BY170+BX171-CG170)))</f>
        <v>494.37400000000036</v>
      </c>
      <c r="BZ171" s="13">
        <f>BY171*VLOOKUP('Données projet'!$B$12,Paramètres!$A$1:$I$89,3,0)*VLOOKUP('Données projet'!$B$12,Paramètres!$A$1:$I$89,5,0)</f>
        <v>501.29523600000039</v>
      </c>
      <c r="CA171" s="13">
        <f t="shared" si="170"/>
        <v>112.03526605421492</v>
      </c>
      <c r="CB171" s="20">
        <f t="shared" si="171"/>
        <v>1068.2172910777583</v>
      </c>
      <c r="CC171" s="59">
        <f t="shared" si="119"/>
        <v>1358.0614863143605</v>
      </c>
      <c r="CD171" s="59">
        <f ca="1">AVERAGE(OFFSET($CC$3,0,0,'Données projet'!$E$12+1,1))-AVERAGE(OFFSET($H$3,0,0,'Données projet'!$E$12+1,1))</f>
        <v>679.4570479719705</v>
      </c>
      <c r="CE171" s="59">
        <f t="shared" si="148"/>
        <v>310.8252119379963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76.291737178749329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76.291737178749329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69.048416882709688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146.95547268081216</v>
      </c>
      <c r="CZ171" s="59">
        <f t="shared" si="150"/>
        <v>343.21355872318065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4.0924568389089533</v>
      </c>
      <c r="DG171" s="21">
        <f>EXP(-LN(2)/25)*DG170+(1-EXP(-LN(2)/25))/(LN(2)/25)*Calculateur!DB171*Calculateur!DD171*VLOOKUP('Données projet'!$B$13,Paramètres!$A$1:$I$89,3,0)*0.475*44/12</f>
        <v>0.35294806338047557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4.4454049022894289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69.048416882709688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69.048416882709688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69.048416882709688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69.048416882709688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69.048416882709688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3.5999999999999996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13.199999999999998</v>
      </c>
      <c r="H172" s="67">
        <f t="shared" si="110"/>
        <v>203.86666666666667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69.064924722373547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366.78396742205962</v>
      </c>
      <c r="T172" s="59">
        <f t="shared" si="142"/>
        <v>271.89887525994988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28.57417193339155</v>
      </c>
      <c r="AA172" s="21">
        <f>EXP(-LN(2)/25)*AA171+(1-EXP(-LN(2)/25))/(LN(2)/25)*Calculateur!V172*Calculateur!X172*VLOOKUP('Données projet'!$B$9,Paramètres!$A$1:$I$89,3,0)*0.475*44/12</f>
        <v>7.0301690114339719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35.604340944825523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69.064924722373547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6.2527760746888816E-13</v>
      </c>
      <c r="AJ172" s="13">
        <f>AI172*VLOOKUP('Données projet'!$B$10,Paramètres!$A$1:$I$89,3,0)*VLOOKUP('Données projet'!$B$10,Paramètres!$A$1:$I$89,5,0)</f>
        <v>2.9262992029543964E-13</v>
      </c>
      <c r="AK172" s="13">
        <f t="shared" si="164"/>
        <v>3.8796387982050903E-12</v>
      </c>
      <c r="AL172" s="20">
        <f t="shared" si="165"/>
        <v>7.2667013513884219E-12</v>
      </c>
      <c r="AM172" s="59">
        <f t="shared" si="113"/>
        <v>289.90472398204361</v>
      </c>
      <c r="AN172" s="59">
        <f ca="1">AVERAGE(OFFSET($AM$3,0,0,'Données projet'!$E$10+1,1))-AVERAGE(OFFSET($H$3,0,0,'Données projet'!$E$10+1,1))</f>
        <v>360.04137410460385</v>
      </c>
      <c r="AO172" s="59">
        <f t="shared" si="144"/>
        <v>287.81656468701829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81.187127696729419</v>
      </c>
      <c r="AV172" s="21">
        <f>EXP(-LN(2)/25)*AV171+(1-EXP(-LN(2)/25))/(LN(2)/25)*Calculateur!AQ172*Calculateur!AS172*VLOOKUP('Données projet'!$B$10,Paramètres!$A$1:$I$89,3,0)*0.475*44/12</f>
        <v>22.606372497345241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103.79350019407465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69.064924722373547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155.76430449447392</v>
      </c>
      <c r="BJ172" s="59">
        <f t="shared" si="146"/>
        <v>363.39275685992129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4.2884565232877039</v>
      </c>
      <c r="BQ172" s="21">
        <f>EXP(-LN(2)/25)*BQ171+(1-EXP(-LN(2)/25))/(LN(2)/25)*Calculateur!BL172*Calculateur!BN172*VLOOKUP('Données projet'!$B$11,Paramètres!$A$1:$I$89,3,0)*0.475*44/12</f>
        <v>0.36693350061860031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4.6553900239063042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69.064924722373547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8.5459999999999976</v>
      </c>
      <c r="BY172" s="12">
        <f>IF('Données projet'!$A$114&gt;35,BY171+BX172-CG171,IF(A172&lt;'Données projet'!$A$114,$BV$205^A172,IF(A172='Données projet'!$A$114,'Données projet'!$B$114,BY171+BX172-CG171)))</f>
        <v>502.92000000000036</v>
      </c>
      <c r="BZ172" s="13">
        <f>BY172*VLOOKUP('Données projet'!$B$12,Paramètres!$A$1:$I$89,3,0)*VLOOKUP('Données projet'!$B$12,Paramètres!$A$1:$I$89,5,0)</f>
        <v>509.96088000000043</v>
      </c>
      <c r="CA172" s="13">
        <f t="shared" si="170"/>
        <v>113.74482216057152</v>
      </c>
      <c r="CB172" s="20">
        <f t="shared" si="171"/>
        <v>1086.2874312629961</v>
      </c>
      <c r="CC172" s="59">
        <f t="shared" si="119"/>
        <v>1376.1921552450324</v>
      </c>
      <c r="CD172" s="59">
        <f ca="1">AVERAGE(OFFSET($CC$3,0,0,'Données projet'!$E$12+1,1))-AVERAGE(OFFSET($H$3,0,0,'Données projet'!$E$12+1,1))</f>
        <v>679.4570479719705</v>
      </c>
      <c r="CE172" s="59">
        <f t="shared" si="148"/>
        <v>310.8252119379963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74.795702746038941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74.795702746038941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69.064924722373547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146.95547268081216</v>
      </c>
      <c r="CZ172" s="59">
        <f t="shared" si="150"/>
        <v>343.21355872318065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4.0122062564501455</v>
      </c>
      <c r="DG172" s="21">
        <f>EXP(-LN(2)/25)*DG171+(1-EXP(-LN(2)/25))/(LN(2)/25)*Calculateur!DB172*Calculateur!DD172*VLOOKUP('Données projet'!$B$13,Paramètres!$A$1:$I$89,3,0)*0.475*44/12</f>
        <v>0.34329668002660452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4.3555029364767499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69.064924722373547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69.064924722373547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69.064924722373547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69.064924722373547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69.064924722373547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3.5999999999999996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13.199999999999998</v>
      </c>
      <c r="H173" s="67">
        <f t="shared" si="110"/>
        <v>203.86666666666667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69.081146187925214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366.78396742205962</v>
      </c>
      <c r="T173" s="59">
        <f t="shared" si="142"/>
        <v>271.89887525994988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28.013849850301696</v>
      </c>
      <c r="AA173" s="21">
        <f>EXP(-LN(2)/25)*AA172+(1-EXP(-LN(2)/25))/(LN(2)/25)*Calculateur!V173*Calculateur!X173*VLOOKUP('Données projet'!$B$9,Paramètres!$A$1:$I$89,3,0)*0.475*44/12</f>
        <v>6.8379286701157893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34.851778520417483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69.081146187925214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6.2527760746888816E-13</v>
      </c>
      <c r="AJ173" s="13">
        <f>AI173*VLOOKUP('Données projet'!$B$10,Paramètres!$A$1:$I$89,3,0)*VLOOKUP('Données projet'!$B$10,Paramètres!$A$1:$I$89,5,0)</f>
        <v>2.9262992029543964E-13</v>
      </c>
      <c r="AK173" s="13">
        <f t="shared" si="164"/>
        <v>3.8796387982050903E-12</v>
      </c>
      <c r="AL173" s="20">
        <f t="shared" si="165"/>
        <v>7.2667013513884219E-12</v>
      </c>
      <c r="AM173" s="59">
        <f t="shared" si="113"/>
        <v>289.96420268906638</v>
      </c>
      <c r="AN173" s="59">
        <f ca="1">AVERAGE(OFFSET($AM$3,0,0,'Données projet'!$E$10+1,1))-AVERAGE(OFFSET($H$3,0,0,'Données projet'!$E$10+1,1))</f>
        <v>360.04137410460385</v>
      </c>
      <c r="AO173" s="59">
        <f t="shared" si="144"/>
        <v>287.81656468701829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79.595097641854835</v>
      </c>
      <c r="AV173" s="21">
        <f>EXP(-LN(2)/25)*AV172+(1-EXP(-LN(2)/25))/(LN(2)/25)*Calculateur!AQ173*Calculateur!AS173*VLOOKUP('Données projet'!$B$10,Paramètres!$A$1:$I$89,3,0)*0.475*44/12</f>
        <v>21.988200052587874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101.58329769444271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69.081146187925214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155.76430449447392</v>
      </c>
      <c r="BJ173" s="59">
        <f t="shared" si="146"/>
        <v>363.39275685992129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4.2043625065662322</v>
      </c>
      <c r="BQ173" s="21">
        <f>EXP(-LN(2)/25)*BQ172+(1-EXP(-LN(2)/25))/(LN(2)/25)*Calculateur!BL173*Calculateur!BN173*VLOOKUP('Données projet'!$B$11,Paramètres!$A$1:$I$89,3,0)*0.475*44/12</f>
        <v>0.3568996847479905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4.5612621913142224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69.081146187925214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8.5459999999999976</v>
      </c>
      <c r="BY173" s="12">
        <f>IF('Données projet'!$A$114&gt;35,BY172+BX173-CG172,IF(A173&lt;'Données projet'!$A$114,$BV$205^A173,IF(A173='Données projet'!$A$114,'Données projet'!$B$114,BY172+BX173-CG172)))</f>
        <v>511.46600000000035</v>
      </c>
      <c r="BZ173" s="13">
        <f>BY173*VLOOKUP('Données projet'!$B$12,Paramètres!$A$1:$I$89,3,0)*VLOOKUP('Données projet'!$B$12,Paramètres!$A$1:$I$89,5,0)</f>
        <v>518.62652400000036</v>
      </c>
      <c r="CA173" s="13">
        <f t="shared" si="170"/>
        <v>115.45100000763091</v>
      </c>
      <c r="CB173" s="20">
        <f t="shared" si="171"/>
        <v>1104.3516876466244</v>
      </c>
      <c r="CC173" s="59">
        <f t="shared" si="119"/>
        <v>1394.3158903356834</v>
      </c>
      <c r="CD173" s="59">
        <f ca="1">AVERAGE(OFFSET($CC$3,0,0,'Données projet'!$E$12+1,1))-AVERAGE(OFFSET($H$3,0,0,'Données projet'!$E$12+1,1))</f>
        <v>679.4570479719705</v>
      </c>
      <c r="CE173" s="59">
        <f t="shared" si="148"/>
        <v>310.8252119379963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73.329004636063104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73.329004636063104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69.081146187925214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146.95547268081216</v>
      </c>
      <c r="CZ173" s="59">
        <f t="shared" si="150"/>
        <v>343.21355872318065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3.9335293389653332</v>
      </c>
      <c r="DG173" s="21">
        <f>EXP(-LN(2)/25)*DG172+(1-EXP(-LN(2)/25))/(LN(2)/25)*Calculateur!DB173*Calculateur!DD173*VLOOKUP('Données projet'!$B$13,Paramètres!$A$1:$I$89,3,0)*0.475*44/12</f>
        <v>0.33390921425808923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4.267438553223422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69.081146187925214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69.081146187925214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69.081146187925214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69.081146187925214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69.081146187925214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3.5999999999999996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13.199999999999998</v>
      </c>
      <c r="H174" s="67">
        <f t="shared" si="110"/>
        <v>203.86666666666667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69.097086247315346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366.78396742205962</v>
      </c>
      <c r="T174" s="59">
        <f t="shared" si="142"/>
        <v>271.89887525994988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27.464515341498512</v>
      </c>
      <c r="AA174" s="21">
        <f>EXP(-LN(2)/25)*AA173+(1-EXP(-LN(2)/25))/(LN(2)/25)*Calculateur!V174*Calculateur!X174*VLOOKUP('Données projet'!$B$9,Paramètres!$A$1:$I$89,3,0)*0.475*44/12</f>
        <v>6.6509451510404327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34.115460492538944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69.097086247315346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6.2527760746888816E-13</v>
      </c>
      <c r="AJ174" s="13">
        <f>AI174*VLOOKUP('Données projet'!$B$10,Paramètres!$A$1:$I$89,3,0)*VLOOKUP('Données projet'!$B$10,Paramètres!$A$1:$I$89,5,0)</f>
        <v>2.9262992029543964E-13</v>
      </c>
      <c r="AK174" s="13">
        <f t="shared" si="164"/>
        <v>3.8796387982050903E-12</v>
      </c>
      <c r="AL174" s="20">
        <f t="shared" si="165"/>
        <v>7.2667013513884219E-12</v>
      </c>
      <c r="AM174" s="59">
        <f t="shared" si="113"/>
        <v>290.02264957349689</v>
      </c>
      <c r="AN174" s="59">
        <f ca="1">AVERAGE(OFFSET($AM$3,0,0,'Données projet'!$E$10+1,1))-AVERAGE(OFFSET($H$3,0,0,'Données projet'!$E$10+1,1))</f>
        <v>360.04137410460385</v>
      </c>
      <c r="AO174" s="59">
        <f t="shared" si="144"/>
        <v>287.81656468701829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78.034286325313886</v>
      </c>
      <c r="AV174" s="21">
        <f>EXP(-LN(2)/25)*AV173+(1-EXP(-LN(2)/25))/(LN(2)/25)*Calculateur!AQ174*Calculateur!AS174*VLOOKUP('Données projet'!$B$10,Paramètres!$A$1:$I$89,3,0)*0.475*44/12</f>
        <v>21.386931565840673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99.421217891154555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69.097086247315346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155.76430449447392</v>
      </c>
      <c r="BJ174" s="59">
        <f t="shared" si="146"/>
        <v>363.39275685992129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4.1219175222203832</v>
      </c>
      <c r="BQ174" s="21">
        <f>EXP(-LN(2)/25)*BQ173+(1-EXP(-LN(2)/25))/(LN(2)/25)*Calculateur!BL174*Calculateur!BN174*VLOOKUP('Données projet'!$B$11,Paramètres!$A$1:$I$89,3,0)*0.475*44/12</f>
        <v>0.34714024410001798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4.4690577663204012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69.097086247315346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8.5459999999999976</v>
      </c>
      <c r="BY174" s="12">
        <f>IF('Données projet'!$A$114&gt;35,BY173+BX174-CG173,IF(A174&lt;'Données projet'!$A$114,$BV$205^A174,IF(A174='Données projet'!$A$114,'Données projet'!$B$114,BY173+BX174-CG173)))</f>
        <v>520.0120000000004</v>
      </c>
      <c r="BZ174" s="13">
        <f>BY174*VLOOKUP('Données projet'!$B$12,Paramètres!$A$1:$I$89,3,0)*VLOOKUP('Données projet'!$B$12,Paramètres!$A$1:$I$89,5,0)</f>
        <v>527.2921680000004</v>
      </c>
      <c r="CA174" s="13">
        <f t="shared" si="170"/>
        <v>117.15386255722979</v>
      </c>
      <c r="CB174" s="20">
        <f t="shared" si="171"/>
        <v>1122.4101698871759</v>
      </c>
      <c r="CC174" s="59">
        <f t="shared" si="119"/>
        <v>1412.4328194606655</v>
      </c>
      <c r="CD174" s="59">
        <f ca="1">AVERAGE(OFFSET($CC$3,0,0,'Données projet'!$E$12+1,1))-AVERAGE(OFFSET($H$3,0,0,'Données projet'!$E$12+1,1))</f>
        <v>679.4570479719705</v>
      </c>
      <c r="CE174" s="59">
        <f t="shared" si="148"/>
        <v>310.8252119379963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71.891067581426384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71.891067581426384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69.097086247315346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146.95547268081216</v>
      </c>
      <c r="CZ174" s="59">
        <f t="shared" si="150"/>
        <v>343.21355872318065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3.8563952278442168</v>
      </c>
      <c r="DG174" s="21">
        <f>EXP(-LN(2)/25)*DG173+(1-EXP(-LN(2)/25))/(LN(2)/25)*Calculateur!DB174*Calculateur!DD174*VLOOKUP('Données projet'!$B$13,Paramètres!$A$1:$I$89,3,0)*0.475*44/12</f>
        <v>0.32477844923467936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4.1811736770788963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69.097086247315346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69.097086247315346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69.097086247315346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69.097086247315346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69.097086247315346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3.5999999999999996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13.199999999999998</v>
      </c>
      <c r="H175" s="67">
        <f t="shared" si="110"/>
        <v>203.86666666666667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69.112749782311681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366.78396742205962</v>
      </c>
      <c r="T175" s="59">
        <f t="shared" si="142"/>
        <v>271.89887525994988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26.925952947351991</v>
      </c>
      <c r="AA175" s="21">
        <f>EXP(-LN(2)/25)*AA174+(1-EXP(-LN(2)/25))/(LN(2)/25)*Calculateur!V175*Calculateur!X175*VLOOKUP('Données projet'!$B$9,Paramètres!$A$1:$I$89,3,0)*0.475*44/12</f>
        <v>6.4690747061272278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33.395027653479218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69.112749782311681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6.2527760746888816E-13</v>
      </c>
      <c r="AJ175" s="13">
        <f>AI175*VLOOKUP('Données projet'!$B$10,Paramètres!$A$1:$I$89,3,0)*VLOOKUP('Données projet'!$B$10,Paramètres!$A$1:$I$89,5,0)</f>
        <v>2.9262992029543964E-13</v>
      </c>
      <c r="AK175" s="13">
        <f t="shared" si="164"/>
        <v>3.8796387982050903E-12</v>
      </c>
      <c r="AL175" s="20">
        <f t="shared" si="165"/>
        <v>7.2667013513884219E-12</v>
      </c>
      <c r="AM175" s="59">
        <f t="shared" si="113"/>
        <v>290.0800825351501</v>
      </c>
      <c r="AN175" s="59">
        <f ca="1">AVERAGE(OFFSET($AM$3,0,0,'Données projet'!$E$10+1,1))-AVERAGE(OFFSET($H$3,0,0,'Données projet'!$E$10+1,1))</f>
        <v>360.04137410460385</v>
      </c>
      <c r="AO175" s="59">
        <f t="shared" si="144"/>
        <v>287.81656468701829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76.504081566689408</v>
      </c>
      <c r="AV175" s="21">
        <f>EXP(-LN(2)/25)*AV174+(1-EXP(-LN(2)/25))/(LN(2)/25)*Calculateur!AQ175*Calculateur!AS175*VLOOKUP('Données projet'!$B$10,Paramètres!$A$1:$I$89,3,0)*0.475*44/12</f>
        <v>20.802104797482908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97.306186364172319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69.112749782311681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155.76430449447392</v>
      </c>
      <c r="BJ175" s="59">
        <f t="shared" si="146"/>
        <v>363.39275685992129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4.0410892337310811</v>
      </c>
      <c r="BQ175" s="21">
        <f>EXP(-LN(2)/25)*BQ174+(1-EXP(-LN(2)/25))/(LN(2)/25)*Calculateur!BL175*Calculateur!BN175*VLOOKUP('Données projet'!$B$11,Paramètres!$A$1:$I$89,3,0)*0.475*44/12</f>
        <v>0.33764767586979094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4.3787369096008719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69.112749782311681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8.5459999999999976</v>
      </c>
      <c r="BY175" s="12">
        <f>IF('Données projet'!$A$114&gt;35,BY174+BX175-CG174,IF(A175&lt;'Données projet'!$A$114,$BV$205^A175,IF(A175='Données projet'!$A$114,'Données projet'!$B$114,BY174+BX175-CG174)))</f>
        <v>528.55800000000045</v>
      </c>
      <c r="BZ175" s="13">
        <f>BY175*VLOOKUP('Données projet'!$B$12,Paramètres!$A$1:$I$89,3,0)*VLOOKUP('Données projet'!$B$12,Paramètres!$A$1:$I$89,5,0)</f>
        <v>535.95781200000044</v>
      </c>
      <c r="CA175" s="13">
        <f t="shared" si="170"/>
        <v>118.85347058310219</v>
      </c>
      <c r="CB175" s="20">
        <f t="shared" si="171"/>
        <v>1140.4629838322371</v>
      </c>
      <c r="CC175" s="59">
        <f t="shared" si="119"/>
        <v>1430.5430663673799</v>
      </c>
      <c r="CD175" s="59">
        <f ca="1">AVERAGE(OFFSET($CC$3,0,0,'Données projet'!$E$12+1,1))-AVERAGE(OFFSET($H$3,0,0,'Données projet'!$E$12+1,1))</f>
        <v>679.4570479719705</v>
      </c>
      <c r="CE175" s="59">
        <f t="shared" si="148"/>
        <v>310.8252119379963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70.481327595376086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70.481327595376086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69.112749782311681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146.95547268081216</v>
      </c>
      <c r="CZ175" s="59">
        <f t="shared" si="150"/>
        <v>343.21355872318065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3.7807736695950234</v>
      </c>
      <c r="DG175" s="21">
        <f>EXP(-LN(2)/25)*DG174+(1-EXP(-LN(2)/25))/(LN(2)/25)*Calculateur!DB175*Calculateur!DD175*VLOOKUP('Données projet'!$B$13,Paramètres!$A$1:$I$89,3,0)*0.475*44/12</f>
        <v>0.31589736546100067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4.0966710350560245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69.112749782311681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69.112749782311681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69.112749782311681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69.112749782311681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69.112749782311681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3.5999999999999996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13.199999999999998</v>
      </c>
      <c r="H176" s="67">
        <f t="shared" si="110"/>
        <v>203.86666666666667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69.128141589994243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366.78396742205962</v>
      </c>
      <c r="T176" s="59">
        <f t="shared" si="142"/>
        <v>271.89887525994988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26.397951433264058</v>
      </c>
      <c r="AA176" s="21">
        <f>EXP(-LN(2)/25)*AA175+(1-EXP(-LN(2)/25))/(LN(2)/25)*Calculateur!V176*Calculateur!X176*VLOOKUP('Données projet'!$B$9,Paramètres!$A$1:$I$89,3,0)*0.475*44/12</f>
        <v>6.2921775180943254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32.690128951358382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69.128141589994243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6.2527760746888816E-13</v>
      </c>
      <c r="AJ176" s="13">
        <f>AI176*VLOOKUP('Données projet'!$B$10,Paramètres!$A$1:$I$89,3,0)*VLOOKUP('Données projet'!$B$10,Paramètres!$A$1:$I$89,5,0)</f>
        <v>2.9262992029543964E-13</v>
      </c>
      <c r="AK176" s="13">
        <f t="shared" si="164"/>
        <v>3.8796387982050903E-12</v>
      </c>
      <c r="AL176" s="20">
        <f t="shared" si="165"/>
        <v>7.2667013513884219E-12</v>
      </c>
      <c r="AM176" s="59">
        <f t="shared" si="113"/>
        <v>290.13651916331952</v>
      </c>
      <c r="AN176" s="59">
        <f ca="1">AVERAGE(OFFSET($AM$3,0,0,'Données projet'!$E$10+1,1))-AVERAGE(OFFSET($H$3,0,0,'Données projet'!$E$10+1,1))</f>
        <v>360.04137410460385</v>
      </c>
      <c r="AO176" s="59">
        <f t="shared" si="144"/>
        <v>287.81656468701829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75.003883190048811</v>
      </c>
      <c r="AV176" s="21">
        <f>EXP(-LN(2)/25)*AV175+(1-EXP(-LN(2)/25))/(LN(2)/25)*Calculateur!AQ176*Calculateur!AS176*VLOOKUP('Données projet'!$B$10,Paramètres!$A$1:$I$89,3,0)*0.475*44/12</f>
        <v>20.233270147860591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95.237153337909405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69.128141589994243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155.76430449447392</v>
      </c>
      <c r="BJ176" s="59">
        <f t="shared" si="146"/>
        <v>363.39275685992129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3.9618459386786662</v>
      </c>
      <c r="BQ176" s="21">
        <f>EXP(-LN(2)/25)*BQ175+(1-EXP(-LN(2)/25))/(LN(2)/25)*Calculateur!BL176*Calculateur!BN176*VLOOKUP('Données projet'!$B$11,Paramètres!$A$1:$I$89,3,0)*0.475*44/12</f>
        <v>0.32841468241701194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4.290260621095678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69.128141589994243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8.5459999999999976</v>
      </c>
      <c r="BY176" s="12">
        <f>IF('Données projet'!$A$114&gt;35,BY175+BX176-CG175,IF(A176&lt;'Données projet'!$A$114,$BV$205^A176,IF(A176='Données projet'!$A$114,'Données projet'!$B$114,BY175+BX176-CG175)))</f>
        <v>537.1040000000005</v>
      </c>
      <c r="BZ176" s="13">
        <f>BY176*VLOOKUP('Données projet'!$B$12,Paramètres!$A$1:$I$89,3,0)*VLOOKUP('Données projet'!$B$12,Paramètres!$A$1:$I$89,5,0)</f>
        <v>544.62345600000049</v>
      </c>
      <c r="CA176" s="13">
        <f t="shared" si="170"/>
        <v>120.54988278104692</v>
      </c>
      <c r="CB176" s="20">
        <f t="shared" si="171"/>
        <v>1158.510231710324</v>
      </c>
      <c r="CC176" s="59">
        <f t="shared" si="119"/>
        <v>1448.6467508736362</v>
      </c>
      <c r="CD176" s="59">
        <f ca="1">AVERAGE(OFFSET($CC$3,0,0,'Données projet'!$E$12+1,1))-AVERAGE(OFFSET($H$3,0,0,'Données projet'!$E$12+1,1))</f>
        <v>679.4570479719705</v>
      </c>
      <c r="CE176" s="59">
        <f t="shared" si="148"/>
        <v>310.8252119379963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69.099231750595749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69.099231750595749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69.128141589994243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146.95547268081216</v>
      </c>
      <c r="CZ176" s="59">
        <f t="shared" si="150"/>
        <v>343.21355872318065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3.7066350039785005</v>
      </c>
      <c r="DG176" s="21">
        <f>EXP(-LN(2)/25)*DG175+(1-EXP(-LN(2)/25))/(LN(2)/25)*Calculateur!DB176*Calculateur!DD176*VLOOKUP('Données projet'!$B$13,Paramètres!$A$1:$I$89,3,0)*0.475*44/12</f>
        <v>0.30725913539014915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4.0138941393686496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69.128141589994243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69.128141589994243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69.128141589994243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69.128141589994243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69.128141589994243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3.5999999999999996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13.199999999999998</v>
      </c>
      <c r="H177" s="67">
        <f t="shared" si="110"/>
        <v>203.86666666666667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69.143266384224461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366.78396742205962</v>
      </c>
      <c r="T177" s="59">
        <f t="shared" si="142"/>
        <v>271.89887525994988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25.880303706818268</v>
      </c>
      <c r="AA177" s="21">
        <f>EXP(-LN(2)/25)*AA176+(1-EXP(-LN(2)/25))/(LN(2)/25)*Calculateur!V177*Calculateur!X177*VLOOKUP('Données projet'!$B$9,Paramètres!$A$1:$I$89,3,0)*0.475*44/12</f>
        <v>6.1201175929708009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32.000421299789068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69.143266384224461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6.2527760746888816E-13</v>
      </c>
      <c r="AJ177" s="13">
        <f>AI177*VLOOKUP('Données projet'!$B$10,Paramètres!$A$1:$I$89,3,0)*VLOOKUP('Données projet'!$B$10,Paramètres!$A$1:$I$89,5,0)</f>
        <v>2.9262992029543964E-13</v>
      </c>
      <c r="AK177" s="13">
        <f t="shared" si="164"/>
        <v>3.8796387982050903E-12</v>
      </c>
      <c r="AL177" s="20">
        <f t="shared" si="165"/>
        <v>7.2667013513884219E-12</v>
      </c>
      <c r="AM177" s="59">
        <f t="shared" si="113"/>
        <v>290.1919767421636</v>
      </c>
      <c r="AN177" s="59">
        <f ca="1">AVERAGE(OFFSET($AM$3,0,0,'Données projet'!$E$10+1,1))-AVERAGE(OFFSET($H$3,0,0,'Données projet'!$E$10+1,1))</f>
        <v>360.04137410460385</v>
      </c>
      <c r="AO177" s="59">
        <f t="shared" si="144"/>
        <v>287.81656468701829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73.533102788543474</v>
      </c>
      <c r="AV177" s="21">
        <f>EXP(-LN(2)/25)*AV176+(1-EXP(-LN(2)/25))/(LN(2)/25)*Calculateur!AQ177*Calculateur!AS177*VLOOKUP('Données projet'!$B$10,Paramètres!$A$1:$I$89,3,0)*0.475*44/12</f>
        <v>19.679990311645909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93.213093100189383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69.143266384224461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155.76430449447392</v>
      </c>
      <c r="BJ177" s="59">
        <f t="shared" si="146"/>
        <v>363.39275685992129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3.884156556308592</v>
      </c>
      <c r="BQ177" s="21">
        <f>EXP(-LN(2)/25)*BQ176+(1-EXP(-LN(2)/25))/(LN(2)/25)*Calculateur!BL177*Calculateur!BN177*VLOOKUP('Données projet'!$B$11,Paramètres!$A$1:$I$89,3,0)*0.475*44/12</f>
        <v>0.31943416565574118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4.2035907219643329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69.143266384224461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>
        <f>VLOOKUP(A177,'Données projet'!$A$113:$I$133,2,0)</f>
        <v>545.65</v>
      </c>
      <c r="BW177" s="12">
        <f>VLOOKUP(A177,'Données projet'!$A$113:$I$133,9,0)</f>
        <v>8.5459999999999976</v>
      </c>
      <c r="BX177" s="12">
        <f t="array" ref="BX177">INDEX(BW:BW,MIN(IF(ISNUMBER(BW177:BW373),ROW(BW177:BW373),"")))</f>
        <v>8.5459999999999976</v>
      </c>
      <c r="BY177" s="12">
        <f>IF('Données projet'!$A$114&gt;35,BY176+BX177-CG176,IF(A177&lt;'Données projet'!$A$114,$BV$205^A177,IF(A177='Données projet'!$A$114,'Données projet'!$B$114,BY176+BX177-CG176)))</f>
        <v>545.65000000000055</v>
      </c>
      <c r="BZ177" s="13">
        <f>BY177*VLOOKUP('Données projet'!$B$12,Paramètres!$A$1:$I$89,3,0)*VLOOKUP('Données projet'!$B$12,Paramètres!$A$1:$I$89,5,0)</f>
        <v>553.28910000000053</v>
      </c>
      <c r="CA177" s="13">
        <f t="shared" si="170"/>
        <v>122.24315587188718</v>
      </c>
      <c r="CB177" s="20">
        <f t="shared" si="171"/>
        <v>1176.5520123102044</v>
      </c>
      <c r="CC177" s="59">
        <f t="shared" si="119"/>
        <v>1466.7439890523608</v>
      </c>
      <c r="CD177" s="59">
        <f ca="1">AVERAGE(OFFSET($CC$3,0,0,'Données projet'!$E$12+1,1))-AVERAGE(OFFSET($H$3,0,0,'Données projet'!$E$12+1,1))</f>
        <v>679.4570479719705</v>
      </c>
      <c r="CE177" s="59">
        <f t="shared" si="148"/>
        <v>310.8252119379963</v>
      </c>
      <c r="CF177" s="15">
        <f>IF(ISNA(VLOOKUP(A177,'Données projet'!$A$113:$I$133,3,0)),0,VLOOKUP(A177,'Données projet'!$A$113:$I$133,3,0))</f>
        <v>15</v>
      </c>
      <c r="CG177" s="15">
        <f>IF(ISNA(VLOOKUP(A177,'Données projet'!$A$113:$I$133,4,0)),0,VLOOKUP(A177,'Données projet'!$A$113:$I$133,4,0))</f>
        <v>214.77</v>
      </c>
      <c r="CH177" s="16">
        <f>IF(ISNA(VLOOKUP(A177,'Données projet'!$A$113:$I$133,5,0)),0%,VLOOKUP(A177,'Données projet'!$A$113:$I$133,5,0)*VLOOKUP('Données projet'!$B$12,Paramètres!$A$1:$I$89,7,0))</f>
        <v>0.25800000000000001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129.85664910947281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129.85664910947281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69.143266384224461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146.95547268081216</v>
      </c>
      <c r="CZ177" s="59">
        <f t="shared" si="150"/>
        <v>343.21355872318065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3.633950152374597</v>
      </c>
      <c r="DG177" s="21">
        <f>EXP(-LN(2)/25)*DG176+(1-EXP(-LN(2)/25))/(LN(2)/25)*Calculateur!DB177*Calculateur!DD177*VLOOKUP('Données projet'!$B$13,Paramètres!$A$1:$I$89,3,0)*0.475*44/12</f>
        <v>0.29885711817484983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3.9328072705494468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69.143266384224461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69.143266384224461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69.143266384224461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69.143266384224461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69.143266384224461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3.5999999999999996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13.199999999999998</v>
      </c>
      <c r="H178" s="67">
        <f t="shared" si="110"/>
        <v>203.86666666666667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69.158128797088722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366.78396742205962</v>
      </c>
      <c r="T178" s="59">
        <f t="shared" si="142"/>
        <v>271.89887525994988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25.372806736554143</v>
      </c>
      <c r="AA178" s="21">
        <f>EXP(-LN(2)/25)*AA177+(1-EXP(-LN(2)/25))/(LN(2)/25)*Calculateur!V178*Calculateur!X178*VLOOKUP('Données projet'!$B$9,Paramètres!$A$1:$I$89,3,0)*0.475*44/12</f>
        <v>5.9527626555480175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31.32556939210216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69.158128797088722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6.2527760746888816E-13</v>
      </c>
      <c r="AJ178" s="13">
        <f>AI178*VLOOKUP('Données projet'!$B$10,Paramètres!$A$1:$I$89,3,0)*VLOOKUP('Données projet'!$B$10,Paramètres!$A$1:$I$89,5,0)</f>
        <v>2.9262992029543964E-13</v>
      </c>
      <c r="AK178" s="13">
        <f t="shared" si="164"/>
        <v>3.8796387982050903E-12</v>
      </c>
      <c r="AL178" s="20">
        <f t="shared" si="165"/>
        <v>7.2667013513884219E-12</v>
      </c>
      <c r="AM178" s="59">
        <f t="shared" si="113"/>
        <v>290.24647225599927</v>
      </c>
      <c r="AN178" s="59">
        <f ca="1">AVERAGE(OFFSET($AM$3,0,0,'Données projet'!$E$10+1,1))-AVERAGE(OFFSET($H$3,0,0,'Données projet'!$E$10+1,1))</f>
        <v>360.04137410460385</v>
      </c>
      <c r="AO178" s="59">
        <f t="shared" si="144"/>
        <v>287.81656468701829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72.091163493624194</v>
      </c>
      <c r="AV178" s="21">
        <f>EXP(-LN(2)/25)*AV177+(1-EXP(-LN(2)/25))/(LN(2)/25)*Calculateur!AQ178*Calculateur!AS178*VLOOKUP('Données projet'!$B$10,Paramètres!$A$1:$I$89,3,0)*0.475*44/12</f>
        <v>19.141839941648239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91.233003435272437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69.158128797088722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155.76430449447392</v>
      </c>
      <c r="BJ178" s="59">
        <f t="shared" si="146"/>
        <v>363.39275685992129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3.8079906153409504</v>
      </c>
      <c r="BQ178" s="21">
        <f>EXP(-LN(2)/25)*BQ177+(1-EXP(-LN(2)/25))/(LN(2)/25)*Calculateur!BL178*Calculateur!BN178*VLOOKUP('Données projet'!$B$11,Paramètres!$A$1:$I$89,3,0)*0.475*44/12</f>
        <v>0.31069922159757224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4.1186898369385228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69.158128797088722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5.3866666666666747</v>
      </c>
      <c r="BY178" s="12">
        <f>IF('Données projet'!$A$114&gt;35,BY177+BX178-CG177,IF(A178&lt;'Données projet'!$A$114,$BV$205^A178,IF(A178='Données projet'!$A$114,'Données projet'!$B$114,BY177+BX178-CG177)))</f>
        <v>336.26666666666722</v>
      </c>
      <c r="BZ178" s="13">
        <f>BY178*VLOOKUP('Données projet'!$B$12,Paramètres!$A$1:$I$89,3,0)*VLOOKUP('Données projet'!$B$12,Paramètres!$A$1:$I$89,5,0)</f>
        <v>340.97440000000057</v>
      </c>
      <c r="CA178" s="13">
        <f t="shared" si="170"/>
        <v>79.70123008824433</v>
      </c>
      <c r="CB178" s="20">
        <f t="shared" si="171"/>
        <v>732.67672240369313</v>
      </c>
      <c r="CC178" s="59">
        <f t="shared" si="119"/>
        <v>1022.9231946596851</v>
      </c>
      <c r="CD178" s="59">
        <f ca="1">AVERAGE(OFFSET($CC$3,0,0,'Données projet'!$E$12+1,1))-AVERAGE(OFFSET($H$3,0,0,'Données projet'!$E$12+1,1))</f>
        <v>679.4570479719705</v>
      </c>
      <c r="CE178" s="59">
        <f t="shared" si="148"/>
        <v>310.8252119379963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127.31023942517119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127.31023942517119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69.158128797088722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146.95547268081216</v>
      </c>
      <c r="CZ178" s="59">
        <f t="shared" si="150"/>
        <v>343.21355872318065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3.5626906063772639</v>
      </c>
      <c r="DG178" s="21">
        <f>EXP(-LN(2)/25)*DG177+(1-EXP(-LN(2)/25))/(LN(2)/25)*Calculateur!DB178*Calculateur!DD178*VLOOKUP('Données projet'!$B$13,Paramètres!$A$1:$I$89,3,0)*0.475*44/12</f>
        <v>0.29068485456214577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3.8533754609394095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69.158128797088722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69.158128797088722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69.158128797088722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69.158128797088722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69.158128797088722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3.5999999999999996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13.199999999999998</v>
      </c>
      <c r="H179" s="67">
        <f t="shared" si="110"/>
        <v>203.86666666666667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69.172733380317197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366.78396742205962</v>
      </c>
      <c r="T179" s="59">
        <f t="shared" si="142"/>
        <v>271.89887525994988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24.875261472334309</v>
      </c>
      <c r="AA179" s="21">
        <f>EXP(-LN(2)/25)*AA178+(1-EXP(-LN(2)/25))/(LN(2)/25)*Calculateur!V179*Calculateur!X179*VLOOKUP('Données projet'!$B$9,Paramètres!$A$1:$I$89,3,0)*0.475*44/12</f>
        <v>5.7899840476898738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30.665245520024182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69.172733380317197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6.2527760746888816E-13</v>
      </c>
      <c r="AJ179" s="13">
        <f>AI179*VLOOKUP('Données projet'!$B$10,Paramètres!$A$1:$I$89,3,0)*VLOOKUP('Données projet'!$B$10,Paramètres!$A$1:$I$89,5,0)</f>
        <v>2.9262992029543964E-13</v>
      </c>
      <c r="AK179" s="13">
        <f t="shared" si="164"/>
        <v>3.8796387982050903E-12</v>
      </c>
      <c r="AL179" s="20">
        <f t="shared" si="165"/>
        <v>7.2667013513884219E-12</v>
      </c>
      <c r="AM179" s="59">
        <f t="shared" si="113"/>
        <v>290.30002239450369</v>
      </c>
      <c r="AN179" s="59">
        <f ca="1">AVERAGE(OFFSET($AM$3,0,0,'Données projet'!$E$10+1,1))-AVERAGE(OFFSET($H$3,0,0,'Données projet'!$E$10+1,1))</f>
        <v>360.04137410460385</v>
      </c>
      <c r="AO179" s="59">
        <f t="shared" si="144"/>
        <v>287.81656468701829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70.677499748782154</v>
      </c>
      <c r="AV179" s="21">
        <f>EXP(-LN(2)/25)*AV178+(1-EXP(-LN(2)/25))/(LN(2)/25)*Calculateur!AQ179*Calculateur!AS179*VLOOKUP('Données projet'!$B$10,Paramètres!$A$1:$I$89,3,0)*0.475*44/12</f>
        <v>18.618405321818255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89.295905070600412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69.172733380317197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155.76430449447392</v>
      </c>
      <c r="BJ179" s="59">
        <f t="shared" si="146"/>
        <v>363.39275685992129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3.7333182420190476</v>
      </c>
      <c r="BQ179" s="21">
        <f>EXP(-LN(2)/25)*BQ178+(1-EXP(-LN(2)/25))/(LN(2)/25)*Calculateur!BL179*Calculateur!BN179*VLOOKUP('Données projet'!$B$11,Paramètres!$A$1:$I$89,3,0)*0.475*44/12</f>
        <v>0.30220313504402468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4.0355213770630725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69.172733380317197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5.3866666666666747</v>
      </c>
      <c r="BY179" s="12">
        <f>IF('Données projet'!$A$114&gt;35,BY178+BX179-CG178,IF(A179&lt;'Données projet'!$A$114,$BV$205^A179,IF(A179='Données projet'!$A$114,'Données projet'!$B$114,BY178+BX179-CG178)))</f>
        <v>341.65333333333388</v>
      </c>
      <c r="BZ179" s="13">
        <f>BY179*VLOOKUP('Données projet'!$B$12,Paramètres!$A$1:$I$89,3,0)*VLOOKUP('Données projet'!$B$12,Paramètres!$A$1:$I$89,5,0)</f>
        <v>346.43648000000053</v>
      </c>
      <c r="CA179" s="13">
        <f t="shared" si="170"/>
        <v>80.828309002667666</v>
      </c>
      <c r="CB179" s="20">
        <f t="shared" si="171"/>
        <v>744.15284084631367</v>
      </c>
      <c r="CC179" s="59">
        <f t="shared" si="119"/>
        <v>1034.4528632408101</v>
      </c>
      <c r="CD179" s="59">
        <f ca="1">AVERAGE(OFFSET($CC$3,0,0,'Données projet'!$E$12+1,1))-AVERAGE(OFFSET($H$3,0,0,'Données projet'!$E$12+1,1))</f>
        <v>679.4570479719705</v>
      </c>
      <c r="CE179" s="59">
        <f t="shared" si="148"/>
        <v>310.8252119379963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124.81376328162217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124.81376328162217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69.172733380317197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146.95547268081216</v>
      </c>
      <c r="CZ179" s="59">
        <f t="shared" si="150"/>
        <v>343.21355872318065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3.4928284166129071</v>
      </c>
      <c r="DG179" s="21">
        <f>EXP(-LN(2)/25)*DG178+(1-EXP(-LN(2)/25))/(LN(2)/25)*Calculateur!DB179*Calculateur!DD179*VLOOKUP('Données projet'!$B$13,Paramètres!$A$1:$I$89,3,0)*0.475*44/12</f>
        <v>0.28273606192769174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3.7755644785405988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69.172733380317197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69.172733380317197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69.172733380317197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69.172733380317197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69.172733380317197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3.5999999999999996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13.199999999999998</v>
      </c>
      <c r="H180" s="67">
        <f t="shared" si="110"/>
        <v>203.86666666666667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69.187084606677615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366.78396742205962</v>
      </c>
      <c r="T180" s="59">
        <f t="shared" si="142"/>
        <v>271.89887525994988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24.387472767273181</v>
      </c>
      <c r="AA180" s="21">
        <f>EXP(-LN(2)/25)*AA179+(1-EXP(-LN(2)/25))/(LN(2)/25)*Calculateur!V180*Calculateur!X180*VLOOKUP('Données projet'!$B$9,Paramètres!$A$1:$I$89,3,0)*0.475*44/12</f>
        <v>5.631656629423766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30.019129396696947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69.187084606677615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6.2527760746888816E-13</v>
      </c>
      <c r="AJ180" s="13">
        <f>AI180*VLOOKUP('Données projet'!$B$10,Paramètres!$A$1:$I$89,3,0)*VLOOKUP('Données projet'!$B$10,Paramètres!$A$1:$I$89,5,0)</f>
        <v>2.9262992029543964E-13</v>
      </c>
      <c r="AK180" s="13">
        <f t="shared" si="164"/>
        <v>3.8796387982050903E-12</v>
      </c>
      <c r="AL180" s="20">
        <f t="shared" si="165"/>
        <v>7.2667013513884219E-12</v>
      </c>
      <c r="AM180" s="59">
        <f t="shared" si="113"/>
        <v>290.35264355782516</v>
      </c>
      <c r="AN180" s="59">
        <f ca="1">AVERAGE(OFFSET($AM$3,0,0,'Données projet'!$E$10+1,1))-AVERAGE(OFFSET($H$3,0,0,'Données projet'!$E$10+1,1))</f>
        <v>360.04137410460385</v>
      </c>
      <c r="AO180" s="59">
        <f t="shared" si="144"/>
        <v>287.81656468701829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69.291557087726716</v>
      </c>
      <c r="AV180" s="21">
        <f>EXP(-LN(2)/25)*AV179+(1-EXP(-LN(2)/25))/(LN(2)/25)*Calculateur!AQ180*Calculateur!AS180*VLOOKUP('Données projet'!$B$10,Paramètres!$A$1:$I$89,3,0)*0.475*44/12</f>
        <v>18.10928404919375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87.400841136920462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69.187084606677615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155.76430449447392</v>
      </c>
      <c r="BJ180" s="59">
        <f t="shared" si="146"/>
        <v>363.39275685992129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3.6601101483923366</v>
      </c>
      <c r="BQ180" s="21">
        <f>EXP(-LN(2)/25)*BQ179+(1-EXP(-LN(2)/25))/(LN(2)/25)*Calculateur!BL180*Calculateur!BN180*VLOOKUP('Données projet'!$B$11,Paramètres!$A$1:$I$89,3,0)*0.475*44/12</f>
        <v>0.29393937442407364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3.9540495228164101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69.187084606677615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>
        <f>VLOOKUP(A180,'Données projet'!$A$113:$I$133,2,0)</f>
        <v>347.04</v>
      </c>
      <c r="BW180" s="12">
        <f>VLOOKUP(A180,'Données projet'!$A$113:$I$133,9,0)</f>
        <v>5.3866666666666747</v>
      </c>
      <c r="BX180" s="12">
        <f t="array" ref="BX180">INDEX(BW:BW,MIN(IF(ISNUMBER(BW180:BW376),ROW(BW180:BW376),"")))</f>
        <v>5.3866666666666747</v>
      </c>
      <c r="BY180" s="12">
        <f>IF('Données projet'!$A$114&gt;35,BY179+BX180-CG179,IF(A180&lt;'Données projet'!$A$114,$BV$205^A180,IF(A180='Données projet'!$A$114,'Données projet'!$B$114,BY179+BX180-CG179)))</f>
        <v>347.04000000000053</v>
      </c>
      <c r="BZ180" s="13">
        <f>BY180*VLOOKUP('Données projet'!$B$12,Paramètres!$A$1:$I$89,3,0)*VLOOKUP('Données projet'!$B$12,Paramètres!$A$1:$I$89,5,0)</f>
        <v>351.8985600000006</v>
      </c>
      <c r="CA180" s="13">
        <f t="shared" si="170"/>
        <v>81.953321289050805</v>
      </c>
      <c r="CB180" s="20">
        <f t="shared" si="171"/>
        <v>755.62535991176446</v>
      </c>
      <c r="CC180" s="59">
        <f t="shared" si="119"/>
        <v>1045.9780034695823</v>
      </c>
      <c r="CD180" s="59">
        <f ca="1">AVERAGE(OFFSET($CC$3,0,0,'Données projet'!$E$12+1,1))-AVERAGE(OFFSET($H$3,0,0,'Données projet'!$E$12+1,1))</f>
        <v>679.4570479719705</v>
      </c>
      <c r="CE180" s="59">
        <f t="shared" si="148"/>
        <v>310.8252119379963</v>
      </c>
      <c r="CF180" s="15">
        <f>IF(ISNA(VLOOKUP(A180,'Données projet'!$A$113:$I$133,3,0)),0,VLOOKUP(A180,'Données projet'!$A$113:$I$133,3,0))</f>
        <v>16</v>
      </c>
      <c r="CG180" s="15">
        <f>IF(ISNA(VLOOKUP(A180,'Données projet'!$A$113:$I$133,4,0)),0,VLOOKUP(A180,'Données projet'!$A$113:$I$133,4,0))</f>
        <v>115.19</v>
      </c>
      <c r="CH180" s="16">
        <f>IF(ISNA(VLOOKUP(A180,'Données projet'!$A$113:$I$133,5,0)),0%,VLOOKUP(A180,'Données projet'!$A$113:$I$133,5,0)*VLOOKUP('Données projet'!$B$12,Paramètres!$A$1:$I$89,7,0))</f>
        <v>0.25800000000000001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155.67968677975784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155.67968677975784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69.187084606677615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146.95547268081216</v>
      </c>
      <c r="CZ180" s="59">
        <f t="shared" si="150"/>
        <v>343.21355872318065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3.4243361817781013</v>
      </c>
      <c r="DG180" s="21">
        <f>EXP(-LN(2)/25)*DG179+(1-EXP(-LN(2)/25))/(LN(2)/25)*Calculateur!DB180*Calculateur!DD180*VLOOKUP('Données projet'!$B$13,Paramètres!$A$1:$I$89,3,0)*0.475*44/12</f>
        <v>0.2750046294458357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3.6993408112239372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69.187084606677615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69.187084606677615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69.187084606677615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69.187084606677615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69.187084606677615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3.5999999999999996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13.199999999999998</v>
      </c>
      <c r="H181" s="67">
        <f t="shared" si="110"/>
        <v>203.86666666666667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69.2011868713452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366.78396742205962</v>
      </c>
      <c r="T181" s="59">
        <f t="shared" si="142"/>
        <v>271.89887525994988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23.909249301196567</v>
      </c>
      <c r="AA181" s="21">
        <f>EXP(-LN(2)/25)*AA180+(1-EXP(-LN(2)/25))/(LN(2)/25)*Calculateur!V181*Calculateur!X181*VLOOKUP('Données projet'!$B$9,Paramètres!$A$1:$I$89,3,0)*0.475*44/12</f>
        <v>5.4776586827362221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29.38690798393279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69.2011868713452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6.2527760746888816E-13</v>
      </c>
      <c r="AJ181" s="13">
        <f>AI181*VLOOKUP('Données projet'!$B$10,Paramètres!$A$1:$I$89,3,0)*VLOOKUP('Données projet'!$B$10,Paramètres!$A$1:$I$89,5,0)</f>
        <v>2.9262992029543964E-13</v>
      </c>
      <c r="AK181" s="13">
        <f t="shared" si="164"/>
        <v>3.8796387982050903E-12</v>
      </c>
      <c r="AL181" s="20">
        <f t="shared" si="165"/>
        <v>7.2667013513884219E-12</v>
      </c>
      <c r="AM181" s="59">
        <f t="shared" si="113"/>
        <v>290.40435186160636</v>
      </c>
      <c r="AN181" s="59">
        <f ca="1">AVERAGE(OFFSET($AM$3,0,0,'Données projet'!$E$10+1,1))-AVERAGE(OFFSET($H$3,0,0,'Données projet'!$E$10+1,1))</f>
        <v>360.04137410460385</v>
      </c>
      <c r="AO181" s="59">
        <f t="shared" si="144"/>
        <v>287.81656468701829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67.932791916913033</v>
      </c>
      <c r="AV181" s="21">
        <f>EXP(-LN(2)/25)*AV180+(1-EXP(-LN(2)/25))/(LN(2)/25)*Calculateur!AQ181*Calculateur!AS181*VLOOKUP('Données projet'!$B$10,Paramètres!$A$1:$I$89,3,0)*0.475*44/12</f>
        <v>17.614084724542689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85.546876641455725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69.2011868713452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155.76430449447392</v>
      </c>
      <c r="BJ181" s="59">
        <f t="shared" si="146"/>
        <v>363.39275685992129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3.5883376208291176</v>
      </c>
      <c r="BQ181" s="21">
        <f>EXP(-LN(2)/25)*BQ180+(1-EXP(-LN(2)/25))/(LN(2)/25)*Calculateur!BL181*Calculateur!BN181*VLOOKUP('Données projet'!$B$11,Paramètres!$A$1:$I$89,3,0)*0.475*44/12</f>
        <v>0.28590158677284744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3.8742392076019652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69.2011868713452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3.2566666666666606</v>
      </c>
      <c r="BY181" s="12">
        <f>IF('Données projet'!$A$114&gt;35,BY180+BX181-CG180,IF(A181&lt;'Données projet'!$A$114,$BV$205^A181,IF(A181='Données projet'!$A$114,'Données projet'!$B$114,BY180+BX181-CG180)))</f>
        <v>235.10666666666719</v>
      </c>
      <c r="BZ181" s="13">
        <f>BY181*VLOOKUP('Données projet'!$B$12,Paramètres!$A$1:$I$89,3,0)*VLOOKUP('Données projet'!$B$12,Paramètres!$A$1:$I$89,5,0)</f>
        <v>238.39816000000053</v>
      </c>
      <c r="CA181" s="13">
        <f t="shared" si="170"/>
        <v>58.09475259380514</v>
      </c>
      <c r="CB181" s="20">
        <f t="shared" si="171"/>
        <v>516.39182276754491</v>
      </c>
      <c r="CC181" s="59">
        <f t="shared" si="119"/>
        <v>806.79617462914393</v>
      </c>
      <c r="CD181" s="59">
        <f ca="1">AVERAGE(OFFSET($CC$3,0,0,'Données projet'!$E$12+1,1))-AVERAGE(OFFSET($H$3,0,0,'Données projet'!$E$12+1,1))</f>
        <v>679.4570479719705</v>
      </c>
      <c r="CE181" s="59">
        <f t="shared" si="148"/>
        <v>310.8252119379963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152.62690307723969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152.62690307723969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69.2011868713452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146.95547268081216</v>
      </c>
      <c r="CZ181" s="59">
        <f t="shared" si="150"/>
        <v>343.21355872318065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3.3571870378922677</v>
      </c>
      <c r="DG181" s="21">
        <f>EXP(-LN(2)/25)*DG180+(1-EXP(-LN(2)/25))/(LN(2)/25)*Calculateur!DB181*Calculateur!DD181*VLOOKUP('Données projet'!$B$13,Paramètres!$A$1:$I$89,3,0)*0.475*44/12</f>
        <v>0.26748461339177437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3.624671651284042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69.2011868713452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69.2011868713452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69.2011868713452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69.2011868713452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69.2011868713452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3.5999999999999996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13.199999999999998</v>
      </c>
      <c r="H182" s="67">
        <f t="shared" si="110"/>
        <v>203.86666666666667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69.21504449324874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366.78396742205962</v>
      </c>
      <c r="T182" s="59">
        <f t="shared" si="142"/>
        <v>271.89887525994988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23.440403505602205</v>
      </c>
      <c r="AA182" s="21">
        <f>EXP(-LN(2)/25)*AA181+(1-EXP(-LN(2)/25))/(LN(2)/25)*Calculateur!V182*Calculateur!X182*VLOOKUP('Données projet'!$B$9,Paramètres!$A$1:$I$89,3,0)*0.475*44/12</f>
        <v>5.3278718179992497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28.768275323601454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69.21504449324874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6.2527760746888816E-13</v>
      </c>
      <c r="AJ182" s="13">
        <f>AI182*VLOOKUP('Données projet'!$B$10,Paramètres!$A$1:$I$89,3,0)*VLOOKUP('Données projet'!$B$10,Paramètres!$A$1:$I$89,5,0)</f>
        <v>2.9262992029543964E-13</v>
      </c>
      <c r="AK182" s="13">
        <f t="shared" si="164"/>
        <v>3.8796387982050903E-12</v>
      </c>
      <c r="AL182" s="20">
        <f t="shared" si="165"/>
        <v>7.2667013513884219E-12</v>
      </c>
      <c r="AM182" s="59">
        <f t="shared" si="113"/>
        <v>290.45516314191929</v>
      </c>
      <c r="AN182" s="59">
        <f ca="1">AVERAGE(OFFSET($AM$3,0,0,'Données projet'!$E$10+1,1))-AVERAGE(OFFSET($H$3,0,0,'Données projet'!$E$10+1,1))</f>
        <v>360.04137410460385</v>
      </c>
      <c r="AO182" s="59">
        <f t="shared" si="144"/>
        <v>287.81656468701829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66.600671302334078</v>
      </c>
      <c r="AV182" s="21">
        <f>EXP(-LN(2)/25)*AV181+(1-EXP(-LN(2)/25))/(LN(2)/25)*Calculateur!AQ182*Calculateur!AS182*VLOOKUP('Données projet'!$B$10,Paramètres!$A$1:$I$89,3,0)*0.475*44/12</f>
        <v>17.132426651465611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83.733097953799685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69.21504449324874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155.76430449447392</v>
      </c>
      <c r="BJ182" s="59">
        <f t="shared" si="146"/>
        <v>363.39275685992129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3.517972508754494</v>
      </c>
      <c r="BQ182" s="21">
        <f>EXP(-LN(2)/25)*BQ181+(1-EXP(-LN(2)/25))/(LN(2)/25)*Calculateur!BL182*Calculateur!BN182*VLOOKUP('Données projet'!$B$11,Paramètres!$A$1:$I$89,3,0)*0.475*44/12</f>
        <v>0.2780835928476329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3.7960561016021268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69.21504449324874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3.2566666666666606</v>
      </c>
      <c r="BY182" s="12">
        <f>IF('Données projet'!$A$114&gt;35,BY181+BX182-CG181,IF(A182&lt;'Données projet'!$A$114,$BV$205^A182,IF(A182='Données projet'!$A$114,'Données projet'!$B$114,BY181+BX182-CG181)))</f>
        <v>238.36333333333386</v>
      </c>
      <c r="BZ182" s="13">
        <f>BY182*VLOOKUP('Données projet'!$B$12,Paramètres!$A$1:$I$89,3,0)*VLOOKUP('Données projet'!$B$12,Paramètres!$A$1:$I$89,5,0)</f>
        <v>241.70042000000055</v>
      </c>
      <c r="CA182" s="13">
        <f t="shared" si="170"/>
        <v>58.805233664472574</v>
      </c>
      <c r="CB182" s="20">
        <f t="shared" si="171"/>
        <v>523.38068013229065</v>
      </c>
      <c r="CC182" s="59">
        <f t="shared" si="119"/>
        <v>813.83584327420272</v>
      </c>
      <c r="CD182" s="59">
        <f ca="1">AVERAGE(OFFSET($CC$3,0,0,'Données projet'!$E$12+1,1))-AVERAGE(OFFSET($H$3,0,0,'Données projet'!$E$12+1,1))</f>
        <v>679.4570479719705</v>
      </c>
      <c r="CE182" s="59">
        <f t="shared" si="148"/>
        <v>310.8252119379963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149.6339826011137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149.6339826011137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69.21504449324874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146.95547268081216</v>
      </c>
      <c r="CZ182" s="59">
        <f t="shared" si="150"/>
        <v>343.21355872318065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3.2913546477611018</v>
      </c>
      <c r="DG182" s="21">
        <f>EXP(-LN(2)/25)*DG181+(1-EXP(-LN(2)/25))/(LN(2)/25)*Calculateur!DB182*Calculateur!DD182*VLOOKUP('Données projet'!$B$13,Paramètres!$A$1:$I$89,3,0)*0.475*44/12</f>
        <v>0.26017023257217181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3.5515248803332735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69.21504449324874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69.21504449324874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69.21504449324874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69.21504449324874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69.21504449324874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3.5999999999999996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13.199999999999998</v>
      </c>
      <c r="H183" s="67">
        <f t="shared" si="110"/>
        <v>203.86666666666667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69.228661716393276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366.78396742205962</v>
      </c>
      <c r="T183" s="59">
        <f t="shared" si="142"/>
        <v>271.89887525994988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22.980751490091748</v>
      </c>
      <c r="AA183" s="21">
        <f>EXP(-LN(2)/25)*AA182+(1-EXP(-LN(2)/25))/(LN(2)/25)*Calculateur!V183*Calculateur!X183*VLOOKUP('Données projet'!$B$9,Paramètres!$A$1:$I$89,3,0)*0.475*44/12</f>
        <v>5.1821808829554588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28.162932373047205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69.228661716393276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6.2527760746888816E-13</v>
      </c>
      <c r="AJ183" s="13">
        <f>AI183*VLOOKUP('Données projet'!$B$10,Paramètres!$A$1:$I$89,3,0)*VLOOKUP('Données projet'!$B$10,Paramètres!$A$1:$I$89,5,0)</f>
        <v>2.9262992029543964E-13</v>
      </c>
      <c r="AK183" s="13">
        <f t="shared" si="164"/>
        <v>3.8796387982050903E-12</v>
      </c>
      <c r="AL183" s="20">
        <f t="shared" si="165"/>
        <v>7.2667013513884219E-12</v>
      </c>
      <c r="AM183" s="59">
        <f t="shared" si="113"/>
        <v>290.50509296011597</v>
      </c>
      <c r="AN183" s="59">
        <f ca="1">AVERAGE(OFFSET($AM$3,0,0,'Données projet'!$E$10+1,1))-AVERAGE(OFFSET($H$3,0,0,'Données projet'!$E$10+1,1))</f>
        <v>360.04137410460385</v>
      </c>
      <c r="AO183" s="59">
        <f t="shared" si="144"/>
        <v>287.81656468701829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65.294672760493668</v>
      </c>
      <c r="AV183" s="21">
        <f>EXP(-LN(2)/25)*AV182+(1-EXP(-LN(2)/25))/(LN(2)/25)*Calculateur!AQ183*Calculateur!AS183*VLOOKUP('Données projet'!$B$10,Paramètres!$A$1:$I$89,3,0)*0.475*44/12</f>
        <v>16.663939543726123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81.958612304219798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69.228661716393276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155.76430449447392</v>
      </c>
      <c r="BJ183" s="59">
        <f t="shared" si="146"/>
        <v>363.39275685992129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3.4489872136091733</v>
      </c>
      <c r="BQ183" s="21">
        <f>EXP(-LN(2)/25)*BQ182+(1-EXP(-LN(2)/25))/(LN(2)/25)*Calculateur!BL183*Calculateur!BN183*VLOOKUP('Données projet'!$B$11,Paramètres!$A$1:$I$89,3,0)*0.475*44/12</f>
        <v>0.2704793823774338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3.7194665959866069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69.228661716393276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241.62</v>
      </c>
      <c r="BW183" s="12">
        <f>VLOOKUP(A183,'Données projet'!$A$113:$I$133,9,0)</f>
        <v>3.2566666666666606</v>
      </c>
      <c r="BX183" s="12">
        <f t="array" ref="BX183">INDEX(BW:BW,MIN(IF(ISNUMBER(BW183:BW379),ROW(BW183:BW379),"")))</f>
        <v>3.2566666666666606</v>
      </c>
      <c r="BY183" s="12">
        <f>IF('Données projet'!$A$114&gt;35,BY182+BX183-CG182,IF(A183&lt;'Données projet'!$A$114,$BV$205^A183,IF(A183='Données projet'!$A$114,'Données projet'!$B$114,BY182+BX183-CG182)))</f>
        <v>241.62000000000052</v>
      </c>
      <c r="BZ183" s="13">
        <f>BY183*VLOOKUP('Données projet'!$B$12,Paramètres!$A$1:$I$89,3,0)*VLOOKUP('Données projet'!$B$12,Paramètres!$A$1:$I$89,5,0)</f>
        <v>245.00268000000054</v>
      </c>
      <c r="CA183" s="13">
        <f t="shared" si="170"/>
        <v>59.514585697688133</v>
      </c>
      <c r="CB183" s="20">
        <f t="shared" si="171"/>
        <v>530.36757109014115</v>
      </c>
      <c r="CC183" s="59">
        <f t="shared" si="119"/>
        <v>820.8726640502498</v>
      </c>
      <c r="CD183" s="59">
        <f ca="1">AVERAGE(OFFSET($CC$3,0,0,'Données projet'!$E$12+1,1))-AVERAGE(OFFSET($H$3,0,0,'Données projet'!$E$12+1,1))</f>
        <v>679.4570479719705</v>
      </c>
      <c r="CE183" s="59">
        <f t="shared" si="148"/>
        <v>310.8252119379963</v>
      </c>
      <c r="CF183" s="15">
        <f>IF(ISNA(VLOOKUP(A183,'Données projet'!$A$113:$I$133,3,0)),0,VLOOKUP(A183,'Données projet'!$A$113:$I$133,3,0))</f>
        <v>17</v>
      </c>
      <c r="CG183" s="15">
        <f>IF(ISNA(VLOOKUP(A183,'Données projet'!$A$113:$I$133,4,0)),0,VLOOKUP(A183,'Données projet'!$A$113:$I$133,4,0))</f>
        <v>77.72</v>
      </c>
      <c r="CH183" s="16">
        <f>IF(ISNA(VLOOKUP(A183,'Données projet'!$A$113:$I$133,5,0)),0%,VLOOKUP(A183,'Données projet'!$A$113:$I$133,5,0)*VLOOKUP('Données projet'!$B$12,Paramètres!$A$1:$I$89,7,0))</f>
        <v>0.25800000000000001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169.17671098185198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169.17671098185198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69.228661716393276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146.95547268081216</v>
      </c>
      <c r="CZ183" s="59">
        <f t="shared" si="150"/>
        <v>343.21355872318065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3.2268131906466149</v>
      </c>
      <c r="DG183" s="21">
        <f>EXP(-LN(2)/25)*DG182+(1-EXP(-LN(2)/25))/(LN(2)/25)*Calculateur!DB183*Calculateur!DD183*VLOOKUP('Données projet'!$B$13,Paramètres!$A$1:$I$89,3,0)*0.475*44/12</f>
        <v>0.25305586388072787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3.4798690545273425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69.228661716393276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69.228661716393276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69.228661716393276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69.228661716393276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69.228661716393276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3.5999999999999996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13.199999999999998</v>
      </c>
      <c r="H184" s="67">
        <f t="shared" si="110"/>
        <v>203.86666666666667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69.242042711159797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366.78396742205962</v>
      </c>
      <c r="T184" s="59">
        <f t="shared" si="142"/>
        <v>271.89887525994988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22.530112970245408</v>
      </c>
      <c r="AA184" s="21">
        <f>EXP(-LN(2)/25)*AA183+(1-EXP(-LN(2)/25))/(LN(2)/25)*Calculateur!V184*Calculateur!X184*VLOOKUP('Données projet'!$B$9,Paramètres!$A$1:$I$89,3,0)*0.475*44/12</f>
        <v>5.040473874191993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27.5705868444374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69.242042711159797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6.2527760746888816E-13</v>
      </c>
      <c r="AJ184" s="13">
        <f>AI184*VLOOKUP('Données projet'!$B$10,Paramètres!$A$1:$I$89,3,0)*VLOOKUP('Données projet'!$B$10,Paramètres!$A$1:$I$89,5,0)</f>
        <v>2.9262992029543964E-13</v>
      </c>
      <c r="AK184" s="13">
        <f t="shared" si="164"/>
        <v>3.8796387982050903E-12</v>
      </c>
      <c r="AL184" s="20">
        <f t="shared" si="165"/>
        <v>7.2667013513884219E-12</v>
      </c>
      <c r="AM184" s="59">
        <f t="shared" si="113"/>
        <v>290.5541566075932</v>
      </c>
      <c r="AN184" s="59">
        <f ca="1">AVERAGE(OFFSET($AM$3,0,0,'Données projet'!$E$10+1,1))-AVERAGE(OFFSET($H$3,0,0,'Données projet'!$E$10+1,1))</f>
        <v>360.04137410460385</v>
      </c>
      <c r="AO184" s="59">
        <f t="shared" si="144"/>
        <v>287.81656468701829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64.014284053478292</v>
      </c>
      <c r="AV184" s="21">
        <f>EXP(-LN(2)/25)*AV183+(1-EXP(-LN(2)/25))/(LN(2)/25)*Calculateur!AQ184*Calculateur!AS184*VLOOKUP('Données projet'!$B$10,Paramètres!$A$1:$I$89,3,0)*0.475*44/12</f>
        <v>16.208263240584436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80.222547294062736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69.242042711159797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155.76430449447392</v>
      </c>
      <c r="BJ184" s="59">
        <f t="shared" si="146"/>
        <v>363.39275685992129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3.3813546780247772</v>
      </c>
      <c r="BQ184" s="21">
        <f>EXP(-LN(2)/25)*BQ183+(1-EXP(-LN(2)/25))/(LN(2)/25)*Calculateur!BL184*Calculateur!BN184*VLOOKUP('Données projet'!$B$11,Paramètres!$A$1:$I$89,3,0)*0.475*44/12</f>
        <v>0.26308310944243035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3.6444377874672074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69.242042711159797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1.9533333333333285</v>
      </c>
      <c r="BY184" s="12">
        <f>IF('Données projet'!$A$114&gt;35,BY183+BX184-CG183,IF(A184&lt;'Données projet'!$A$114,$BV$205^A184,IF(A184='Données projet'!$A$114,'Données projet'!$B$114,BY183+BX184-CG183)))</f>
        <v>165.85333333333384</v>
      </c>
      <c r="BZ184" s="13">
        <f>BY184*VLOOKUP('Données projet'!$B$12,Paramètres!$A$1:$I$89,3,0)*VLOOKUP('Données projet'!$B$12,Paramètres!$A$1:$I$89,5,0)</f>
        <v>168.17528000000053</v>
      </c>
      <c r="CA184" s="13">
        <f t="shared" si="170"/>
        <v>42.681090680670735</v>
      </c>
      <c r="CB184" s="20">
        <f t="shared" si="171"/>
        <v>367.24151226883578</v>
      </c>
      <c r="CC184" s="59">
        <f t="shared" si="119"/>
        <v>657.7956688764217</v>
      </c>
      <c r="CD184" s="59">
        <f ca="1">AVERAGE(OFFSET($CC$3,0,0,'Données projet'!$E$12+1,1))-AVERAGE(OFFSET($H$3,0,0,'Données projet'!$E$12+1,1))</f>
        <v>679.4570479719705</v>
      </c>
      <c r="CE184" s="59">
        <f t="shared" si="148"/>
        <v>310.8252119379963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165.85925886710262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165.85925886710262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69.242042711159797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146.95547268081216</v>
      </c>
      <c r="CZ184" s="59">
        <f t="shared" si="150"/>
        <v>343.21355872318065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3.1635373521397412</v>
      </c>
      <c r="DG184" s="21">
        <f>EXP(-LN(2)/25)*DG183+(1-EXP(-LN(2)/25))/(LN(2)/25)*Calculateur!DB184*Calculateur!DD184*VLOOKUP('Données projet'!$B$13,Paramètres!$A$1:$I$89,3,0)*0.475*44/12</f>
        <v>0.24613603797527986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3.4096733901150209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69.242042711159797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69.242042711159797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69.242042711159797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69.242042711159797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69.242042711159797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3.5999999999999996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13.199999999999998</v>
      </c>
      <c r="H185" s="67">
        <f t="shared" si="110"/>
        <v>203.86666666666667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69.255191575582529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366.78396742205962</v>
      </c>
      <c r="T185" s="59">
        <f t="shared" si="142"/>
        <v>271.89887525994988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22.088311196910897</v>
      </c>
      <c r="AA185" s="21">
        <f>EXP(-LN(2)/25)*AA184+(1-EXP(-LN(2)/25))/(LN(2)/25)*Calculateur!V185*Calculateur!X185*VLOOKUP('Données projet'!$B$9,Paramètres!$A$1:$I$89,3,0)*0.475*44/12</f>
        <v>4.9026418510352121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26.99095304794611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69.255191575582529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6.2527760746888816E-13</v>
      </c>
      <c r="AJ185" s="13">
        <f>AI185*VLOOKUP('Données projet'!$B$10,Paramètres!$A$1:$I$89,3,0)*VLOOKUP('Données projet'!$B$10,Paramètres!$A$1:$I$89,5,0)</f>
        <v>2.9262992029543964E-13</v>
      </c>
      <c r="AK185" s="13">
        <f t="shared" si="164"/>
        <v>3.8796387982050903E-12</v>
      </c>
      <c r="AL185" s="20">
        <f t="shared" si="165"/>
        <v>7.2667013513884219E-12</v>
      </c>
      <c r="AM185" s="59">
        <f t="shared" si="113"/>
        <v>290.60236911047656</v>
      </c>
      <c r="AN185" s="59">
        <f ca="1">AVERAGE(OFFSET($AM$3,0,0,'Données projet'!$E$10+1,1))-AVERAGE(OFFSET($H$3,0,0,'Données projet'!$E$10+1,1))</f>
        <v>360.04137410460385</v>
      </c>
      <c r="AO185" s="59">
        <f t="shared" si="144"/>
        <v>287.81656468701829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62.759002988047499</v>
      </c>
      <c r="AV185" s="21">
        <f>EXP(-LN(2)/25)*AV184+(1-EXP(-LN(2)/25))/(LN(2)/25)*Calculateur!AQ185*Calculateur!AS185*VLOOKUP('Données projet'!$B$10,Paramètres!$A$1:$I$89,3,0)*0.475*44/12</f>
        <v>15.765047429915136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78.524050417962627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69.255191575582529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155.76430449447392</v>
      </c>
      <c r="BJ185" s="59">
        <f t="shared" si="146"/>
        <v>363.39275685992129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3.3150483752114175</v>
      </c>
      <c r="BQ185" s="21">
        <f>EXP(-LN(2)/25)*BQ184+(1-EXP(-LN(2)/25))/(LN(2)/25)*Calculateur!BL185*Calculateur!BN185*VLOOKUP('Données projet'!$B$11,Paramètres!$A$1:$I$89,3,0)*0.475*44/12</f>
        <v>0.25588908797978765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3.5709374631912052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69.255191575582529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1.9533333333333285</v>
      </c>
      <c r="BY185" s="12">
        <f>IF('Données projet'!$A$114&gt;35,BY184+BX185-CG184,IF(A185&lt;'Données projet'!$A$114,$BV$205^A185,IF(A185='Données projet'!$A$114,'Données projet'!$B$114,BY184+BX185-CG184)))</f>
        <v>167.80666666666716</v>
      </c>
      <c r="BZ185" s="13">
        <f>BY185*VLOOKUP('Données projet'!$B$12,Paramètres!$A$1:$I$89,3,0)*VLOOKUP('Données projet'!$B$12,Paramètres!$A$1:$I$89,5,0)</f>
        <v>170.1559600000005</v>
      </c>
      <c r="CA185" s="13">
        <f t="shared" si="170"/>
        <v>43.124951572816009</v>
      </c>
      <c r="CB185" s="20">
        <f t="shared" si="171"/>
        <v>371.46425432265534</v>
      </c>
      <c r="CC185" s="59">
        <f t="shared" si="119"/>
        <v>662.06662343312462</v>
      </c>
      <c r="CD185" s="59">
        <f ca="1">AVERAGE(OFFSET($CC$3,0,0,'Données projet'!$E$12+1,1))-AVERAGE(OFFSET($H$3,0,0,'Données projet'!$E$12+1,1))</f>
        <v>679.4570479719705</v>
      </c>
      <c r="CE185" s="59">
        <f t="shared" si="148"/>
        <v>310.8252119379963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162.60685996487751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162.60685996487751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69.255191575582529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146.95547268081216</v>
      </c>
      <c r="CZ185" s="59">
        <f t="shared" si="150"/>
        <v>343.21355872318065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3.1015023142315368</v>
      </c>
      <c r="DG185" s="21">
        <f>EXP(-LN(2)/25)*DG184+(1-EXP(-LN(2)/25))/(LN(2)/25)*Calculateur!DB185*Calculateur!DD185*VLOOKUP('Données projet'!$B$13,Paramètres!$A$1:$I$89,3,0)*0.475*44/12</f>
        <v>0.23940543507311415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3.3409077493046508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69.255191575582529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69.255191575582529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69.255191575582529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69.255191575582529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69.255191575582529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3.5999999999999996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13.199999999999998</v>
      </c>
      <c r="H186" s="67">
        <f t="shared" si="110"/>
        <v>203.86666666666667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69.268112336603991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366.78396742205962</v>
      </c>
      <c r="T186" s="59">
        <f t="shared" si="142"/>
        <v>271.89887525994988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21.655172886879001</v>
      </c>
      <c r="AA186" s="21">
        <f>EXP(-LN(2)/25)*AA185+(1-EXP(-LN(2)/25))/(LN(2)/25)*Calculateur!V186*Calculateur!X186*VLOOKUP('Données projet'!$B$9,Paramètres!$A$1:$I$89,3,0)*0.475*44/12</f>
        <v>4.7685788517999246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26.423751738678924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69.268112336603991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6.2527760746888816E-13</v>
      </c>
      <c r="AJ186" s="13">
        <f>AI186*VLOOKUP('Données projet'!$B$10,Paramètres!$A$1:$I$89,3,0)*VLOOKUP('Données projet'!$B$10,Paramètres!$A$1:$I$89,5,0)</f>
        <v>2.9262992029543964E-13</v>
      </c>
      <c r="AK186" s="13">
        <f t="shared" si="164"/>
        <v>3.8796387982050903E-12</v>
      </c>
      <c r="AL186" s="20">
        <f t="shared" si="165"/>
        <v>7.2667013513884219E-12</v>
      </c>
      <c r="AM186" s="59">
        <f t="shared" si="113"/>
        <v>290.64974523422194</v>
      </c>
      <c r="AN186" s="59">
        <f ca="1">AVERAGE(OFFSET($AM$3,0,0,'Données projet'!$E$10+1,1))-AVERAGE(OFFSET($H$3,0,0,'Données projet'!$E$10+1,1))</f>
        <v>360.04137410460385</v>
      </c>
      <c r="AO186" s="59">
        <f t="shared" si="144"/>
        <v>287.81656468701829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61.52833721866395</v>
      </c>
      <c r="AV186" s="21">
        <f>EXP(-LN(2)/25)*AV185+(1-EXP(-LN(2)/25))/(LN(2)/25)*Calculateur!AQ186*Calculateur!AS186*VLOOKUP('Données projet'!$B$10,Paramètres!$A$1:$I$89,3,0)*0.475*44/12</f>
        <v>15.333951378896293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76.862288597560237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69.268112336603991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155.76430449447392</v>
      </c>
      <c r="BJ186" s="59">
        <f t="shared" si="146"/>
        <v>363.39275685992129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3.2500422985533763</v>
      </c>
      <c r="BQ186" s="21">
        <f>EXP(-LN(2)/25)*BQ185+(1-EXP(-LN(2)/25))/(LN(2)/25)*Calculateur!BL186*Calculateur!BN186*VLOOKUP('Données projet'!$B$11,Paramètres!$A$1:$I$89,3,0)*0.475*44/12</f>
        <v>0.24889178741235807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3.4989340859657343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69.268112336603991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>
        <f>VLOOKUP(A186,'Données projet'!$A$113:$I$133,2,0)</f>
        <v>169.76</v>
      </c>
      <c r="BW186" s="12">
        <f>VLOOKUP(A186,'Données projet'!$A$113:$I$133,9,0)</f>
        <v>1.9533333333333285</v>
      </c>
      <c r="BX186" s="12">
        <f t="array" ref="BX186">INDEX(BW:BW,MIN(IF(ISNUMBER(BW186:BW382),ROW(BW186:BW382),"")))</f>
        <v>1.9533333333333285</v>
      </c>
      <c r="BY186" s="12">
        <f>IF('Données projet'!$A$114&gt;35,BY185+BX186-CG185,IF(A186&lt;'Données projet'!$A$114,$BV$205^A186,IF(A186='Données projet'!$A$114,'Données projet'!$B$114,BY185+BX186-CG185)))</f>
        <v>169.76000000000047</v>
      </c>
      <c r="BZ186" s="13">
        <f>BY186*VLOOKUP('Données projet'!$B$12,Paramètres!$A$1:$I$89,3,0)*VLOOKUP('Données projet'!$B$12,Paramètres!$A$1:$I$89,5,0)</f>
        <v>172.13664000000048</v>
      </c>
      <c r="CA186" s="13">
        <f t="shared" si="170"/>
        <v>43.568211452887901</v>
      </c>
      <c r="CB186" s="20">
        <f t="shared" si="171"/>
        <v>375.68594961378062</v>
      </c>
      <c r="CC186" s="59">
        <f t="shared" si="119"/>
        <v>666.33569484799523</v>
      </c>
      <c r="CD186" s="59">
        <f ca="1">AVERAGE(OFFSET($CC$3,0,0,'Données projet'!$E$12+1,1))-AVERAGE(OFFSET($H$3,0,0,'Données projet'!$E$12+1,1))</f>
        <v>679.4570479719705</v>
      </c>
      <c r="CE186" s="59">
        <f t="shared" si="148"/>
        <v>310.8252119379963</v>
      </c>
      <c r="CF186" s="15">
        <f>IF(ISNA(VLOOKUP(A186,'Données projet'!$A$113:$I$133,3,0)),0,VLOOKUP(A186,'Données projet'!$A$113:$I$133,3,0))</f>
        <v>18</v>
      </c>
      <c r="CG186" s="15">
        <f>IF(ISNA(VLOOKUP(A186,'Données projet'!$A$113:$I$133,4,0)),0,VLOOKUP(A186,'Données projet'!$A$113:$I$133,4,0))</f>
        <v>169.76</v>
      </c>
      <c r="CH186" s="16">
        <f>IF(ISNA(VLOOKUP(A186,'Données projet'!$A$113:$I$133,5,0)),0%,VLOOKUP(A186,'Données projet'!$A$113:$I$133,5,0)*VLOOKUP('Données projet'!$B$12,Paramètres!$A$1:$I$89,7,0))</f>
        <v>0.25800000000000001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208.51356346345793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208.51356346345793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69.268112336603991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146.95547268081216</v>
      </c>
      <c r="CZ186" s="59">
        <f t="shared" si="150"/>
        <v>343.21355872318065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3.0406837455790754</v>
      </c>
      <c r="DG186" s="21">
        <f>EXP(-LN(2)/25)*DG185+(1-EXP(-LN(2)/25))/(LN(2)/25)*Calculateur!DB186*Calculateur!DD186*VLOOKUP('Données projet'!$B$13,Paramètres!$A$1:$I$89,3,0)*0.475*44/12</f>
        <v>0.2328588808612552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3.2735426264403307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69.268112336603991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69.268112336603991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69.268112336603991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69.268112336603991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69.268112336603991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3.5999999999999996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13.199999999999998</v>
      </c>
      <c r="H187" s="67">
        <f t="shared" si="110"/>
        <v>203.86666666666667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69.280808951308231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366.78396742205962</v>
      </c>
      <c r="T187" s="59">
        <f t="shared" si="142"/>
        <v>271.89887525994988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21.230528154918549</v>
      </c>
      <c r="AA187" s="21">
        <f>EXP(-LN(2)/25)*AA186+(1-EXP(-LN(2)/25))/(LN(2)/25)*Calculateur!V187*Calculateur!X187*VLOOKUP('Données projet'!$B$9,Paramètres!$A$1:$I$89,3,0)*0.475*44/12</f>
        <v>4.6381818123287921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25.868709967247341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69.280808951308231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6.2527760746888816E-13</v>
      </c>
      <c r="AJ187" s="13">
        <f>AI187*VLOOKUP('Données projet'!$B$10,Paramètres!$A$1:$I$89,3,0)*VLOOKUP('Données projet'!$B$10,Paramètres!$A$1:$I$89,5,0)</f>
        <v>2.9262992029543964E-13</v>
      </c>
      <c r="AK187" s="13">
        <f t="shared" si="164"/>
        <v>3.8796387982050903E-12</v>
      </c>
      <c r="AL187" s="20">
        <f t="shared" si="165"/>
        <v>7.2667013513884219E-12</v>
      </c>
      <c r="AM187" s="59">
        <f t="shared" si="113"/>
        <v>290.69629948813747</v>
      </c>
      <c r="AN187" s="59">
        <f ca="1">AVERAGE(OFFSET($AM$3,0,0,'Données projet'!$E$10+1,1))-AVERAGE(OFFSET($H$3,0,0,'Données projet'!$E$10+1,1))</f>
        <v>360.04137410460385</v>
      </c>
      <c r="AO187" s="59">
        <f t="shared" si="144"/>
        <v>287.81656468701829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60.321804054386014</v>
      </c>
      <c r="AV187" s="21">
        <f>EXP(-LN(2)/25)*AV186+(1-EXP(-LN(2)/25))/(LN(2)/25)*Calculateur!AQ187*Calculateur!AS187*VLOOKUP('Données projet'!$B$10,Paramètres!$A$1:$I$89,3,0)*0.475*44/12</f>
        <v>14.914643672062917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75.23644772644893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69.280808951308231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155.76430449447392</v>
      </c>
      <c r="BJ187" s="59">
        <f t="shared" si="146"/>
        <v>363.39275685992129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3.1863109514088079</v>
      </c>
      <c r="BQ187" s="21">
        <f>EXP(-LN(2)/25)*BQ186+(1-EXP(-LN(2)/25))/(LN(2)/25)*Calculateur!BL187*Calculateur!BN187*VLOOKUP('Données projet'!$B$11,Paramètres!$A$1:$I$89,3,0)*0.475*44/12</f>
        <v>0.24208582839691689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3.4283967798057247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69.280808951308231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4.8316906031686813E-13</v>
      </c>
      <c r="BZ187" s="13">
        <f>BY187*VLOOKUP('Données projet'!$B$12,Paramètres!$A$1:$I$89,3,0)*VLOOKUP('Données projet'!$B$12,Paramètres!$A$1:$I$89,5,0)</f>
        <v>4.8993342716130437E-13</v>
      </c>
      <c r="CA187" s="13">
        <f t="shared" si="170"/>
        <v>6.1172634040517391E-12</v>
      </c>
      <c r="CB187" s="20">
        <f t="shared" si="171"/>
        <v>1.1507534481029384E-11</v>
      </c>
      <c r="CC187" s="59">
        <f t="shared" si="119"/>
        <v>290.69629948814168</v>
      </c>
      <c r="CD187" s="59">
        <f ca="1">AVERAGE(OFFSET($CC$3,0,0,'Données projet'!$E$12+1,1))-AVERAGE(OFFSET($H$3,0,0,'Données projet'!$E$12+1,1))</f>
        <v>679.4570479719705</v>
      </c>
      <c r="CE187" s="59">
        <f t="shared" si="148"/>
        <v>310.8252119379963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204.42473966465516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204.42473966465516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69.280808951308231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146.95547268081216</v>
      </c>
      <c r="CZ187" s="59">
        <f t="shared" si="150"/>
        <v>343.21355872318065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2.9810577919622245</v>
      </c>
      <c r="DG187" s="21">
        <f>EXP(-LN(2)/25)*DG186+(1-EXP(-LN(2)/25))/(LN(2)/25)*Calculateur!DB187*Calculateur!DD187*VLOOKUP('Données projet'!$B$13,Paramètres!$A$1:$I$89,3,0)*0.475*44/12</f>
        <v>0.22649134251858782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3.2075491344808125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69.280808951308231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69.280808951308231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69.280808951308231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69.280808951308231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69.280808951308231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3.5999999999999996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13.199999999999998</v>
      </c>
      <c r="H188" s="67">
        <f t="shared" si="110"/>
        <v>203.86666666666667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69.293285308132738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366.78396742205962</v>
      </c>
      <c r="T188" s="59">
        <f t="shared" si="142"/>
        <v>271.89887525994988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20.814210447144131</v>
      </c>
      <c r="AA188" s="21">
        <f>EXP(-LN(2)/25)*AA187+(1-EXP(-LN(2)/25))/(LN(2)/25)*Calculateur!V188*Calculateur!X188*VLOOKUP('Données projet'!$B$9,Paramètres!$A$1:$I$89,3,0)*0.475*44/12</f>
        <v>4.5113504867592802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25.325560933903411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69.293285308132738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6.2527760746888816E-13</v>
      </c>
      <c r="AJ188" s="13">
        <f>AI188*VLOOKUP('Données projet'!$B$10,Paramètres!$A$1:$I$89,3,0)*VLOOKUP('Données projet'!$B$10,Paramètres!$A$1:$I$89,5,0)</f>
        <v>2.9262992029543964E-13</v>
      </c>
      <c r="AK188" s="13">
        <f t="shared" si="164"/>
        <v>3.8796387982050903E-12</v>
      </c>
      <c r="AL188" s="20">
        <f t="shared" si="165"/>
        <v>7.2667013513884219E-12</v>
      </c>
      <c r="AM188" s="59">
        <f t="shared" si="113"/>
        <v>290.74204612982732</v>
      </c>
      <c r="AN188" s="59">
        <f ca="1">AVERAGE(OFFSET($AM$3,0,0,'Données projet'!$E$10+1,1))-AVERAGE(OFFSET($H$3,0,0,'Données projet'!$E$10+1,1))</f>
        <v>360.04137410460385</v>
      </c>
      <c r="AO188" s="59">
        <f t="shared" si="144"/>
        <v>287.81656468701829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59.138930269547004</v>
      </c>
      <c r="AV188" s="21">
        <f>EXP(-LN(2)/25)*AV187+(1-EXP(-LN(2)/25))/(LN(2)/25)*Calculateur!AQ188*Calculateur!AS188*VLOOKUP('Données projet'!$B$10,Paramètres!$A$1:$I$89,3,0)*0.475*44/12</f>
        <v>14.506801956523335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73.645732226070336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69.293285308132738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155.76430449447392</v>
      </c>
      <c r="BJ188" s="59">
        <f t="shared" si="146"/>
        <v>363.39275685992129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3.123829337109461</v>
      </c>
      <c r="BQ188" s="21">
        <f>EXP(-LN(2)/25)*BQ187+(1-EXP(-LN(2)/25))/(LN(2)/25)*Calculateur!BL188*Calculateur!BN188*VLOOKUP('Données projet'!$B$11,Paramètres!$A$1:$I$89,3,0)*0.475*44/12</f>
        <v>0.23546597868866279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3.3592953157981236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69.293285308132738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4.8316906031686813E-13</v>
      </c>
      <c r="BZ188" s="13">
        <f>BY188*VLOOKUP('Données projet'!$B$12,Paramètres!$A$1:$I$89,3,0)*VLOOKUP('Données projet'!$B$12,Paramètres!$A$1:$I$89,5,0)</f>
        <v>4.8993342716130437E-13</v>
      </c>
      <c r="CA188" s="13">
        <f t="shared" si="170"/>
        <v>6.1172634040517391E-12</v>
      </c>
      <c r="CB188" s="20">
        <f t="shared" si="171"/>
        <v>1.1507534481029384E-11</v>
      </c>
      <c r="CC188" s="59">
        <f t="shared" si="119"/>
        <v>290.74204612983152</v>
      </c>
      <c r="CD188" s="59">
        <f ca="1">AVERAGE(OFFSET($CC$3,0,0,'Données projet'!$E$12+1,1))-AVERAGE(OFFSET($H$3,0,0,'Données projet'!$E$12+1,1))</f>
        <v>679.4570479719705</v>
      </c>
      <c r="CE188" s="59">
        <f t="shared" si="148"/>
        <v>310.8252119379963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200.41609520661066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200.41609520661066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69.293285308132738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146.95547268081216</v>
      </c>
      <c r="CZ188" s="59">
        <f t="shared" si="150"/>
        <v>343.21355872318065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2.9226010669275597</v>
      </c>
      <c r="DG188" s="21">
        <f>EXP(-LN(2)/25)*DG187+(1-EXP(-LN(2)/25))/(LN(2)/25)*Calculateur!DB188*Calculateur!DD188*VLOOKUP('Données projet'!$B$13,Paramètres!$A$1:$I$89,3,0)*0.475*44/12</f>
        <v>0.22029792484675498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3.1428989917743149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69.293285308132738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69.293285308132738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69.293285308132738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69.293285308132738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69.293285308132738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3.5999999999999996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13.199999999999998</v>
      </c>
      <c r="H189" s="67">
        <f t="shared" si="110"/>
        <v>203.86666666666667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69.305545228059273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366.78396742205962</v>
      </c>
      <c r="T189" s="59">
        <f t="shared" si="142"/>
        <v>271.89887525994988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20.406056475690438</v>
      </c>
      <c r="AA189" s="21">
        <f>EXP(-LN(2)/25)*AA188+(1-EXP(-LN(2)/25))/(LN(2)/25)*Calculateur!V189*Calculateur!X189*VLOOKUP('Données projet'!$B$9,Paramètres!$A$1:$I$89,3,0)*0.475*44/12</f>
        <v>4.3879873704572363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24.794043846147673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69.305545228059273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6.2527760746888816E-13</v>
      </c>
      <c r="AJ189" s="13">
        <f>AI189*VLOOKUP('Données projet'!$B$10,Paramètres!$A$1:$I$89,3,0)*VLOOKUP('Données projet'!$B$10,Paramètres!$A$1:$I$89,5,0)</f>
        <v>2.9262992029543964E-13</v>
      </c>
      <c r="AK189" s="13">
        <f t="shared" si="164"/>
        <v>3.8796387982050903E-12</v>
      </c>
      <c r="AL189" s="20">
        <f t="shared" si="165"/>
        <v>7.2667013513884219E-12</v>
      </c>
      <c r="AM189" s="59">
        <f t="shared" si="113"/>
        <v>290.78699916955793</v>
      </c>
      <c r="AN189" s="59">
        <f ca="1">AVERAGE(OFFSET($AM$3,0,0,'Données projet'!$E$10+1,1))-AVERAGE(OFFSET($H$3,0,0,'Données projet'!$E$10+1,1))</f>
        <v>360.04137410460385</v>
      </c>
      <c r="AO189" s="59">
        <f t="shared" si="144"/>
        <v>287.81656468701829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57.979251918146915</v>
      </c>
      <c r="AV189" s="21">
        <f>EXP(-LN(2)/25)*AV188+(1-EXP(-LN(2)/25))/(LN(2)/25)*Calculateur!AQ189*Calculateur!AS189*VLOOKUP('Données projet'!$B$10,Paramètres!$A$1:$I$89,3,0)*0.475*44/12</f>
        <v>14.110112694142645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72.089364612289557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69.305545228059273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155.76430449447392</v>
      </c>
      <c r="BJ189" s="59">
        <f t="shared" si="146"/>
        <v>363.39275685992129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3.0625729491565026</v>
      </c>
      <c r="BQ189" s="21">
        <f>EXP(-LN(2)/25)*BQ188+(1-EXP(-LN(2)/25))/(LN(2)/25)*Calculateur!BL189*Calculateur!BN189*VLOOKUP('Données projet'!$B$11,Paramètres!$A$1:$I$89,3,0)*0.475*44/12</f>
        <v>0.22902714911880365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3.2916000982753064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69.305545228059273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4.8316906031686813E-13</v>
      </c>
      <c r="BZ189" s="13">
        <f>BY189*VLOOKUP('Données projet'!$B$12,Paramètres!$A$1:$I$89,3,0)*VLOOKUP('Données projet'!$B$12,Paramètres!$A$1:$I$89,5,0)</f>
        <v>4.8993342716130437E-13</v>
      </c>
      <c r="CA189" s="13">
        <f t="shared" si="170"/>
        <v>6.1172634040517391E-12</v>
      </c>
      <c r="CB189" s="20">
        <f t="shared" si="171"/>
        <v>1.1507534481029384E-11</v>
      </c>
      <c r="CC189" s="59">
        <f t="shared" si="119"/>
        <v>290.78699916956214</v>
      </c>
      <c r="CD189" s="59">
        <f ca="1">AVERAGE(OFFSET($CC$3,0,0,'Données projet'!$E$12+1,1))-AVERAGE(OFFSET($H$3,0,0,'Données projet'!$E$12+1,1))</f>
        <v>679.4570479719705</v>
      </c>
      <c r="CE189" s="59">
        <f t="shared" si="148"/>
        <v>310.8252119379963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196.48605782135672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196.48605782135672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69.305545228059273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146.95547268081216</v>
      </c>
      <c r="CZ189" s="59">
        <f t="shared" si="150"/>
        <v>343.21355872318065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2.8652906426157427</v>
      </c>
      <c r="DG189" s="21">
        <f>EXP(-LN(2)/25)*DG188+(1-EXP(-LN(2)/25))/(LN(2)/25)*Calculateur!DB189*Calculateur!DD189*VLOOKUP('Données projet'!$B$13,Paramètres!$A$1:$I$89,3,0)*0.475*44/12</f>
        <v>0.21427386650685609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3.0795645091225987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69.305545228059273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69.305545228059273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69.305545228059273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69.305545228059273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69.305545228059273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3.5999999999999996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13.199999999999998</v>
      </c>
      <c r="H190" s="67">
        <f t="shared" si="110"/>
        <v>203.86666666666667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69.317592465784173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366.78396742205962</v>
      </c>
      <c r="T190" s="59">
        <f t="shared" si="142"/>
        <v>271.89887525994988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20.005906154667613</v>
      </c>
      <c r="AA190" s="21">
        <f>EXP(-LN(2)/25)*AA189+(1-EXP(-LN(2)/25))/(LN(2)/25)*Calculateur!V190*Calculateur!X190*VLOOKUP('Données projet'!$B$9,Paramètres!$A$1:$I$89,3,0)*0.475*44/12</f>
        <v>4.2679976250578564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24.273903779725469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69.317592465784173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6.2527760746888816E-13</v>
      </c>
      <c r="AJ190" s="13">
        <f>AI190*VLOOKUP('Données projet'!$B$10,Paramètres!$A$1:$I$89,3,0)*VLOOKUP('Données projet'!$B$10,Paramètres!$A$1:$I$89,5,0)</f>
        <v>2.9262992029543964E-13</v>
      </c>
      <c r="AK190" s="13">
        <f t="shared" si="164"/>
        <v>3.8796387982050903E-12</v>
      </c>
      <c r="AL190" s="20">
        <f t="shared" si="165"/>
        <v>7.2667013513884219E-12</v>
      </c>
      <c r="AM190" s="59">
        <f t="shared" si="113"/>
        <v>290.83117237454923</v>
      </c>
      <c r="AN190" s="59">
        <f ca="1">AVERAGE(OFFSET($AM$3,0,0,'Données projet'!$E$10+1,1))-AVERAGE(OFFSET($H$3,0,0,'Données projet'!$E$10+1,1))</f>
        <v>360.04137410460385</v>
      </c>
      <c r="AO190" s="59">
        <f t="shared" si="144"/>
        <v>287.81656468701829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56.842314151883834</v>
      </c>
      <c r="AV190" s="21">
        <f>EXP(-LN(2)/25)*AV189+(1-EXP(-LN(2)/25))/(LN(2)/25)*Calculateur!AQ190*Calculateur!AS190*VLOOKUP('Données projet'!$B$10,Paramètres!$A$1:$I$89,3,0)*0.475*44/12</f>
        <v>13.724270920502736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70.566585072386573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69.317592465784173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155.76430449447392</v>
      </c>
      <c r="BJ190" s="59">
        <f t="shared" si="146"/>
        <v>363.39275685992129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3.0025177616085945</v>
      </c>
      <c r="BQ190" s="21">
        <f>EXP(-LN(2)/25)*BQ189+(1-EXP(-LN(2)/25))/(LN(2)/25)*Calculateur!BL190*Calculateur!BN190*VLOOKUP('Données projet'!$B$11,Paramètres!$A$1:$I$89,3,0)*0.475*44/12</f>
        <v>0.22276438968213563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3.2252821512907301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69.317592465784173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4.8316906031686813E-13</v>
      </c>
      <c r="BZ190" s="13">
        <f>BY190*VLOOKUP('Données projet'!$B$12,Paramètres!$A$1:$I$89,3,0)*VLOOKUP('Données projet'!$B$12,Paramètres!$A$1:$I$89,5,0)</f>
        <v>4.8993342716130437E-13</v>
      </c>
      <c r="CA190" s="13">
        <f t="shared" si="170"/>
        <v>6.1172634040517391E-12</v>
      </c>
      <c r="CB190" s="20">
        <f t="shared" si="171"/>
        <v>1.1507534481029384E-11</v>
      </c>
      <c r="CC190" s="59">
        <f t="shared" si="119"/>
        <v>290.83117237455343</v>
      </c>
      <c r="CD190" s="59">
        <f ca="1">AVERAGE(OFFSET($CC$3,0,0,'Données projet'!$E$12+1,1))-AVERAGE(OFFSET($H$3,0,0,'Données projet'!$E$12+1,1))</f>
        <v>679.4570479719705</v>
      </c>
      <c r="CE190" s="59">
        <f t="shared" si="148"/>
        <v>310.8252119379963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192.63308607214151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192.63308607214151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69.317592465784173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146.95547268081216</v>
      </c>
      <c r="CZ190" s="59">
        <f t="shared" si="150"/>
        <v>343.21355872318065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2.8091040407687733</v>
      </c>
      <c r="DG190" s="21">
        <f>EXP(-LN(2)/25)*DG189+(1-EXP(-LN(2)/25))/(LN(2)/25)*Calculateur!DB190*Calculateur!DD190*VLOOKUP('Données projet'!$B$13,Paramètres!$A$1:$I$89,3,0)*0.475*44/12</f>
        <v>0.20841453635905322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3.0175185771278263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69.317592465784173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69.317592465784173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69.317592465784173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69.317592465784173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69.317592465784173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3.5999999999999996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13.199999999999998</v>
      </c>
      <c r="H191" s="67">
        <f t="shared" si="110"/>
        <v>203.86666666666667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69.32943071086811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366.78396742205962</v>
      </c>
      <c r="T191" s="59">
        <f t="shared" si="142"/>
        <v>271.89887525994988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19.613602537372451</v>
      </c>
      <c r="AA191" s="21">
        <f>EXP(-LN(2)/25)*AA190+(1-EXP(-LN(2)/25))/(LN(2)/25)*Calculateur!V191*Calculateur!X191*VLOOKUP('Données projet'!$B$9,Paramètres!$A$1:$I$89,3,0)*0.475*44/12</f>
        <v>4.1512890055564089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23.764891542928858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69.32943071086811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6.2527760746888816E-13</v>
      </c>
      <c r="AJ191" s="13">
        <f>AI191*VLOOKUP('Données projet'!$B$10,Paramètres!$A$1:$I$89,3,0)*VLOOKUP('Données projet'!$B$10,Paramètres!$A$1:$I$89,5,0)</f>
        <v>2.9262992029543964E-13</v>
      </c>
      <c r="AK191" s="13">
        <f t="shared" si="164"/>
        <v>3.8796387982050903E-12</v>
      </c>
      <c r="AL191" s="20">
        <f t="shared" si="165"/>
        <v>7.2667013513884219E-12</v>
      </c>
      <c r="AM191" s="59">
        <f t="shared" si="113"/>
        <v>290.87457927319036</v>
      </c>
      <c r="AN191" s="59">
        <f ca="1">AVERAGE(OFFSET($AM$3,0,0,'Données projet'!$E$10+1,1))-AVERAGE(OFFSET($H$3,0,0,'Données projet'!$E$10+1,1))</f>
        <v>360.04137410460385</v>
      </c>
      <c r="AO191" s="59">
        <f t="shared" si="144"/>
        <v>287.81656468701829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55.727671041753609</v>
      </c>
      <c r="AV191" s="21">
        <f>EXP(-LN(2)/25)*AV190+(1-EXP(-LN(2)/25))/(LN(2)/25)*Calculateur!AQ191*Calculateur!AS191*VLOOKUP('Données projet'!$B$10,Paramètres!$A$1:$I$89,3,0)*0.475*44/12</f>
        <v>13.348980010453548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69.076651052207154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69.32943071086811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155.76430449447392</v>
      </c>
      <c r="BJ191" s="59">
        <f t="shared" si="146"/>
        <v>363.39275685992129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2.9436402196584535</v>
      </c>
      <c r="BQ191" s="21">
        <f>EXP(-LN(2)/25)*BQ190+(1-EXP(-LN(2)/25))/(LN(2)/25)*Calculateur!BL191*Calculateur!BN191*VLOOKUP('Données projet'!$B$11,Paramètres!$A$1:$I$89,3,0)*0.475*44/12</f>
        <v>0.21667288573160751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3.1603131053900611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69.32943071086811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4.8316906031686813E-13</v>
      </c>
      <c r="BZ191" s="13">
        <f>BY191*VLOOKUP('Données projet'!$B$12,Paramètres!$A$1:$I$89,3,0)*VLOOKUP('Données projet'!$B$12,Paramètres!$A$1:$I$89,5,0)</f>
        <v>4.8993342716130437E-13</v>
      </c>
      <c r="CA191" s="13">
        <f t="shared" si="170"/>
        <v>6.1172634040517391E-12</v>
      </c>
      <c r="CB191" s="20">
        <f t="shared" si="171"/>
        <v>1.1507534481029384E-11</v>
      </c>
      <c r="CC191" s="59">
        <f t="shared" si="119"/>
        <v>290.87457927319457</v>
      </c>
      <c r="CD191" s="59">
        <f ca="1">AVERAGE(OFFSET($CC$3,0,0,'Données projet'!$E$12+1,1))-AVERAGE(OFFSET($H$3,0,0,'Données projet'!$E$12+1,1))</f>
        <v>679.4570479719705</v>
      </c>
      <c r="CE191" s="59">
        <f t="shared" si="148"/>
        <v>310.8252119379963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188.85566874884771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188.85566874884771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69.32943071086811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146.95547268081216</v>
      </c>
      <c r="CZ191" s="59">
        <f t="shared" si="150"/>
        <v>343.21355872318065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2.7540192239135797</v>
      </c>
      <c r="DG191" s="21">
        <f>EXP(-LN(2)/25)*DG190+(1-EXP(-LN(2)/25))/(LN(2)/25)*Calculateur!DB191*Calculateur!DD191*VLOOKUP('Données projet'!$B$13,Paramètres!$A$1:$I$89,3,0)*0.475*44/12</f>
        <v>0.20271542990227079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2.9567346538158503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69.32943071086811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69.32943071086811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69.32943071086811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69.32943071086811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69.32943071086811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3.5999999999999996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13.199999999999998</v>
      </c>
      <c r="H192" s="67">
        <f t="shared" si="110"/>
        <v>203.86666666666667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69.341063588866206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366.78396742205962</v>
      </c>
      <c r="T192" s="59">
        <f t="shared" si="142"/>
        <v>271.89887525994988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19.228991754730867</v>
      </c>
      <c r="AA192" s="21">
        <f>EXP(-LN(2)/25)*AA191+(1-EXP(-LN(2)/25))/(LN(2)/25)*Calculateur!V192*Calculateur!X192*VLOOKUP('Données projet'!$B$9,Paramètres!$A$1:$I$89,3,0)*0.475*44/12</f>
        <v>4.0377717893926679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23.266763544123535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69.341063588866206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6.2527760746888816E-13</v>
      </c>
      <c r="AJ192" s="13">
        <f>AI192*VLOOKUP('Données projet'!$B$10,Paramètres!$A$1:$I$89,3,0)*VLOOKUP('Données projet'!$B$10,Paramètres!$A$1:$I$89,5,0)</f>
        <v>2.9262992029543964E-13</v>
      </c>
      <c r="AK192" s="13">
        <f t="shared" si="164"/>
        <v>3.8796387982050903E-12</v>
      </c>
      <c r="AL192" s="20">
        <f t="shared" si="165"/>
        <v>7.2667013513884219E-12</v>
      </c>
      <c r="AM192" s="59">
        <f t="shared" si="113"/>
        <v>290.91723315918335</v>
      </c>
      <c r="AN192" s="59">
        <f ca="1">AVERAGE(OFFSET($AM$3,0,0,'Données projet'!$E$10+1,1))-AVERAGE(OFFSET($H$3,0,0,'Données projet'!$E$10+1,1))</f>
        <v>360.04137410460385</v>
      </c>
      <c r="AO192" s="59">
        <f t="shared" si="144"/>
        <v>287.81656468701829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54.634885403147869</v>
      </c>
      <c r="AV192" s="21">
        <f>EXP(-LN(2)/25)*AV191+(1-EXP(-LN(2)/25))/(LN(2)/25)*Calculateur!AQ192*Calculateur!AS192*VLOOKUP('Données projet'!$B$10,Paramètres!$A$1:$I$89,3,0)*0.475*44/12</f>
        <v>12.983951450075347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67.618836853223215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69.341063588866206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155.76430449447392</v>
      </c>
      <c r="BJ192" s="59">
        <f t="shared" si="146"/>
        <v>363.39275685992129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2.8859172303941998</v>
      </c>
      <c r="BQ192" s="21">
        <f>EXP(-LN(2)/25)*BQ191+(1-EXP(-LN(2)/25))/(LN(2)/25)*Calculateur!BL192*Calculateur!BN192*VLOOKUP('Données projet'!$B$11,Paramètres!$A$1:$I$89,3,0)*0.475*44/12</f>
        <v>0.21074795427694484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3.0966651846711448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69.341063588866206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4.8316906031686813E-13</v>
      </c>
      <c r="BZ192" s="13">
        <f>BY192*VLOOKUP('Données projet'!$B$12,Paramètres!$A$1:$I$89,3,0)*VLOOKUP('Données projet'!$B$12,Paramètres!$A$1:$I$89,5,0)</f>
        <v>4.8993342716130437E-13</v>
      </c>
      <c r="CA192" s="13">
        <f t="shared" si="170"/>
        <v>6.1172634040517391E-12</v>
      </c>
      <c r="CB192" s="20">
        <f t="shared" si="171"/>
        <v>1.1507534481029384E-11</v>
      </c>
      <c r="CC192" s="59">
        <f t="shared" si="119"/>
        <v>290.91723315918756</v>
      </c>
      <c r="CD192" s="59">
        <f ca="1">AVERAGE(OFFSET($CC$3,0,0,'Données projet'!$E$12+1,1))-AVERAGE(OFFSET($H$3,0,0,'Données projet'!$E$12+1,1))</f>
        <v>679.4570479719705</v>
      </c>
      <c r="CE192" s="59">
        <f t="shared" si="148"/>
        <v>310.8252119379963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185.15232427526661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185.15232427526661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69.341063588866206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146.95547268081216</v>
      </c>
      <c r="CZ192" s="59">
        <f t="shared" si="150"/>
        <v>343.21355872318065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2.7000145867184959</v>
      </c>
      <c r="DG192" s="21">
        <f>EXP(-LN(2)/25)*DG191+(1-EXP(-LN(2)/25))/(LN(2)/25)*Calculateur!DB192*Calculateur!DD192*VLOOKUP('Données projet'!$B$13,Paramètres!$A$1:$I$89,3,0)*0.475*44/12</f>
        <v>0.19717216581125205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2.8971867525297479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69.341063588866206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69.341063588866206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69.341063588866206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69.341063588866206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69.341063588866206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3.5999999999999996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13.199999999999998</v>
      </c>
      <c r="H193" s="67">
        <f t="shared" si="110"/>
        <v>203.86666666666667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69.352494662438261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366.78396742205962</v>
      </c>
      <c r="T193" s="59">
        <f t="shared" si="142"/>
        <v>271.89887525994988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18.851922954947469</v>
      </c>
      <c r="AA193" s="21">
        <f>EXP(-LN(2)/25)*AA192+(1-EXP(-LN(2)/25))/(LN(2)/25)*Calculateur!V193*Calculateur!X193*VLOOKUP('Données projet'!$B$9,Paramètres!$A$1:$I$89,3,0)*0.475*44/12</f>
        <v>3.9273587074745353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22.779281662422004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69.352494662438261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6.2527760746888816E-13</v>
      </c>
      <c r="AJ193" s="13">
        <f>AI193*VLOOKUP('Données projet'!$B$10,Paramètres!$A$1:$I$89,3,0)*VLOOKUP('Données projet'!$B$10,Paramètres!$A$1:$I$89,5,0)</f>
        <v>2.9262992029543964E-13</v>
      </c>
      <c r="AK193" s="13">
        <f t="shared" si="164"/>
        <v>3.8796387982050903E-12</v>
      </c>
      <c r="AL193" s="20">
        <f t="shared" si="165"/>
        <v>7.2667013513884219E-12</v>
      </c>
      <c r="AM193" s="59">
        <f t="shared" si="113"/>
        <v>290.95914709561424</v>
      </c>
      <c r="AN193" s="59">
        <f ca="1">AVERAGE(OFFSET($AM$3,0,0,'Données projet'!$E$10+1,1))-AVERAGE(OFFSET($H$3,0,0,'Données projet'!$E$10+1,1))</f>
        <v>360.04137410460385</v>
      </c>
      <c r="AO193" s="59">
        <f t="shared" si="144"/>
        <v>287.81656468701829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53.563528624381767</v>
      </c>
      <c r="AV193" s="21">
        <f>EXP(-LN(2)/25)*AV192+(1-EXP(-LN(2)/25))/(LN(2)/25)*Calculateur!AQ193*Calculateur!AS193*VLOOKUP('Données projet'!$B$10,Paramètres!$A$1:$I$89,3,0)*0.475*44/12</f>
        <v>12.628904614876705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66.192433239258477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69.352494662438261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155.76430449447392</v>
      </c>
      <c r="BJ193" s="59">
        <f t="shared" si="146"/>
        <v>363.39275685992129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2.8293261537418712</v>
      </c>
      <c r="BQ193" s="21">
        <f>EXP(-LN(2)/25)*BQ192+(1-EXP(-LN(2)/25))/(LN(2)/25)*Calculateur!BL193*Calculateur!BN193*VLOOKUP('Données projet'!$B$11,Paramètres!$A$1:$I$89,3,0)*0.475*44/12</f>
        <v>0.20498504038448853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3.0343111941263596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69.352494662438261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4.8316906031686813E-13</v>
      </c>
      <c r="BZ193" s="13">
        <f>BY193*VLOOKUP('Données projet'!$B$12,Paramètres!$A$1:$I$89,3,0)*VLOOKUP('Données projet'!$B$12,Paramètres!$A$1:$I$89,5,0)</f>
        <v>4.8993342716130437E-13</v>
      </c>
      <c r="CA193" s="13">
        <f t="shared" si="170"/>
        <v>6.1172634040517391E-12</v>
      </c>
      <c r="CB193" s="20">
        <f t="shared" si="171"/>
        <v>1.1507534481029384E-11</v>
      </c>
      <c r="CC193" s="59">
        <f t="shared" si="119"/>
        <v>290.95914709561845</v>
      </c>
      <c r="CD193" s="59">
        <f ca="1">AVERAGE(OFFSET($CC$3,0,0,'Données projet'!$E$12+1,1))-AVERAGE(OFFSET($H$3,0,0,'Données projet'!$E$12+1,1))</f>
        <v>679.4570479719705</v>
      </c>
      <c r="CE193" s="59">
        <f t="shared" si="148"/>
        <v>310.8252119379963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181.52160012799536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181.52160012799536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69.352494662438261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146.95547268081216</v>
      </c>
      <c r="CZ193" s="59">
        <f t="shared" si="150"/>
        <v>343.21355872318065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2.6470689475192315</v>
      </c>
      <c r="DG193" s="21">
        <f>EXP(-LN(2)/25)*DG192+(1-EXP(-LN(2)/25))/(LN(2)/25)*Calculateur!DB193*Calculateur!DD193*VLOOKUP('Données projet'!$B$13,Paramètres!$A$1:$I$89,3,0)*0.475*44/12</f>
        <v>0.19178048256830979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2.8388494300875413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69.352494662438261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69.352494662438261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69.352494662438261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69.352494662438261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69.352494662438261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3.5999999999999996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13.199999999999998</v>
      </c>
      <c r="H194" s="67">
        <f t="shared" si="110"/>
        <v>203.86666666666667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69.363727432439887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366.78396742205962</v>
      </c>
      <c r="T194" s="59">
        <f t="shared" si="142"/>
        <v>271.89887525994988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18.482248244338564</v>
      </c>
      <c r="AA194" s="21">
        <f>EXP(-LN(2)/25)*AA193+(1-EXP(-LN(2)/25))/(LN(2)/25)*Calculateur!V194*Calculateur!X194*VLOOKUP('Données projet'!$B$9,Paramètres!$A$1:$I$89,3,0)*0.475*44/12</f>
        <v>3.8199648770878256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22.302213121426391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69.363727432439887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6.2527760746888816E-13</v>
      </c>
      <c r="AJ194" s="13">
        <f>AI194*VLOOKUP('Données projet'!$B$10,Paramètres!$A$1:$I$89,3,0)*VLOOKUP('Données projet'!$B$10,Paramètres!$A$1:$I$89,5,0)</f>
        <v>2.9262992029543964E-13</v>
      </c>
      <c r="AK194" s="13">
        <f t="shared" si="164"/>
        <v>3.8796387982050903E-12</v>
      </c>
      <c r="AL194" s="20">
        <f t="shared" si="165"/>
        <v>7.2667013513884219E-12</v>
      </c>
      <c r="AM194" s="59">
        <f t="shared" si="113"/>
        <v>291.00033391895352</v>
      </c>
      <c r="AN194" s="59">
        <f ca="1">AVERAGE(OFFSET($AM$3,0,0,'Données projet'!$E$10+1,1))-AVERAGE(OFFSET($H$3,0,0,'Données projet'!$E$10+1,1))</f>
        <v>360.04137410460385</v>
      </c>
      <c r="AO194" s="59">
        <f t="shared" si="144"/>
        <v>287.81656468701829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52.513180498584155</v>
      </c>
      <c r="AV194" s="21">
        <f>EXP(-LN(2)/25)*AV193+(1-EXP(-LN(2)/25))/(LN(2)/25)*Calculateur!AQ194*Calculateur!AS194*VLOOKUP('Données projet'!$B$10,Paramètres!$A$1:$I$89,3,0)*0.475*44/12</f>
        <v>12.283566554057671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64.79674705264182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69.363727432439887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155.76430449447392</v>
      </c>
      <c r="BJ194" s="59">
        <f t="shared" si="146"/>
        <v>363.39275685992129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2.7738447935855466</v>
      </c>
      <c r="BQ194" s="21">
        <f>EXP(-LN(2)/25)*BQ193+(1-EXP(-LN(2)/25))/(LN(2)/25)*Calculateur!BL194*Calculateur!BN194*VLOOKUP('Données projet'!$B$11,Paramètres!$A$1:$I$89,3,0)*0.475*44/12</f>
        <v>0.19937971367547991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2.9732245072610266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69.363727432439887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4.8316906031686813E-13</v>
      </c>
      <c r="BZ194" s="13">
        <f>BY194*VLOOKUP('Données projet'!$B$12,Paramètres!$A$1:$I$89,3,0)*VLOOKUP('Données projet'!$B$12,Paramètres!$A$1:$I$89,5,0)</f>
        <v>4.8993342716130437E-13</v>
      </c>
      <c r="CA194" s="13">
        <f t="shared" si="170"/>
        <v>6.1172634040517391E-12</v>
      </c>
      <c r="CB194" s="20">
        <f t="shared" si="171"/>
        <v>1.1507534481029384E-11</v>
      </c>
      <c r="CC194" s="59">
        <f t="shared" si="119"/>
        <v>291.00033391895772</v>
      </c>
      <c r="CD194" s="59">
        <f ca="1">AVERAGE(OFFSET($CC$3,0,0,'Données projet'!$E$12+1,1))-AVERAGE(OFFSET($H$3,0,0,'Données projet'!$E$12+1,1))</f>
        <v>679.4570479719705</v>
      </c>
      <c r="CE194" s="59">
        <f t="shared" si="148"/>
        <v>310.8252119379963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177.96207226672902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177.96207226672902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69.363727432439887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146.95547268081216</v>
      </c>
      <c r="CZ194" s="59">
        <f t="shared" si="150"/>
        <v>343.21355872318065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2.5951615400110137</v>
      </c>
      <c r="DG194" s="21">
        <f>EXP(-LN(2)/25)*DG193+(1-EXP(-LN(2)/25))/(LN(2)/25)*Calculateur!DB194*Calculateur!DD194*VLOOKUP('Données projet'!$B$13,Paramètres!$A$1:$I$89,3,0)*0.475*44/12</f>
        <v>0.1865362351871821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2.7816977751981957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69.363727432439887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69.363727432439887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69.363727432439887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69.363727432439887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69.363727432439887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3.5999999999999996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13.199999999999998</v>
      </c>
      <c r="H195" s="67">
        <f t="shared" si="110"/>
        <v>203.86666666666667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69.374765338994706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366.78396742205962</v>
      </c>
      <c r="T195" s="59">
        <f t="shared" si="142"/>
        <v>271.89887525994988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18.119822629325391</v>
      </c>
      <c r="AA195" s="21">
        <f>EXP(-LN(2)/25)*AA194+(1-EXP(-LN(2)/25))/(LN(2)/25)*Calculateur!V195*Calculateur!X195*VLOOKUP('Données projet'!$B$9,Paramètres!$A$1:$I$89,3,0)*0.475*44/12</f>
        <v>3.7155077366406366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21.835330365966026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69.374765338994706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6.2527760746888816E-13</v>
      </c>
      <c r="AJ195" s="13">
        <f>AI195*VLOOKUP('Données projet'!$B$10,Paramètres!$A$1:$I$89,3,0)*VLOOKUP('Données projet'!$B$10,Paramètres!$A$1:$I$89,5,0)</f>
        <v>2.9262992029543964E-13</v>
      </c>
      <c r="AK195" s="13">
        <f t="shared" si="164"/>
        <v>3.8796387982050903E-12</v>
      </c>
      <c r="AL195" s="20">
        <f t="shared" si="165"/>
        <v>7.2667013513884219E-12</v>
      </c>
      <c r="AM195" s="59">
        <f t="shared" si="113"/>
        <v>291.04080624298786</v>
      </c>
      <c r="AN195" s="59">
        <f ca="1">AVERAGE(OFFSET($AM$3,0,0,'Données projet'!$E$10+1,1))-AVERAGE(OFFSET($H$3,0,0,'Données projet'!$E$10+1,1))</f>
        <v>360.04137410460385</v>
      </c>
      <c r="AO195" s="59">
        <f t="shared" si="144"/>
        <v>287.81656468701829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51.48342905888434</v>
      </c>
      <c r="AV195" s="21">
        <f>EXP(-LN(2)/25)*AV194+(1-EXP(-LN(2)/25))/(LN(2)/25)*Calculateur!AQ195*Calculateur!AS195*VLOOKUP('Données projet'!$B$10,Paramètres!$A$1:$I$89,3,0)*0.475*44/12</f>
        <v>11.947671780672273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63.431100839556613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69.374765338994706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155.76430449447392</v>
      </c>
      <c r="BJ195" s="59">
        <f t="shared" si="146"/>
        <v>363.39275685992129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2.7194513890615992</v>
      </c>
      <c r="BQ195" s="21">
        <f>EXP(-LN(2)/25)*BQ194+(1-EXP(-LN(2)/25))/(LN(2)/25)*Calculateur!BL195*Calculateur!BN195*VLOOKUP('Données projet'!$B$11,Paramètres!$A$1:$I$89,3,0)*0.475*44/12</f>
        <v>0.19392766492010047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2.9133790539816995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69.374765338994706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4.8316906031686813E-13</v>
      </c>
      <c r="BZ195" s="13">
        <f>BY195*VLOOKUP('Données projet'!$B$12,Paramètres!$A$1:$I$89,3,0)*VLOOKUP('Données projet'!$B$12,Paramètres!$A$1:$I$89,5,0)</f>
        <v>4.8993342716130437E-13</v>
      </c>
      <c r="CA195" s="13">
        <f t="shared" si="170"/>
        <v>6.1172634040517391E-12</v>
      </c>
      <c r="CB195" s="20">
        <f t="shared" si="171"/>
        <v>1.1507534481029384E-11</v>
      </c>
      <c r="CC195" s="59">
        <f t="shared" si="119"/>
        <v>291.04080624299206</v>
      </c>
      <c r="CD195" s="59">
        <f ca="1">AVERAGE(OFFSET($CC$3,0,0,'Données projet'!$E$12+1,1))-AVERAGE(OFFSET($H$3,0,0,'Données projet'!$E$12+1,1))</f>
        <v>679.4570479719705</v>
      </c>
      <c r="CE195" s="59">
        <f t="shared" si="148"/>
        <v>310.8252119379963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174.47234457572452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174.47234457572452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69.374765338994706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146.95547268081216</v>
      </c>
      <c r="CZ195" s="59">
        <f t="shared" si="150"/>
        <v>343.21355872318065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2.5442720051036396</v>
      </c>
      <c r="DG195" s="21">
        <f>EXP(-LN(2)/25)*DG194+(1-EXP(-LN(2)/25))/(LN(2)/25)*Calculateur!DB195*Calculateur!DD195*VLOOKUP('Données projet'!$B$13,Paramètres!$A$1:$I$89,3,0)*0.475*44/12</f>
        <v>0.18143539202647432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2.725707397130114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69.374765338994706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69.374765338994706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69.374765338994706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69.374765338994706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69.374765338994706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3.5999999999999996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13.199999999999998</v>
      </c>
      <c r="H196" s="67">
        <f t="shared" ref="H196:H203" si="192">(B196+E196+F196)*44/12+(C196+D196)*0.475*44/12</f>
        <v>203.86666666666667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69.385611762547853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366.78396742205962</v>
      </c>
      <c r="T196" s="59">
        <f t="shared" si="142"/>
        <v>271.89887525994988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17.764503959564831</v>
      </c>
      <c r="AA196" s="21">
        <f>EXP(-LN(2)/25)*AA195+(1-EXP(-LN(2)/25))/(LN(2)/25)*Calculateur!V196*Calculateur!X196*VLOOKUP('Données projet'!$B$9,Paramètres!$A$1:$I$89,3,0)*0.475*44/12</f>
        <v>3.6139069821921384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21.378410941756968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69.385611762547853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6.2527760746888816E-13</v>
      </c>
      <c r="AJ196" s="13">
        <f>AI196*VLOOKUP('Données projet'!$B$10,Paramètres!$A$1:$I$89,3,0)*VLOOKUP('Données projet'!$B$10,Paramètres!$A$1:$I$89,5,0)</f>
        <v>2.9262992029543964E-13</v>
      </c>
      <c r="AK196" s="13">
        <f t="shared" si="164"/>
        <v>3.8796387982050903E-12</v>
      </c>
      <c r="AL196" s="20">
        <f t="shared" si="165"/>
        <v>7.2667013513884219E-12</v>
      </c>
      <c r="AM196" s="59">
        <f t="shared" ref="AM196:AM203" si="193">AL196+(AD196+AE196)*44/12</f>
        <v>291.08057646268276</v>
      </c>
      <c r="AN196" s="59">
        <f ca="1">AVERAGE(OFFSET($AM$3,0,0,'Données projet'!$E$10+1,1))-AVERAGE(OFFSET($H$3,0,0,'Données projet'!$E$10+1,1))</f>
        <v>360.04137410460385</v>
      </c>
      <c r="AO196" s="59">
        <f t="shared" si="144"/>
        <v>287.81656468701829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50.473870416830678</v>
      </c>
      <c r="AV196" s="21">
        <f>EXP(-LN(2)/25)*AV195+(1-EXP(-LN(2)/25))/(LN(2)/25)*Calculateur!AQ196*Calculateur!AS196*VLOOKUP('Données projet'!$B$10,Paramètres!$A$1:$I$89,3,0)*0.475*44/12</f>
        <v>11.620962067529037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62.094832484359713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69.385611762547853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155.76430449447392</v>
      </c>
      <c r="BJ196" s="59">
        <f t="shared" si="146"/>
        <v>363.39275685992129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2.6661246060236654</v>
      </c>
      <c r="BQ196" s="21">
        <f>EXP(-LN(2)/25)*BQ195+(1-EXP(-LN(2)/25))/(LN(2)/25)*Calculateur!BL196*Calculateur!BN196*VLOOKUP('Données projet'!$B$11,Paramètres!$A$1:$I$89,3,0)*0.475*44/12</f>
        <v>0.18862470272464765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2.8547493087483131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69.385611762547853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4.8316906031686813E-13</v>
      </c>
      <c r="BZ196" s="13">
        <f>BY196*VLOOKUP('Données projet'!$B$12,Paramètres!$A$1:$I$89,3,0)*VLOOKUP('Données projet'!$B$12,Paramètres!$A$1:$I$89,5,0)</f>
        <v>4.8993342716130437E-13</v>
      </c>
      <c r="CA196" s="13">
        <f t="shared" si="170"/>
        <v>6.1172634040517391E-12</v>
      </c>
      <c r="CB196" s="20">
        <f t="shared" si="171"/>
        <v>1.1507534481029384E-11</v>
      </c>
      <c r="CC196" s="59">
        <f t="shared" ref="CC196:CC203" si="195">CB196+(BT196+BU196)*44/12</f>
        <v>291.08057646268696</v>
      </c>
      <c r="CD196" s="59">
        <f ca="1">AVERAGE(OFFSET($CC$3,0,0,'Données projet'!$E$12+1,1))-AVERAGE(OFFSET($H$3,0,0,'Données projet'!$E$12+1,1))</f>
        <v>679.4570479719705</v>
      </c>
      <c r="CE196" s="59">
        <f t="shared" si="148"/>
        <v>310.8252119379963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171.05104831621688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171.05104831621688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69.385611762547853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146.95547268081216</v>
      </c>
      <c r="CZ196" s="59">
        <f t="shared" si="150"/>
        <v>343.21355872318065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2.4943803829362476</v>
      </c>
      <c r="DG196" s="21">
        <f>EXP(-LN(2)/25)*DG195+(1-EXP(-LN(2)/25))/(LN(2)/25)*Calculateur!DB196*Calculateur!DD196*VLOOKUP('Données projet'!$B$13,Paramètres!$A$1:$I$89,3,0)*0.475*44/12</f>
        <v>0.17647403169023779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2.6708544146264854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69.385611762547853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69.385611762547853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69.385611762547853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69.385611762547853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69.385611762547853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3.5999999999999996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13.199999999999998</v>
      </c>
      <c r="H197" s="67">
        <f t="shared" si="192"/>
        <v>203.86666666666667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69.396270024901327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366.78396742205962</v>
      </c>
      <c r="T197" s="59">
        <f t="shared" ref="T197:T203" si="204">$T$3</f>
        <v>271.89887525994988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17.416152872195283</v>
      </c>
      <c r="AA197" s="21">
        <f>EXP(-LN(2)/25)*AA196+(1-EXP(-LN(2)/25))/(LN(2)/25)*Calculateur!V197*Calculateur!X197*VLOOKUP('Données projet'!$B$9,Paramètres!$A$1:$I$89,3,0)*0.475*44/12</f>
        <v>3.5150845057169859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20.931237377912268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69.396270024901327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6.2527760746888816E-13</v>
      </c>
      <c r="AJ197" s="13">
        <f>AI197*VLOOKUP('Données projet'!$B$10,Paramètres!$A$1:$I$89,3,0)*VLOOKUP('Données projet'!$B$10,Paramètres!$A$1:$I$89,5,0)</f>
        <v>2.9262992029543964E-13</v>
      </c>
      <c r="AK197" s="13">
        <f t="shared" si="164"/>
        <v>3.8796387982050903E-12</v>
      </c>
      <c r="AL197" s="20">
        <f t="shared" si="165"/>
        <v>7.2667013513884219E-12</v>
      </c>
      <c r="AM197" s="59">
        <f t="shared" si="193"/>
        <v>291.11965675797882</v>
      </c>
      <c r="AN197" s="59">
        <f ca="1">AVERAGE(OFFSET($AM$3,0,0,'Données projet'!$E$10+1,1))-AVERAGE(OFFSET($H$3,0,0,'Données projet'!$E$10+1,1))</f>
        <v>360.04137410460385</v>
      </c>
      <c r="AO197" s="59">
        <f t="shared" ref="AO197:AO203" si="205">$AO$3</f>
        <v>287.81656468701829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49.484108603977717</v>
      </c>
      <c r="AV197" s="21">
        <f>EXP(-LN(2)/25)*AV196+(1-EXP(-LN(2)/25))/(LN(2)/25)*Calculateur!AQ197*Calculateur!AS197*VLOOKUP('Données projet'!$B$10,Paramètres!$A$1:$I$89,3,0)*0.475*44/12</f>
        <v>11.30318624867262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60.787294852650334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69.396270024901327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155.76430449447392</v>
      </c>
      <c r="BJ197" s="59">
        <f t="shared" ref="BJ197:BJ203" si="206">$BJ$3</f>
        <v>363.39275685992129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2.6138435286749795</v>
      </c>
      <c r="BQ197" s="21">
        <f>EXP(-LN(2)/25)*BQ196+(1-EXP(-LN(2)/25))/(LN(2)/25)*Calculateur!BL197*Calculateur!BN197*VLOOKUP('Données projet'!$B$11,Paramètres!$A$1:$I$89,3,0)*0.475*44/12</f>
        <v>0.18346675030930015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2.7973102789842796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69.396270024901327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4.8316906031686813E-13</v>
      </c>
      <c r="BZ197" s="13">
        <f>BY197*VLOOKUP('Données projet'!$B$12,Paramètres!$A$1:$I$89,3,0)*VLOOKUP('Données projet'!$B$12,Paramètres!$A$1:$I$89,5,0)</f>
        <v>4.8993342716130437E-13</v>
      </c>
      <c r="CA197" s="13">
        <f t="shared" si="170"/>
        <v>6.1172634040517391E-12</v>
      </c>
      <c r="CB197" s="20">
        <f t="shared" si="171"/>
        <v>1.1507534481029384E-11</v>
      </c>
      <c r="CC197" s="59">
        <f t="shared" si="195"/>
        <v>291.11965675798302</v>
      </c>
      <c r="CD197" s="59">
        <f ca="1">AVERAGE(OFFSET($CC$3,0,0,'Données projet'!$E$12+1,1))-AVERAGE(OFFSET($H$3,0,0,'Données projet'!$E$12+1,1))</f>
        <v>679.4570479719705</v>
      </c>
      <c r="CE197" s="59">
        <f t="shared" ref="CE197:CE203" si="207">$CE$3</f>
        <v>310.8252119379963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167.69684158957352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167.69684158957352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69.396270024901327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146.95547268081216</v>
      </c>
      <c r="CZ197" s="59">
        <f t="shared" ref="CZ197:CZ203" si="208">$CZ$3</f>
        <v>343.21355872318065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2.4454671050486736</v>
      </c>
      <c r="DG197" s="21">
        <f>EXP(-LN(2)/25)*DG196+(1-EXP(-LN(2)/25))/(LN(2)/25)*Calculateur!DB197*Calculateur!DD197*VLOOKUP('Données projet'!$B$13,Paramètres!$A$1:$I$89,3,0)*0.475*44/12</f>
        <v>0.17164834001330226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2.6171154450619758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69.396270024901327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69.396270024901327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69.396270024901327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69.396270024901327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69.396270024901327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3.5999999999999996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13.199999999999998</v>
      </c>
      <c r="H198" s="67">
        <f t="shared" si="192"/>
        <v>203.86666666666667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69.40674339023127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366.78396742205962</v>
      </c>
      <c r="T198" s="59">
        <f t="shared" si="204"/>
        <v>271.89887525994988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17.074632737175872</v>
      </c>
      <c r="AA198" s="21">
        <f>EXP(-LN(2)/25)*AA197+(1-EXP(-LN(2)/25))/(LN(2)/25)*Calculateur!V198*Calculateur!X198*VLOOKUP('Données projet'!$B$9,Paramètres!$A$1:$I$89,3,0)*0.475*44/12</f>
        <v>3.4189643350578947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20.493597072233765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69.40674339023127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6.2527760746888816E-13</v>
      </c>
      <c r="AJ198" s="13">
        <f>AI198*VLOOKUP('Données projet'!$B$10,Paramètres!$A$1:$I$89,3,0)*VLOOKUP('Données projet'!$B$10,Paramètres!$A$1:$I$89,5,0)</f>
        <v>2.9262992029543964E-13</v>
      </c>
      <c r="AK198" s="13">
        <f t="shared" si="164"/>
        <v>3.8796387982050903E-12</v>
      </c>
      <c r="AL198" s="20">
        <f t="shared" si="165"/>
        <v>7.2667013513884219E-12</v>
      </c>
      <c r="AM198" s="59">
        <f t="shared" si="193"/>
        <v>291.15805909752197</v>
      </c>
      <c r="AN198" s="59">
        <f ca="1">AVERAGE(OFFSET($AM$3,0,0,'Données projet'!$E$10+1,1))-AVERAGE(OFFSET($H$3,0,0,'Données projet'!$E$10+1,1))</f>
        <v>360.04137410460385</v>
      </c>
      <c r="AO198" s="59">
        <f t="shared" si="205"/>
        <v>287.81656468701829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48.513755416579706</v>
      </c>
      <c r="AV198" s="21">
        <f>EXP(-LN(2)/25)*AV197+(1-EXP(-LN(2)/25))/(LN(2)/25)*Calculateur!AQ198*Calculateur!AS198*VLOOKUP('Données projet'!$B$10,Paramètres!$A$1:$I$89,3,0)*0.475*44/12</f>
        <v>10.994100026293937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59.507855442873641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69.40674339023127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155.76430449447392</v>
      </c>
      <c r="BJ198" s="59">
        <f t="shared" si="206"/>
        <v>363.39275685992129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2.5625876513647929</v>
      </c>
      <c r="BQ198" s="21">
        <f>EXP(-LN(2)/25)*BQ197+(1-EXP(-LN(2)/25))/(LN(2)/25)*Calculateur!BL198*Calculateur!BN198*VLOOKUP('Données projet'!$B$11,Paramètres!$A$1:$I$89,3,0)*0.475*44/12</f>
        <v>0.17844984237399525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2.741037493738788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69.40674339023127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4.8316906031686813E-13</v>
      </c>
      <c r="BZ198" s="13">
        <f>BY198*VLOOKUP('Données projet'!$B$12,Paramètres!$A$1:$I$89,3,0)*VLOOKUP('Données projet'!$B$12,Paramètres!$A$1:$I$89,5,0)</f>
        <v>4.8993342716130437E-13</v>
      </c>
      <c r="CA198" s="13">
        <f t="shared" si="170"/>
        <v>6.1172634040517391E-12</v>
      </c>
      <c r="CB198" s="20">
        <f t="shared" si="171"/>
        <v>1.1507534481029384E-11</v>
      </c>
      <c r="CC198" s="59">
        <f t="shared" si="195"/>
        <v>291.15805909752618</v>
      </c>
      <c r="CD198" s="59">
        <f ca="1">AVERAGE(OFFSET($CC$3,0,0,'Données projet'!$E$12+1,1))-AVERAGE(OFFSET($H$3,0,0,'Données projet'!$E$12+1,1))</f>
        <v>679.4570479719705</v>
      </c>
      <c r="CE198" s="59">
        <f t="shared" si="207"/>
        <v>310.8252119379963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164.40840881097554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164.40840881097554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69.40674339023127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146.95547268081216</v>
      </c>
      <c r="CZ198" s="59">
        <f t="shared" si="208"/>
        <v>343.21355872318065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2.397512986706321</v>
      </c>
      <c r="DG198" s="21">
        <f>EXP(-LN(2)/25)*DG197+(1-EXP(-LN(2)/25))/(LN(2)/25)*Calculateur!DB198*Calculateur!DD198*VLOOKUP('Données projet'!$B$13,Paramètres!$A$1:$I$89,3,0)*0.475*44/12</f>
        <v>0.16695460712904461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2.5644675938353654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69.40674339023127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69.40674339023127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69.40674339023127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69.40674339023127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69.40674339023127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3.5999999999999996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13.199999999999998</v>
      </c>
      <c r="H199" s="67">
        <f t="shared" si="192"/>
        <v>203.86666666666667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69.417035066087678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366.78396742205962</v>
      </c>
      <c r="T199" s="59">
        <f t="shared" si="204"/>
        <v>271.89887525994988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16.739809603697477</v>
      </c>
      <c r="AA199" s="21">
        <f>EXP(-LN(2)/25)*AA198+(1-EXP(-LN(2)/25))/(LN(2)/25)*Calculateur!V199*Calculateur!X199*VLOOKUP('Données projet'!$B$9,Paramètres!$A$1:$I$89,3,0)*0.475*44/12</f>
        <v>3.3254725755202164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20.065282179217693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69.417035066087678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6.2527760746888816E-13</v>
      </c>
      <c r="AJ199" s="13">
        <f>AI199*VLOOKUP('Données projet'!$B$10,Paramètres!$A$1:$I$89,3,0)*VLOOKUP('Données projet'!$B$10,Paramètres!$A$1:$I$89,5,0)</f>
        <v>2.9262992029543964E-13</v>
      </c>
      <c r="AK199" s="13">
        <f t="shared" si="164"/>
        <v>3.8796387982050903E-12</v>
      </c>
      <c r="AL199" s="20">
        <f t="shared" si="165"/>
        <v>7.2667013513884219E-12</v>
      </c>
      <c r="AM199" s="59">
        <f t="shared" si="193"/>
        <v>291.19579524232876</v>
      </c>
      <c r="AN199" s="59">
        <f ca="1">AVERAGE(OFFSET($AM$3,0,0,'Données projet'!$E$10+1,1))-AVERAGE(OFFSET($H$3,0,0,'Données projet'!$E$10+1,1))</f>
        <v>360.04137410460385</v>
      </c>
      <c r="AO199" s="59">
        <f t="shared" si="205"/>
        <v>287.81656468701829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47.562430263329567</v>
      </c>
      <c r="AV199" s="21">
        <f>EXP(-LN(2)/25)*AV198+(1-EXP(-LN(2)/25))/(LN(2)/25)*Calculateur!AQ199*Calculateur!AS199*VLOOKUP('Données projet'!$B$10,Paramètres!$A$1:$I$89,3,0)*0.475*44/12</f>
        <v>10.693465782920336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58.255896046249902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69.417035066087678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155.76430449447392</v>
      </c>
      <c r="BJ199" s="59">
        <f t="shared" si="206"/>
        <v>363.39275685992129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2.5123368705456608</v>
      </c>
      <c r="BQ199" s="21">
        <f>EXP(-LN(2)/25)*BQ198+(1-EXP(-LN(2)/25))/(LN(2)/25)*Calculateur!BL199*Calculateur!BN199*VLOOKUP('Données projet'!$B$11,Paramètres!$A$1:$I$89,3,0)*0.475*44/12</f>
        <v>0.17357012205000899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2.6859069925956698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69.417035066087678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4.8316906031686813E-13</v>
      </c>
      <c r="BZ199" s="13">
        <f>BY199*VLOOKUP('Données projet'!$B$12,Paramètres!$A$1:$I$89,3,0)*VLOOKUP('Données projet'!$B$12,Paramètres!$A$1:$I$89,5,0)</f>
        <v>4.8993342716130437E-13</v>
      </c>
      <c r="CA199" s="13">
        <f t="shared" si="170"/>
        <v>6.1172634040517391E-12</v>
      </c>
      <c r="CB199" s="20">
        <f t="shared" si="171"/>
        <v>1.1507534481029384E-11</v>
      </c>
      <c r="CC199" s="59">
        <f t="shared" si="195"/>
        <v>291.19579524233296</v>
      </c>
      <c r="CD199" s="59">
        <f ca="1">AVERAGE(OFFSET($CC$3,0,0,'Données projet'!$E$12+1,1))-AVERAGE(OFFSET($H$3,0,0,'Données projet'!$E$12+1,1))</f>
        <v>679.4570479719705</v>
      </c>
      <c r="CE199" s="59">
        <f t="shared" si="207"/>
        <v>310.8252119379963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161.18446019341994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161.18446019341994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69.417035066087678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146.95547268081216</v>
      </c>
      <c r="CZ199" s="59">
        <f t="shared" si="208"/>
        <v>343.21355872318065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2.3504992193755379</v>
      </c>
      <c r="DG199" s="21">
        <f>EXP(-LN(2)/25)*DG198+(1-EXP(-LN(2)/25))/(LN(2)/25)*Calculateur!DB199*Calculateur!DD199*VLOOKUP('Données projet'!$B$13,Paramètres!$A$1:$I$89,3,0)*0.475*44/12</f>
        <v>0.16238922461733968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2.5128884439928774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69.417035066087678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69.417035066087678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69.417035066087678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69.417035066087678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69.417035066087678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3.5999999999999996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13.199999999999998</v>
      </c>
      <c r="H200" s="67">
        <f t="shared" si="192"/>
        <v>203.86666666666667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69.427148204376707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366.78396742205962</v>
      </c>
      <c r="T200" s="59">
        <f t="shared" si="204"/>
        <v>271.89887525994988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16.411552147644645</v>
      </c>
      <c r="AA200" s="21">
        <f>EXP(-LN(2)/25)*AA199+(1-EXP(-LN(2)/25))/(LN(2)/25)*Calculateur!V200*Calculateur!X200*VLOOKUP('Données projet'!$B$9,Paramètres!$A$1:$I$89,3,0)*0.475*44/12</f>
        <v>3.2345373530636139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19.646089500708261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69.427148204376707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6.2527760746888816E-13</v>
      </c>
      <c r="AJ200" s="13">
        <f>AI200*VLOOKUP('Données projet'!$B$10,Paramètres!$A$1:$I$89,3,0)*VLOOKUP('Données projet'!$B$10,Paramètres!$A$1:$I$89,5,0)</f>
        <v>2.9262992029543964E-13</v>
      </c>
      <c r="AK200" s="13">
        <f t="shared" si="164"/>
        <v>3.8796387982050903E-12</v>
      </c>
      <c r="AL200" s="20">
        <f t="shared" si="165"/>
        <v>7.2667013513884219E-12</v>
      </c>
      <c r="AM200" s="59">
        <f t="shared" si="193"/>
        <v>291.23287674938854</v>
      </c>
      <c r="AN200" s="59">
        <f ca="1">AVERAGE(OFFSET($AM$3,0,0,'Données projet'!$E$10+1,1))-AVERAGE(OFFSET($H$3,0,0,'Données projet'!$E$10+1,1))</f>
        <v>360.04137410460385</v>
      </c>
      <c r="AO200" s="59">
        <f t="shared" si="205"/>
        <v>287.81656468701829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46.629760016083615</v>
      </c>
      <c r="AV200" s="21">
        <f>EXP(-LN(2)/25)*AV199+(1-EXP(-LN(2)/25))/(LN(2)/25)*Calculateur!AQ200*Calculateur!AS200*VLOOKUP('Données projet'!$B$10,Paramètres!$A$1:$I$89,3,0)*0.475*44/12</f>
        <v>10.401052398741454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57.030812414825071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69.427148204376707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155.76430449447392</v>
      </c>
      <c r="BJ200" s="59">
        <f t="shared" si="206"/>
        <v>363.39275685992129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2.4630714768884419</v>
      </c>
      <c r="BQ200" s="21">
        <f>EXP(-LN(2)/25)*BQ199+(1-EXP(-LN(2)/25))/(LN(2)/25)*Calculateur!BL200*Calculateur!BN200*VLOOKUP('Données projet'!$B$11,Paramètres!$A$1:$I$89,3,0)*0.475*44/12</f>
        <v>0.16882383793489547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2.6318953148233373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69.427148204376707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4.8316906031686813E-13</v>
      </c>
      <c r="BZ200" s="13">
        <f>BY200*VLOOKUP('Données projet'!$B$12,Paramètres!$A$1:$I$89,3,0)*VLOOKUP('Données projet'!$B$12,Paramètres!$A$1:$I$89,5,0)</f>
        <v>4.8993342716130437E-13</v>
      </c>
      <c r="CA200" s="13">
        <f t="shared" si="170"/>
        <v>6.1172634040517391E-12</v>
      </c>
      <c r="CB200" s="20">
        <f t="shared" si="171"/>
        <v>1.1507534481029384E-11</v>
      </c>
      <c r="CC200" s="59">
        <f t="shared" si="195"/>
        <v>291.23287674939274</v>
      </c>
      <c r="CD200" s="59">
        <f ca="1">AVERAGE(OFFSET($CC$3,0,0,'Données projet'!$E$12+1,1))-AVERAGE(OFFSET($H$3,0,0,'Données projet'!$E$12+1,1))</f>
        <v>679.4570479719705</v>
      </c>
      <c r="CE200" s="59">
        <f t="shared" si="207"/>
        <v>310.8252119379963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158.0237312418401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158.0237312418401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69.427148204376707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146.95547268081216</v>
      </c>
      <c r="CZ200" s="59">
        <f t="shared" si="208"/>
        <v>343.21355872318065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2.3044073633465447</v>
      </c>
      <c r="DG200" s="21">
        <f>EXP(-LN(2)/25)*DG199+(1-EXP(-LN(2)/25))/(LN(2)/25)*Calculateur!DB200*Calculateur!DD200*VLOOKUP('Données projet'!$B$13,Paramètres!$A$1:$I$89,3,0)*0.475*44/12</f>
        <v>0.15794868273050033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2.4623560460770451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69.427148204376707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69.427148204376707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69.427148204376707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69.427148204376707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69.427148204376707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3.5999999999999996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13.199999999999998</v>
      </c>
      <c r="H201" s="67">
        <f t="shared" si="192"/>
        <v>203.86666666666667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69.437085902326032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366.78396742205962</v>
      </c>
      <c r="T201" s="59">
        <f t="shared" si="204"/>
        <v>271.89887525994988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16.089731620087733</v>
      </c>
      <c r="AA201" s="21">
        <f>EXP(-LN(2)/25)*AA200+(1-EXP(-LN(2)/25))/(LN(2)/25)*Calculateur!V201*Calculateur!X201*VLOOKUP('Données projet'!$B$9,Paramètres!$A$1:$I$89,3,0)*0.475*44/12</f>
        <v>3.1460887590471627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19.235820379134896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69.437085902326032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6.2527760746888816E-13</v>
      </c>
      <c r="AJ201" s="13">
        <f>AI201*VLOOKUP('Données projet'!$B$10,Paramètres!$A$1:$I$89,3,0)*VLOOKUP('Données projet'!$B$10,Paramètres!$A$1:$I$89,5,0)</f>
        <v>2.9262992029543964E-13</v>
      </c>
      <c r="AK201" s="13">
        <f t="shared" si="164"/>
        <v>3.8796387982050903E-12</v>
      </c>
      <c r="AL201" s="20">
        <f t="shared" si="165"/>
        <v>7.2667013513884219E-12</v>
      </c>
      <c r="AM201" s="59">
        <f t="shared" si="193"/>
        <v>291.26931497520269</v>
      </c>
      <c r="AN201" s="59">
        <f ca="1">AVERAGE(OFFSET($AM$3,0,0,'Données projet'!$E$10+1,1))-AVERAGE(OFFSET($H$3,0,0,'Données projet'!$E$10+1,1))</f>
        <v>360.04137410460385</v>
      </c>
      <c r="AO201" s="59">
        <f t="shared" si="205"/>
        <v>287.81656468701829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45.715378863513479</v>
      </c>
      <c r="AV201" s="21">
        <f>EXP(-LN(2)/25)*AV200+(1-EXP(-LN(2)/25))/(LN(2)/25)*Calculateur!AQ201*Calculateur!AS201*VLOOKUP('Données projet'!$B$10,Paramètres!$A$1:$I$89,3,0)*0.475*44/12</f>
        <v>10.116635073930295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55.832013937443776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69.437085902326032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155.76430449447392</v>
      </c>
      <c r="BJ201" s="59">
        <f t="shared" si="206"/>
        <v>363.39275685992129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2.4147721475519179</v>
      </c>
      <c r="BQ201" s="21">
        <f>EXP(-LN(2)/25)*BQ200+(1-EXP(-LN(2)/25))/(LN(2)/25)*Calculateur!BL201*Calculateur!BN201*VLOOKUP('Données projet'!$B$11,Paramètres!$A$1:$I$89,3,0)*0.475*44/12</f>
        <v>0.16420734120850597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2.578979488760424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69.437085902326032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4.8316906031686813E-13</v>
      </c>
      <c r="BZ201" s="13">
        <f>BY201*VLOOKUP('Données projet'!$B$12,Paramètres!$A$1:$I$89,3,0)*VLOOKUP('Données projet'!$B$12,Paramètres!$A$1:$I$89,5,0)</f>
        <v>4.8993342716130437E-13</v>
      </c>
      <c r="CA201" s="13">
        <f t="shared" si="170"/>
        <v>6.1172634040517391E-12</v>
      </c>
      <c r="CB201" s="20">
        <f t="shared" si="171"/>
        <v>1.1507534481029384E-11</v>
      </c>
      <c r="CC201" s="59">
        <f t="shared" si="195"/>
        <v>291.2693149752069</v>
      </c>
      <c r="CD201" s="59">
        <f ca="1">AVERAGE(OFFSET($CC$3,0,0,'Données projet'!$E$12+1,1))-AVERAGE(OFFSET($H$3,0,0,'Données projet'!$E$12+1,1))</f>
        <v>679.4570479719705</v>
      </c>
      <c r="CE201" s="59">
        <f t="shared" si="207"/>
        <v>310.8252119379963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154.92498225714644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154.92498225714644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69.437085902326032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146.95547268081216</v>
      </c>
      <c r="CZ201" s="59">
        <f t="shared" si="208"/>
        <v>343.21355872318065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2.2592193405010241</v>
      </c>
      <c r="DG201" s="21">
        <f>EXP(-LN(2)/25)*DG200+(1-EXP(-LN(2)/25))/(LN(2)/25)*Calculateur!DB201*Calculateur!DD201*VLOOKUP('Données projet'!$B$13,Paramètres!$A$1:$I$89,3,0)*0.475*44/12</f>
        <v>0.15362956769507458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2.4128489081960987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69.437085902326032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69.437085902326032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69.437085902326032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69.437085902326032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69.437085902326032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3.5999999999999996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13.199999999999998</v>
      </c>
      <c r="H202" s="67">
        <f t="shared" si="192"/>
        <v>203.86666666666667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69.446851203433283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366.78396742205962</v>
      </c>
      <c r="T202" s="59">
        <f t="shared" si="204"/>
        <v>271.89887525994988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15.774221796785071</v>
      </c>
      <c r="AA202" s="21">
        <f>EXP(-LN(2)/25)*AA201+(1-EXP(-LN(2)/25))/(LN(2)/25)*Calculateur!V202*Calculateur!X202*VLOOKUP('Données projet'!$B$9,Paramètres!$A$1:$I$89,3,0)*0.475*44/12</f>
        <v>3.0600587964854005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18.834280593270471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69.446851203433283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6.2527760746888816E-13</v>
      </c>
      <c r="AJ202" s="13">
        <f>AI202*VLOOKUP('Données projet'!$B$10,Paramètres!$A$1:$I$89,3,0)*VLOOKUP('Données projet'!$B$10,Paramètres!$A$1:$I$89,5,0)</f>
        <v>2.9262992029543964E-13</v>
      </c>
      <c r="AK202" s="13">
        <f t="shared" si="164"/>
        <v>3.8796387982050903E-12</v>
      </c>
      <c r="AL202" s="20">
        <f t="shared" si="165"/>
        <v>7.2667013513884219E-12</v>
      </c>
      <c r="AM202" s="59">
        <f t="shared" si="193"/>
        <v>291.30512107926262</v>
      </c>
      <c r="AN202" s="59">
        <f ca="1">AVERAGE(OFFSET($AM$3,0,0,'Données projet'!$E$10+1,1))-AVERAGE(OFFSET($H$3,0,0,'Données projet'!$E$10+1,1))</f>
        <v>360.04137410460385</v>
      </c>
      <c r="AO202" s="59">
        <f t="shared" si="205"/>
        <v>287.81656468701829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44.81892816762781</v>
      </c>
      <c r="AV202" s="21">
        <f>EXP(-LN(2)/25)*AV201+(1-EXP(-LN(2)/25))/(LN(2)/25)*Calculateur!AQ202*Calculateur!AS202*VLOOKUP('Données projet'!$B$10,Paramètres!$A$1:$I$89,3,0)*0.475*44/12</f>
        <v>9.8399951558229546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54.658923323450765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69.446851203433283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155.76430449447392</v>
      </c>
      <c r="BJ202" s="59">
        <f t="shared" si="206"/>
        <v>363.39275685992129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2.3674199386040016</v>
      </c>
      <c r="BQ202" s="21">
        <f>EXP(-LN(2)/25)*BQ201+(1-EXP(-LN(2)/25))/(LN(2)/25)*Calculateur!BL202*Calculateur!BN202*VLOOKUP('Données projet'!$B$11,Paramètres!$A$1:$I$89,3,0)*0.475*44/12</f>
        <v>0.15971708282787059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2.527137021431872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69.446851203433283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4.8316906031686813E-13</v>
      </c>
      <c r="BZ202" s="13">
        <f>BY202*VLOOKUP('Données projet'!$B$12,Paramètres!$A$1:$I$89,3,0)*VLOOKUP('Données projet'!$B$12,Paramètres!$A$1:$I$89,5,0)</f>
        <v>4.8993342716130437E-13</v>
      </c>
      <c r="CA202" s="13">
        <f t="shared" si="170"/>
        <v>6.1172634040517391E-12</v>
      </c>
      <c r="CB202" s="20">
        <f t="shared" si="171"/>
        <v>1.1507534481029384E-11</v>
      </c>
      <c r="CC202" s="59">
        <f t="shared" si="195"/>
        <v>291.30512107926683</v>
      </c>
      <c r="CD202" s="59">
        <f ca="1">AVERAGE(OFFSET($CC$3,0,0,'Données projet'!$E$12+1,1))-AVERAGE(OFFSET($H$3,0,0,'Données projet'!$E$12+1,1))</f>
        <v>679.4570479719705</v>
      </c>
      <c r="CE202" s="59">
        <f t="shared" si="207"/>
        <v>310.8252119379963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151.88699784999238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151.88699784999238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69.446851203433283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146.95547268081216</v>
      </c>
      <c r="CZ202" s="59">
        <f t="shared" si="208"/>
        <v>343.21355872318065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2.2149174272215317</v>
      </c>
      <c r="DG202" s="21">
        <f>EXP(-LN(2)/25)*DG201+(1-EXP(-LN(2)/25))/(LN(2)/25)*Calculateur!DB202*Calculateur!DD202*VLOOKUP('Données projet'!$B$13,Paramètres!$A$1:$I$89,3,0)*0.475*44/12</f>
        <v>0.14942855908742492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2.3643459863089564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69.446851203433283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69.446851203433283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69.446851203433283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69.446851203433283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69.446851203433283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3.5999999999999996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52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13.199999999999998</v>
      </c>
      <c r="H203" s="67">
        <f t="shared" si="192"/>
        <v>203.86666666666667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69.456447098398257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366.78396742205962</v>
      </c>
      <c r="T203" s="59">
        <f t="shared" si="204"/>
        <v>271.89887525994988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15.464898928675385</v>
      </c>
      <c r="AA203" s="21">
        <f>EXP(-LN(2)/25)*AA202+(1-EXP(-LN(2)/25))/(LN(2)/25)*Calculateur!V203*Calculateur!X203*VLOOKUP('Données projet'!$B$9,Paramètres!$A$1:$I$89,3,0)*0.475*44/12</f>
        <v>2.9763813277740088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18.441280256449396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69.456447098398257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6.2527760746888816E-13</v>
      </c>
      <c r="AJ203" s="13">
        <f>AI203*VLOOKUP('Données projet'!$B$10,Paramètres!$A$1:$I$89,3,0)*VLOOKUP('Données projet'!$B$10,Paramètres!$A$1:$I$89,5,0)</f>
        <v>2.9262992029543964E-13</v>
      </c>
      <c r="AK203" s="13">
        <f t="shared" si="164"/>
        <v>3.8796387982050903E-12</v>
      </c>
      <c r="AL203" s="20">
        <f t="shared" si="165"/>
        <v>7.2667013513884219E-12</v>
      </c>
      <c r="AM203" s="59">
        <f t="shared" si="193"/>
        <v>291.34030602746753</v>
      </c>
      <c r="AN203" s="59">
        <f ca="1">AVERAGE(OFFSET($AM$3,0,0,'Données projet'!$E$10+1,1))-AVERAGE(OFFSET($H$3,0,0,'Données projet'!$E$10+1,1))</f>
        <v>360.04137410460385</v>
      </c>
      <c r="AO203" s="59">
        <f t="shared" si="205"/>
        <v>287.81656468701829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43.94005632310752</v>
      </c>
      <c r="AV203" s="21">
        <f>EXP(-LN(2)/25)*AV202+(1-EXP(-LN(2)/25))/(LN(2)/25)*Calculateur!AQ203*Calculateur!AS203*VLOOKUP('Données projet'!$B$10,Paramètres!$A$1:$I$89,3,0)*0.475*44/12</f>
        <v>9.5709199708241197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53.510976293931641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69.456447098398257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155.76430449447392</v>
      </c>
      <c r="BJ203" s="59">
        <f t="shared" si="206"/>
        <v>363.39275685992129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2.3209962775915582</v>
      </c>
      <c r="BQ203" s="21">
        <f>EXP(-LN(2)/25)*BQ202+(1-EXP(-LN(2)/25))/(LN(2)/25)*Calculateur!BL203*Calculateur!BN203*VLOOKUP('Données projet'!$B$11,Paramètres!$A$1:$I$89,3,0)*0.475*44/12</f>
        <v>0.15534961079878612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2.4763458883903442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69.456447098398257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4.8316906031686813E-13</v>
      </c>
      <c r="BZ203" s="13">
        <f>BY203*VLOOKUP('Données projet'!$B$12,Paramètres!$A$1:$I$89,3,0)*VLOOKUP('Données projet'!$B$12,Paramètres!$A$1:$I$89,5,0)</f>
        <v>4.8993342716130437E-13</v>
      </c>
      <c r="CA203" s="13">
        <f t="shared" si="170"/>
        <v>6.1172634040517391E-12</v>
      </c>
      <c r="CB203" s="20">
        <f t="shared" si="171"/>
        <v>1.1507534481029384E-11</v>
      </c>
      <c r="CC203" s="59">
        <f t="shared" si="195"/>
        <v>291.34030602747174</v>
      </c>
      <c r="CD203" s="59">
        <f ca="1">AVERAGE(OFFSET($CC$3,0,0,'Données projet'!$E$12+1,1))-AVERAGE(OFFSET($H$3,0,0,'Données projet'!$E$12+1,1))</f>
        <v>679.4570479719705</v>
      </c>
      <c r="CE203" s="59">
        <f t="shared" si="207"/>
        <v>310.8252119379963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148.90858646407509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148.90858646407509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69.456447098398257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146.95547268081216</v>
      </c>
      <c r="CZ203" s="59">
        <f t="shared" si="208"/>
        <v>343.21355872318065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2.1714842474399512</v>
      </c>
      <c r="DG203" s="21">
        <f>EXP(-LN(2)/25)*DG202+(1-EXP(-LN(2)/25))/(LN(2)/25)*Calculateur!DB203*Calculateur!DD203*VLOOKUP('Données projet'!$B$13,Paramètres!$A$1:$I$89,3,0)*0.475*44/12</f>
        <v>0.14534242728107288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2.3168266747210242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69.456447098398257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69.456447098398257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69.456447098398257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69.456447098398257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69.456447098398257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1.2472301622014093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1.1241384564293442</v>
      </c>
      <c r="BA205" s="82">
        <f>EXP(LN('Données projet'!B88)/'Données projet'!A88)</f>
        <v>1.5501671930596579</v>
      </c>
      <c r="BV205" s="82">
        <f>EXP(LN('Données projet'!B114)/'Données projet'!A114)</f>
        <v>1.1289835501862808</v>
      </c>
      <c r="CQ205" s="82">
        <f>EXP(LN('Données projet'!B140)/'Données projet'!A140)</f>
        <v>1.5501671930596579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9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9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9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A5" sqref="A5:L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0" t="s">
        <v>271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laricio</v>
      </c>
      <c r="B6" s="146">
        <f>'Données projet'!D9</f>
        <v>15.367200000000002</v>
      </c>
      <c r="C6" s="147">
        <f ca="1">IF(OR('Données projet'!B9="",'Données projet'!C9="",'Données projet'!C9=0%),0,Calculateur!S3)</f>
        <v>366.78396742205962</v>
      </c>
      <c r="D6" s="147">
        <f>IF(OR('Données projet'!B9="",'Données projet'!C9="",'Données projet'!C9=0%),0,Calculateur!T3)</f>
        <v>271.89887525994988</v>
      </c>
      <c r="E6" s="147">
        <f ca="1">MIN(C6,D6)</f>
        <v>271.89887525994988</v>
      </c>
      <c r="F6" s="147">
        <f ca="1">E6*B6</f>
        <v>4178.3243958947023</v>
      </c>
      <c r="G6" s="147">
        <f ca="1">F6*(100%-'Données projet'!$C$24)*(100%-'Données projet'!$C$25)*(100%-'Données projet'!$C$26)*(100%-'Données projet'!$C$27)</f>
        <v>3196.4181628594474</v>
      </c>
      <c r="H6" s="148">
        <f>IF(OR('Données projet'!B9="",'Données projet'!C9="",'Données projet'!C9=0%),0,AVERAGE(Calculateur!$AC$3:$AC$33)*B6)</f>
        <v>90.489582652608334</v>
      </c>
      <c r="I6" s="149">
        <f>H6*(100%-'Données projet'!$C$24)*(100%-'Données projet'!$C$25)*(100%-'Données projet'!$C$26)*(100%-'Données projet'!$C$27)</f>
        <v>69.224530729245373</v>
      </c>
      <c r="J6" s="150">
        <f>IF(OR('Données projet'!B9="",'Données projet'!C9="",'Données projet'!C9=0%),0,SUM(Calculateur!$V$3:$V$33)*VLOOKUP('Données projet'!$B$9,Paramètres!$A$1:$I$89,9,0)*B6)</f>
        <v>596.36261400000001</v>
      </c>
      <c r="K6" s="151">
        <f>J6*(100%-'Données projet'!$C$24)*(100%-'Données projet'!$C$25)*(100%-'Données projet'!$C$26)*(100%-'Données projet'!$C$27)</f>
        <v>456.21739971</v>
      </c>
      <c r="L6" s="152">
        <f ca="1">G6+I6+K6</f>
        <v>3721.8600932986928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Cèdre de l'Atlas</v>
      </c>
      <c r="B7" s="154">
        <f>'Données projet'!D10</f>
        <v>2.5194000000000001</v>
      </c>
      <c r="C7" s="147">
        <f ca="1">IF(OR('Données projet'!B10="",'Données projet'!C10="",'Données projet'!C10=0%),0,Calculateur!AN3)</f>
        <v>360.04137410460385</v>
      </c>
      <c r="D7" s="147">
        <f>IF(OR('Données projet'!B10="",'Données projet'!C10="",'Données projet'!C10=0%),0,Calculateur!AO3)</f>
        <v>287.81656468701829</v>
      </c>
      <c r="E7" s="147">
        <f t="shared" ref="E7:E15" ca="1" si="0">MIN(C7,D7)</f>
        <v>287.81656468701829</v>
      </c>
      <c r="F7" s="147">
        <f t="shared" ref="F7:F15" ca="1" si="1">E7*B7</f>
        <v>725.12505307247386</v>
      </c>
      <c r="G7" s="147">
        <f ca="1">F7*(100%-'Données projet'!$C$24)*(100%-'Données projet'!$C$25)*(100%-'Données projet'!$C$26)*(100%-'Données projet'!$C$27)</f>
        <v>554.72066560044254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554.72066560044254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Peuplier Koster</v>
      </c>
      <c r="B8" s="154">
        <f>'Données projet'!D11</f>
        <v>1.7898000000000001</v>
      </c>
      <c r="C8" s="147">
        <f ca="1">IF(OR('Données projet'!B11="",'Données projet'!C11="",'Données projet'!C11=0%),0,Calculateur!BI3)</f>
        <v>155.76430449447392</v>
      </c>
      <c r="D8" s="147">
        <f>IF(OR('Données projet'!B11="",'Données projet'!C11="",'Données projet'!C11=0%),0,Calculateur!BJ3)</f>
        <v>363.39275685992129</v>
      </c>
      <c r="E8" s="147">
        <f t="shared" ca="1" si="0"/>
        <v>155.76430449447392</v>
      </c>
      <c r="F8" s="147">
        <f t="shared" ca="1" si="1"/>
        <v>278.78695218420944</v>
      </c>
      <c r="G8" s="147">
        <f ca="1">F8*(100%-'Données projet'!$C$24)*(100%-'Données projet'!$C$25)*(100%-'Données projet'!$C$26)*(100%-'Données projet'!$C$27)</f>
        <v>213.2720184209202</v>
      </c>
      <c r="H8" s="155">
        <f>IF(OR('Données projet'!B11="",'Données projet'!C11="",'Données projet'!C11=0%),0,AVERAGE(Calculateur!$BS$3:$BS$33)*B8)</f>
        <v>25.497994281777991</v>
      </c>
      <c r="I8" s="149">
        <f>H8*(100%-'Données projet'!$C$24)*(100%-'Données projet'!$C$25)*(100%-'Données projet'!$C$26)*(100%-'Données projet'!$C$27)</f>
        <v>19.505965625560162</v>
      </c>
      <c r="J8" s="150">
        <f>IF(OR('Données projet'!B11="",'Données projet'!C11="",'Données projet'!C11=0%),0,SUM(Calculateur!$BL$3:$BL$33)*VLOOKUP('Données projet'!$B$11,Paramètres!$A$1:$I$89,9,0)*B8)</f>
        <v>530.5953884615385</v>
      </c>
      <c r="K8" s="151">
        <f>J8*(100%-'Données projet'!$C$24)*(100%-'Données projet'!$C$25)*(100%-'Données projet'!$C$26)*(100%-'Données projet'!$C$27)</f>
        <v>405.90547217307699</v>
      </c>
      <c r="L8" s="152">
        <f t="shared" ca="1" si="2"/>
        <v>638.68345621955734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 pubescent</v>
      </c>
      <c r="B9" s="154">
        <f>'Données projet'!D12</f>
        <v>1.321944</v>
      </c>
      <c r="C9" s="147">
        <f ca="1">IF(OR('Données projet'!B12="",'Données projet'!C12="",'Données projet'!C12=0%),0,Calculateur!CD3)</f>
        <v>679.4570479719705</v>
      </c>
      <c r="D9" s="147">
        <f>IF(OR('Données projet'!B12="",'Données projet'!C12="",'Données projet'!C12=0%),0,Calculateur!CE3)</f>
        <v>310.8252119379963</v>
      </c>
      <c r="E9" s="147">
        <f t="shared" ca="1" si="0"/>
        <v>310.8252119379963</v>
      </c>
      <c r="F9" s="147">
        <f t="shared" ca="1" si="1"/>
        <v>410.89352397016256</v>
      </c>
      <c r="G9" s="147">
        <f ca="1">F9*(100%-'Données projet'!$C$24)*(100%-'Données projet'!$C$25)*(100%-'Données projet'!$C$26)*(100%-'Données projet'!$C$27)</f>
        <v>314.33354583717437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314.33354583717437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Peuplier Polargo</v>
      </c>
      <c r="B10" s="154">
        <f>'Données projet'!D13</f>
        <v>1.7898000000000001</v>
      </c>
      <c r="C10" s="147">
        <f ca="1">IF(OR('Données projet'!B13="",'Données projet'!C13="",'Données projet'!C13=0%),0,Calculateur!CY3)</f>
        <v>146.95547268081216</v>
      </c>
      <c r="D10" s="147">
        <f>IF(OR('Données projet'!B13="",'Données projet'!C13="",'Données projet'!C13=0%),0,Calculateur!CZ3)</f>
        <v>343.21355872318065</v>
      </c>
      <c r="E10" s="147">
        <f t="shared" ca="1" si="0"/>
        <v>146.95547268081216</v>
      </c>
      <c r="F10" s="147">
        <f t="shared" ca="1" si="1"/>
        <v>263.02090500411759</v>
      </c>
      <c r="G10" s="147">
        <f ca="1">F10*(100%-'Données projet'!$C$24)*(100%-'Données projet'!$C$25)*(100%-'Données projet'!$C$26)*(100%-'Données projet'!$C$27)</f>
        <v>201.21099232814996</v>
      </c>
      <c r="H10" s="155">
        <f>IF(OR('Données projet'!B13="",'Données projet'!C13="",'Données projet'!C13=0%),0,AVERAGE(Calculateur!$DI$3:$DI$33)*B10)</f>
        <v>23.855485447675722</v>
      </c>
      <c r="I10" s="149">
        <f>H10*(100%-'Données projet'!$C$24)*(100%-'Données projet'!$C$25)*(100%-'Données projet'!$C$26)*(100%-'Données projet'!$C$27)</f>
        <v>18.249446367471926</v>
      </c>
      <c r="J10" s="150">
        <f>IF(OR('Données projet'!B13="",'Données projet'!C13="",'Données projet'!C13=0%),0,SUM(Calculateur!$DB$3:$DB$33)*VLOOKUP('Données projet'!$B$13,Paramètres!$A$1:$I$89,9,0)*B10)</f>
        <v>530.5953884615385</v>
      </c>
      <c r="K10" s="151">
        <f>J10*(100%-'Données projet'!$C$24)*(100%-'Données projet'!$C$25)*(100%-'Données projet'!$C$26)*(100%-'Données projet'!$C$27)</f>
        <v>405.90547217307699</v>
      </c>
      <c r="L10" s="152">
        <f t="shared" ca="1" si="2"/>
        <v>625.36591086869885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5856.1508301256654</v>
      </c>
      <c r="G16" s="166">
        <f t="shared" ca="1" si="3"/>
        <v>4479.9553850461343</v>
      </c>
      <c r="H16" s="167">
        <f t="shared" si="3"/>
        <v>139.84306238206204</v>
      </c>
      <c r="I16" s="167">
        <f t="shared" si="3"/>
        <v>106.97994272227746</v>
      </c>
      <c r="J16" s="168">
        <f t="shared" si="3"/>
        <v>1657.5533909230769</v>
      </c>
      <c r="K16" s="168">
        <f t="shared" si="3"/>
        <v>1268.0283440561539</v>
      </c>
      <c r="L16" s="169">
        <f t="shared" ca="1" si="3"/>
        <v>5854.9636718245656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92" t="s">
        <v>246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Peuplier Koster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 pubescent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Peuplier Polargo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80" zoomScaleNormal="80" workbookViewId="0">
      <selection activeCell="E141" sqref="E141:E14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0" t="s">
        <v>272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0" t="s">
        <v>315</v>
      </c>
      <c r="I4" s="270"/>
      <c r="K4" s="294" t="s">
        <v>253</v>
      </c>
      <c r="L4" s="295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4" t="s">
        <v>310</v>
      </c>
      <c r="S7" s="305"/>
      <c r="T7" s="305"/>
      <c r="U7" s="305"/>
      <c r="V7" s="30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-3528.1269264174289</v>
      </c>
      <c r="U10" s="178">
        <f>'Données projet'!D9</f>
        <v>15.367200000000002</v>
      </c>
      <c r="V10" s="177">
        <f>U10*T10</f>
        <v>-54217.432103641921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-5643.0636589727264</v>
      </c>
      <c r="U11" s="178">
        <f>'Données projet'!D10</f>
        <v>2.5194000000000001</v>
      </c>
      <c r="V11" s="177">
        <f t="shared" ref="V11" si="0">U11*T11</f>
        <v>-14217.134582415887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Peuplier Koster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-2700.0755179502248</v>
      </c>
      <c r="U12" s="178">
        <f>'Données projet'!D11</f>
        <v>1.7898000000000001</v>
      </c>
      <c r="V12" s="177">
        <f t="shared" ref="V12:V19" si="1">U12*T12</f>
        <v>-4832.5951620273127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pubescent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-4302.7729080339232</v>
      </c>
      <c r="U13" s="178">
        <f>'Données projet'!D12</f>
        <v>1.321944</v>
      </c>
      <c r="V13" s="177">
        <f t="shared" si="1"/>
        <v>-5688.0248291379967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Peuplier Polargo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-1503.7659096537109</v>
      </c>
      <c r="U14" s="178">
        <f>'Données projet'!D13</f>
        <v>1.7898000000000001</v>
      </c>
      <c r="V14" s="177">
        <f t="shared" si="1"/>
        <v>-2691.4402250982116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7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7"/>
      <c r="H16" s="190"/>
      <c r="I16" s="191"/>
      <c r="J16" s="202"/>
      <c r="K16" s="208"/>
      <c r="L16" s="294" t="s">
        <v>254</v>
      </c>
      <c r="M16" s="295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150+700+1600*(0.55+0.55+0.03)</f>
        <v>2658</v>
      </c>
      <c r="F17" s="230"/>
      <c r="G17" s="297"/>
      <c r="I17" s="195"/>
      <c r="J17" s="202"/>
      <c r="K17" s="208"/>
      <c r="L17" s="267" t="s">
        <v>289</v>
      </c>
      <c r="M17" s="269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220+430</f>
        <v>650</v>
      </c>
      <c r="F18" s="230"/>
      <c r="G18" s="297"/>
      <c r="J18" s="202"/>
      <c r="K18" s="208"/>
      <c r="L18" s="267" t="s">
        <v>255</v>
      </c>
      <c r="M18" s="269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400+430+15%*E17</f>
        <v>1228.7</v>
      </c>
      <c r="F19" s="230"/>
      <c r="G19" s="297"/>
      <c r="H19" s="212" t="s">
        <v>178</v>
      </c>
      <c r="I19" s="212" t="s">
        <v>287</v>
      </c>
      <c r="J19" s="93"/>
      <c r="K19" s="173"/>
      <c r="L19" s="294" t="s">
        <v>288</v>
      </c>
      <c r="M19" s="295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220+430</f>
        <v>650</v>
      </c>
      <c r="F20" s="230"/>
      <c r="G20" s="297"/>
      <c r="H20" s="190">
        <v>1</v>
      </c>
      <c r="I20" s="191">
        <f>(400/SUM(U10:U19)+20)+(200/SUM(U10:U19)+10)</f>
        <v>56.329480803702133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200/SUM(U10:U19)+10</f>
        <v>18.776493601234044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22</v>
      </c>
      <c r="B23" s="181">
        <f>'Données projet'!D36</f>
        <v>52.41</v>
      </c>
      <c r="C23" s="193">
        <v>8.5</v>
      </c>
      <c r="D23" s="182">
        <f>B23*C23</f>
        <v>445.48499999999996</v>
      </c>
      <c r="E23" s="193"/>
      <c r="F23" s="230"/>
      <c r="H23" s="190">
        <v>4</v>
      </c>
      <c r="I23" s="191"/>
      <c r="K23" s="208"/>
      <c r="L23" s="296" t="s">
        <v>260</v>
      </c>
      <c r="M23" s="296"/>
      <c r="N23" s="296"/>
      <c r="O23" s="23"/>
      <c r="P23" s="23"/>
      <c r="Q23" s="234"/>
      <c r="R23" s="23"/>
      <c r="S23" s="36" t="s">
        <v>264</v>
      </c>
      <c r="T23" s="30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-97951.752268002005</v>
      </c>
      <c r="U23" s="309"/>
      <c r="V23" s="30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27</v>
      </c>
      <c r="B24" s="181">
        <f>'Données projet'!D37</f>
        <v>37.840000000000003</v>
      </c>
      <c r="C24" s="193">
        <v>8.5</v>
      </c>
      <c r="D24" s="182">
        <f t="shared" ref="D24:D42" si="2">B24*C24</f>
        <v>321.64000000000004</v>
      </c>
      <c r="E24" s="193"/>
      <c r="F24" s="233"/>
      <c r="H24" s="190">
        <v>5</v>
      </c>
      <c r="I24" s="2">
        <f>8%*(SUM(E17:E22)*U10+SUM(E$48:E53)*U11+SUM(E79:E84)*U12+SUM(E110:E115)*U13+SUM(E141:E146)*U14+SUM(E172:E177)*U15+SUM(E203:E208)*U16+SUM(E234:E239)*U17+SUM(E265:E270)*U18+SUM(E296:E301)*U19)/SUM(U10:U19)</f>
        <v>451.20821227038061</v>
      </c>
      <c r="K24" s="208"/>
      <c r="O24" s="23"/>
      <c r="P24" s="23"/>
      <c r="Q24" s="234"/>
      <c r="R24" s="23"/>
      <c r="S24" s="36" t="s">
        <v>261</v>
      </c>
      <c r="T24" s="31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0"/>
      <c r="V24" s="31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33</v>
      </c>
      <c r="B25" s="181">
        <f>'Données projet'!D38</f>
        <v>50.41</v>
      </c>
      <c r="C25" s="193">
        <v>15.5</v>
      </c>
      <c r="D25" s="182">
        <f t="shared" si="2"/>
        <v>781.3549999999999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11">
        <f ca="1">T23-T24</f>
        <v>-97951.752268002005</v>
      </c>
      <c r="U25" s="311"/>
      <c r="V25" s="31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41</v>
      </c>
      <c r="B26" s="181">
        <f>'Données projet'!D39</f>
        <v>72.13</v>
      </c>
      <c r="C26" s="193">
        <v>15.5</v>
      </c>
      <c r="D26" s="182">
        <f t="shared" si="2"/>
        <v>1118.0149999999999</v>
      </c>
      <c r="E26" s="193"/>
      <c r="F26" s="233"/>
      <c r="G26" s="229"/>
      <c r="H26" s="190">
        <v>7</v>
      </c>
      <c r="I26" s="191">
        <v>20</v>
      </c>
      <c r="K26" s="208"/>
      <c r="L26" s="298" t="s">
        <v>258</v>
      </c>
      <c r="M26" s="299"/>
      <c r="N26" s="299"/>
      <c r="O26" s="299"/>
      <c r="P26" s="300"/>
      <c r="Q26" s="234"/>
      <c r="R26" s="23"/>
      <c r="S26" s="186" t="s">
        <v>265</v>
      </c>
      <c r="T26" s="308" t="str">
        <f ca="1">IF(T25&lt;0,"Votre projet est additionnel","Votre projet n'est pas additionnel")</f>
        <v>Votre projet est additionnel</v>
      </c>
      <c r="U26" s="308"/>
      <c r="V26" s="30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50</v>
      </c>
      <c r="B27" s="181">
        <f>'Données projet'!D40</f>
        <v>70.2</v>
      </c>
      <c r="C27" s="193">
        <v>15.5</v>
      </c>
      <c r="D27" s="182">
        <f t="shared" si="2"/>
        <v>1088.1000000000001</v>
      </c>
      <c r="E27" s="193"/>
      <c r="F27" s="233"/>
      <c r="G27" s="229"/>
      <c r="H27" s="190">
        <v>8</v>
      </c>
      <c r="I27" s="191">
        <v>20</v>
      </c>
      <c r="K27" s="208"/>
      <c r="L27" s="301"/>
      <c r="M27" s="302"/>
      <c r="N27" s="302"/>
      <c r="O27" s="302"/>
      <c r="P27" s="303"/>
      <c r="Q27" s="234"/>
      <c r="R27" s="23"/>
      <c r="S27" s="307" t="s">
        <v>267</v>
      </c>
      <c r="T27" s="307"/>
      <c r="U27" s="307"/>
      <c r="V27" s="30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60</v>
      </c>
      <c r="B28" s="181">
        <f>'Données projet'!D41</f>
        <v>69.849999999999994</v>
      </c>
      <c r="C28" s="193">
        <v>29.5</v>
      </c>
      <c r="D28" s="182">
        <f t="shared" si="2"/>
        <v>2060.5749999999998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70</v>
      </c>
      <c r="B29" s="181">
        <f>'Données projet'!D42</f>
        <v>67.88</v>
      </c>
      <c r="C29" s="193">
        <v>29.5</v>
      </c>
      <c r="D29" s="182">
        <f t="shared" si="2"/>
        <v>2002.4599999999998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327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80</v>
      </c>
      <c r="B30" s="181">
        <f>'Données projet'!D43</f>
        <v>520</v>
      </c>
      <c r="C30" s="193">
        <v>29.5</v>
      </c>
      <c r="D30" s="182">
        <f t="shared" si="2"/>
        <v>15340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328</v>
      </c>
      <c r="U30" s="264">
        <f>SUM(E17:E22)*U10+SUM(E$48:E53)*U11+SUM(E79:E84)*U12+SUM(E110:E115)*U13+SUM(E141:E146)*U14+SUM(E172:E177)*U15+SUM(E203:E208)*U16+SUM(E234:E239)*U17+SUM(E265:E270)*U18+SUM(E296:E301)*U19</f>
        <v>128527.47143999999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326</v>
      </c>
      <c r="U31" s="264">
        <f>SUM(I19:I23)*SUM(U10:U19)</f>
        <v>1711.5257599999998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S32" s="1" t="s">
        <v>325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175</v>
      </c>
      <c r="U33" s="1">
        <f>SUM(U30:U32)</f>
        <v>131738.99719999998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150+700+1600*(1.6+0.55+0.03)</f>
        <v>4338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f>220+430</f>
        <v>650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400+430+15%*E48</f>
        <v>1480.6999999999998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>
        <f>220+430</f>
        <v>650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51</v>
      </c>
      <c r="B54" s="181">
        <f>'Données projet'!D62</f>
        <v>171.3</v>
      </c>
      <c r="C54" s="191">
        <v>43.5</v>
      </c>
      <c r="D54" s="179">
        <f>B54*C54</f>
        <v>7451.55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61</v>
      </c>
      <c r="B55" s="181">
        <f>'Données projet'!D63</f>
        <v>100.2</v>
      </c>
      <c r="C55" s="191">
        <v>43.5</v>
      </c>
      <c r="D55" s="179">
        <f t="shared" ref="D55:D73" si="4">B55*C55</f>
        <v>4358.7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73</v>
      </c>
      <c r="B56" s="181">
        <f>'Données projet'!D64</f>
        <v>102.1</v>
      </c>
      <c r="C56" s="191">
        <v>43.5</v>
      </c>
      <c r="D56" s="179">
        <f t="shared" si="4"/>
        <v>4441.3499999999995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85</v>
      </c>
      <c r="B57" s="181">
        <f>'Données projet'!D65</f>
        <v>94.69</v>
      </c>
      <c r="C57" s="191">
        <v>43.5</v>
      </c>
      <c r="D57" s="179">
        <f t="shared" si="4"/>
        <v>4119.0150000000003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97</v>
      </c>
      <c r="B58" s="181">
        <f>'Données projet'!D66</f>
        <v>89.6</v>
      </c>
      <c r="C58" s="191">
        <v>43.5</v>
      </c>
      <c r="D58" s="179">
        <f t="shared" si="4"/>
        <v>3897.6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109</v>
      </c>
      <c r="B59" s="181">
        <f>'Données projet'!D67</f>
        <v>91.09</v>
      </c>
      <c r="C59" s="191">
        <v>43.5</v>
      </c>
      <c r="D59" s="179">
        <f t="shared" si="4"/>
        <v>3962.415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121</v>
      </c>
      <c r="B60" s="181">
        <f>'Données projet'!D68</f>
        <v>233.54</v>
      </c>
      <c r="C60" s="191">
        <v>43.5</v>
      </c>
      <c r="D60" s="179">
        <f t="shared" si="4"/>
        <v>10158.99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 t="str">
        <f>IF(O59+1&lt;=MIN('Données projet'!$E$9:$E$18),O59+1,"STOP")</f>
        <v>STOP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131</v>
      </c>
      <c r="B61" s="181">
        <f>'Données projet'!D69</f>
        <v>294.08999999999997</v>
      </c>
      <c r="C61" s="191">
        <v>43.5</v>
      </c>
      <c r="D61" s="179">
        <f t="shared" si="4"/>
        <v>12792.914999999999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Peuplier Koster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150+700+200*(8.1+3.5+0.03)</f>
        <v>3176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f>220+430</f>
        <v>650</v>
      </c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f>400+430+15%*E79</f>
        <v>1306.4000000000001</v>
      </c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>
        <f>220+430</f>
        <v>650</v>
      </c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10</v>
      </c>
      <c r="B85" s="181">
        <f>'Données projet'!D88</f>
        <v>0</v>
      </c>
      <c r="C85" s="191">
        <v>31.25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15</v>
      </c>
      <c r="B86" s="181">
        <f>'Données projet'!D89</f>
        <v>0</v>
      </c>
      <c r="C86" s="191">
        <v>31.25</v>
      </c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20</v>
      </c>
      <c r="B87" s="181">
        <f>'Données projet'!D90</f>
        <v>0</v>
      </c>
      <c r="C87" s="191">
        <v>31.25</v>
      </c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22</v>
      </c>
      <c r="B88" s="181">
        <f>'Données projet'!D91</f>
        <v>0</v>
      </c>
      <c r="C88" s="191">
        <v>31.25</v>
      </c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24</v>
      </c>
      <c r="B89" s="181">
        <f>'Données projet'!D92</f>
        <v>0</v>
      </c>
      <c r="C89" s="191">
        <v>31.25</v>
      </c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26</v>
      </c>
      <c r="B90" s="181">
        <f>'Données projet'!D93</f>
        <v>287.82051282051282</v>
      </c>
      <c r="C90" s="191">
        <v>31.25</v>
      </c>
      <c r="D90" s="179">
        <f t="shared" si="6"/>
        <v>8994.3910256410254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 pubescent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150+700+1600*(1.92+0.55+0.03)</f>
        <v>4849.9999999999991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>
        <f>220+430</f>
        <v>650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f>400+430+15%*E110</f>
        <v>1557.5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>
        <f>220+430</f>
        <v>650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42</v>
      </c>
      <c r="B116" s="181">
        <f>'Données projet'!D114</f>
        <v>43.21</v>
      </c>
      <c r="C116" s="191">
        <v>18.5</v>
      </c>
      <c r="D116" s="179">
        <f>B116*C116</f>
        <v>799.38499999999999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50</v>
      </c>
      <c r="B117" s="181">
        <f>'Données projet'!D115</f>
        <v>35.58</v>
      </c>
      <c r="C117" s="191">
        <v>18.5</v>
      </c>
      <c r="D117" s="179">
        <f t="shared" ref="D117:D135" si="8">B117*C117</f>
        <v>658.23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58</v>
      </c>
      <c r="B118" s="181">
        <f>'Données projet'!D116</f>
        <v>44.93</v>
      </c>
      <c r="C118" s="191">
        <v>18.5</v>
      </c>
      <c r="D118" s="179">
        <f t="shared" si="8"/>
        <v>831.20500000000004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66</v>
      </c>
      <c r="B119" s="181">
        <f>'Données projet'!D117</f>
        <v>49.91</v>
      </c>
      <c r="C119" s="191">
        <v>32</v>
      </c>
      <c r="D119" s="179">
        <f t="shared" si="8"/>
        <v>1597.12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74</v>
      </c>
      <c r="B120" s="181">
        <f>'Données projet'!D118</f>
        <v>47.4</v>
      </c>
      <c r="C120" s="191">
        <v>32</v>
      </c>
      <c r="D120" s="179">
        <f t="shared" si="8"/>
        <v>1516.8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84</v>
      </c>
      <c r="B121" s="181">
        <f>'Données projet'!D119</f>
        <v>61.47</v>
      </c>
      <c r="C121" s="191">
        <v>32</v>
      </c>
      <c r="D121" s="179">
        <f t="shared" si="8"/>
        <v>1967.04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94</v>
      </c>
      <c r="B122" s="181">
        <f>'Données projet'!D120</f>
        <v>61.85</v>
      </c>
      <c r="C122" s="191">
        <v>32</v>
      </c>
      <c r="D122" s="179">
        <f t="shared" si="8"/>
        <v>1979.2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104</v>
      </c>
      <c r="B123" s="181">
        <f>'Données projet'!D121</f>
        <v>60.19</v>
      </c>
      <c r="C123" s="191">
        <v>32</v>
      </c>
      <c r="D123" s="179">
        <f t="shared" si="8"/>
        <v>1926.08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114</v>
      </c>
      <c r="B124" s="181">
        <f>'Données projet'!D122</f>
        <v>56.07</v>
      </c>
      <c r="C124" s="191">
        <v>32</v>
      </c>
      <c r="D124" s="179">
        <f t="shared" si="8"/>
        <v>1794.24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124</v>
      </c>
      <c r="B125" s="181">
        <f>'Données projet'!D123</f>
        <v>52.53</v>
      </c>
      <c r="C125" s="191">
        <v>32</v>
      </c>
      <c r="D125" s="179">
        <f t="shared" si="8"/>
        <v>1680.96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134</v>
      </c>
      <c r="B126" s="181">
        <f>'Données projet'!D124</f>
        <v>54.95</v>
      </c>
      <c r="C126" s="191">
        <v>32</v>
      </c>
      <c r="D126" s="179">
        <f t="shared" si="8"/>
        <v>1758.4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144</v>
      </c>
      <c r="B127" s="181">
        <f>'Données projet'!D125</f>
        <v>56.01</v>
      </c>
      <c r="C127" s="191">
        <v>32</v>
      </c>
      <c r="D127" s="179">
        <f t="shared" si="8"/>
        <v>1792.32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154</v>
      </c>
      <c r="B128" s="181">
        <f>'Données projet'!D126</f>
        <v>55.13</v>
      </c>
      <c r="C128" s="191">
        <v>32</v>
      </c>
      <c r="D128" s="179">
        <f t="shared" si="8"/>
        <v>1764.16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164</v>
      </c>
      <c r="B129" s="181">
        <f>'Données projet'!D127</f>
        <v>59.58</v>
      </c>
      <c r="C129" s="191">
        <v>32</v>
      </c>
      <c r="D129" s="179">
        <f t="shared" si="8"/>
        <v>1906.56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174</v>
      </c>
      <c r="B130" s="181">
        <f>'Données projet'!D128</f>
        <v>214.77</v>
      </c>
      <c r="C130" s="191">
        <v>32</v>
      </c>
      <c r="D130" s="179">
        <f t="shared" si="8"/>
        <v>6872.64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177</v>
      </c>
      <c r="B131" s="181">
        <f>'Données projet'!D129</f>
        <v>115.19</v>
      </c>
      <c r="C131" s="191">
        <v>32</v>
      </c>
      <c r="D131" s="179">
        <f t="shared" si="8"/>
        <v>3686.08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180</v>
      </c>
      <c r="B132" s="181">
        <f>'Données projet'!D130</f>
        <v>77.72</v>
      </c>
      <c r="C132" s="191">
        <v>32</v>
      </c>
      <c r="D132" s="179">
        <f t="shared" si="8"/>
        <v>2487.04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183</v>
      </c>
      <c r="B133" s="181">
        <f>'Données projet'!D131</f>
        <v>169.76</v>
      </c>
      <c r="C133" s="191">
        <v>32</v>
      </c>
      <c r="D133" s="179">
        <f t="shared" si="8"/>
        <v>5432.32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Peuplier Polargo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150+700+200*(8.1+3.5+0.03)</f>
        <v>3176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>
        <f>220+430</f>
        <v>650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>
        <f>400+430+15%*E141</f>
        <v>1306.4000000000001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>
        <f>220+430</f>
        <v>650</v>
      </c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10</v>
      </c>
      <c r="B147" s="175">
        <f>'Données projet'!D140</f>
        <v>0</v>
      </c>
      <c r="C147" s="191">
        <v>31.25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15</v>
      </c>
      <c r="B148" s="175">
        <f>'Données projet'!D141</f>
        <v>0</v>
      </c>
      <c r="C148" s="191">
        <v>31.25</v>
      </c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20</v>
      </c>
      <c r="B149" s="175">
        <f>'Données projet'!D142</f>
        <v>0</v>
      </c>
      <c r="C149" s="191">
        <v>31.25</v>
      </c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22</v>
      </c>
      <c r="B150" s="175">
        <f>'Données projet'!D143</f>
        <v>0</v>
      </c>
      <c r="C150" s="191">
        <v>31.25</v>
      </c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24</v>
      </c>
      <c r="B151" s="175">
        <f>'Données projet'!D144</f>
        <v>0</v>
      </c>
      <c r="C151" s="191">
        <v>31.25</v>
      </c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26</v>
      </c>
      <c r="B152" s="175">
        <f>'Données projet'!D145</f>
        <v>287.82051282051282</v>
      </c>
      <c r="C152" s="191">
        <v>31.25</v>
      </c>
      <c r="D152" s="182">
        <f t="shared" si="10"/>
        <v>8994.3910256410254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7edffb7d4e9dabfd78fd8c3eb30367c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a9159a79c62be9832a137a358e0df793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Props1.xml><?xml version="1.0" encoding="utf-8"?>
<ds:datastoreItem xmlns:ds="http://schemas.openxmlformats.org/officeDocument/2006/customXml" ds:itemID="{CA460D39-55C0-479D-B837-9457C0AEA36C}"/>
</file>

<file path=customXml/itemProps2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Aurélien Blond</cp:lastModifiedBy>
  <dcterms:created xsi:type="dcterms:W3CDTF">2021-02-01T08:22:39Z</dcterms:created>
  <dcterms:modified xsi:type="dcterms:W3CDTF">2025-10-28T15:52:15Z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