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PERCHE SOLOGNE\_TIERS\_PROPRIETAIRES_\de COURCY Alain--AD15132\45 SULLY LA CHAPELLE--AD15132P3\LBC Boisement--2024-OTO-110\LBC Montage dossier\Documents techniques\"/>
    </mc:Choice>
  </mc:AlternateContent>
  <xr:revisionPtr revIDLastSave="0" documentId="13_ncr:1_{DEA7A682-AC55-425B-A8D6-369DFAF26128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D39" i="1"/>
  <c r="D38" i="1"/>
  <c r="D37" i="1"/>
  <c r="B40" i="1"/>
  <c r="B39" i="1"/>
  <c r="B38" i="1"/>
  <c r="B37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<sst xmlns="http://schemas.openxmlformats.org/spreadsheetml/2006/main" count="1174" uniqueCount="325">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</sst>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1.9643395456387107</c:v>
                </c:pt>
                <c:pt idx="2">
                  <c:v>2.4881261590493122</c:v>
                </c:pt>
                <c:pt idx="3">
                  <c:v>3.1521355814272169</c:v>
                </c:pt>
                <c:pt idx="4">
                  <c:v>3.9940474607137815</c:v>
                </c:pt>
                <c:pt idx="5">
                  <c:v>5.0617018518733916</c:v>
                </c:pt>
                <c:pt idx="6">
                  <c:v>6.4158478765989528</c:v>
                </c:pt>
                <c:pt idx="7">
                  <c:v>8.1336381885409299</c:v>
                </c:pt>
                <c:pt idx="8">
                  <c:v>10.313072159813103</c:v>
                </c:pt>
                <c:pt idx="9">
                  <c:v>13.078646050443822</c:v>
                </c:pt>
                <c:pt idx="10">
                  <c:v>16.588538898175312</c:v>
                </c:pt>
                <c:pt idx="11">
                  <c:v>21.043752615991185</c:v>
                </c:pt>
                <c:pt idx="12">
                  <c:v>26.699739090732631</c:v>
                </c:pt>
                <c:pt idx="13">
                  <c:v>33.881192669862806</c:v>
                </c:pt>
                <c:pt idx="14">
                  <c:v>43.000871885209015</c:v>
                </c:pt>
                <c:pt idx="15">
                  <c:v>54.5835505298013</c:v>
                </c:pt>
                <c:pt idx="16">
                  <c:v>69.296499219775797</c:v>
                </c:pt>
                <c:pt idx="17">
                  <c:v>72.097411640411309</c:v>
                </c:pt>
                <c:pt idx="18">
                  <c:v>84.940879726900747</c:v>
                </c:pt>
                <c:pt idx="19">
                  <c:v>97.735340024306439</c:v>
                </c:pt>
                <c:pt idx="20">
                  <c:v>110.48812889288915</c:v>
                </c:pt>
                <c:pt idx="21">
                  <c:v>123.20474285264002</c:v>
                </c:pt>
                <c:pt idx="22">
                  <c:v>135.88944708637985</c:v>
                </c:pt>
                <c:pt idx="23">
                  <c:v>148.54564327045384</c:v>
                </c:pt>
                <c:pt idx="24">
                  <c:v>161.17610480411562</c:v>
                </c:pt>
                <c:pt idx="25">
                  <c:v>131.3805809934282</c:v>
                </c:pt>
                <c:pt idx="26">
                  <c:v>145.22863193959552</c:v>
                </c:pt>
                <c:pt idx="27">
                  <c:v>159.045095859724</c:v>
                </c:pt>
                <c:pt idx="28">
                  <c:v>172.83310540506443</c:v>
                </c:pt>
                <c:pt idx="29">
                  <c:v>186.59525174341539</c:v>
                </c:pt>
                <c:pt idx="30">
                  <c:v>200.33371208725899</c:v>
                </c:pt>
                <c:pt idx="31">
                  <c:v>214.05034030829452</c:v>
                </c:pt>
                <c:pt idx="32">
                  <c:v>227.74673305470529</c:v>
                </c:pt>
                <c:pt idx="33">
                  <c:v>241.42427910004292</c:v>
                </c:pt>
                <c:pt idx="34">
                  <c:v>255.08419690542783</c:v>
                </c:pt>
                <c:pt idx="35">
                  <c:v>185.8291698742926</c:v>
                </c:pt>
                <c:pt idx="36">
                  <c:v>196.19212957151399</c:v>
                </c:pt>
                <c:pt idx="37">
                  <c:v>206.54237922535935</c:v>
                </c:pt>
                <c:pt idx="38">
                  <c:v>216.88064609170956</c:v>
                </c:pt>
                <c:pt idx="39">
                  <c:v>227.20758235753067</c:v>
                </c:pt>
                <c:pt idx="40">
                  <c:v>237.52377602402194</c:v>
                </c:pt>
                <c:pt idx="41">
                  <c:v>247.82975979771308</c:v>
                </c:pt>
                <c:pt idx="42">
                  <c:v>258.1260184235453</c:v>
                </c:pt>
                <c:pt idx="43">
                  <c:v>268.41299478550349</c:v>
                </c:pt>
                <c:pt idx="44">
                  <c:v>278.69109502221357</c:v>
                </c:pt>
                <c:pt idx="45">
                  <c:v>288.96069284777406</c:v>
                </c:pt>
                <c:pt idx="46">
                  <c:v>299.2221332257389</c:v>
                </c:pt>
                <c:pt idx="47">
                  <c:v>235.55205191120899</c:v>
                </c:pt>
                <c:pt idx="48">
                  <c:v>240.983453034544</c:v>
                </c:pt>
                <c:pt idx="49">
                  <c:v>246.41206808066656</c:v>
                </c:pt>
                <c:pt idx="50">
                  <c:v>251.83796719400107</c:v>
                </c:pt>
                <c:pt idx="51">
                  <c:v>257.26121724466873</c:v>
                </c:pt>
                <c:pt idx="52">
                  <c:v>262.681882048707</c:v>
                </c:pt>
                <c:pt idx="53">
                  <c:v>268.1000225691381</c:v>
                </c:pt>
                <c:pt idx="54">
                  <c:v>273.51569709991253</c:v>
                </c:pt>
                <c:pt idx="55">
                  <c:v>278.92896143450378</c:v>
                </c:pt>
                <c:pt idx="56">
                  <c:v>284.33986902071587</c:v>
                </c:pt>
                <c:pt idx="57">
                  <c:v>289.74847110307604</c:v>
                </c:pt>
                <c:pt idx="58">
                  <c:v>295.15481685402756</c:v>
                </c:pt>
                <c:pt idx="59">
                  <c:v>300.55895349499815</c:v>
                </c:pt>
                <c:pt idx="60">
                  <c:v>305.96092640829397</c:v>
                </c:pt>
                <c:pt idx="61">
                  <c:v>311.36077924067189</c:v>
                </c:pt>
                <c:pt idx="62">
                  <c:v>316.75855399934289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2.6058157074213115</c:v>
                </c:pt>
                <c:pt idx="2">
                  <c:v>2.9388981958826812</c:v>
                </c:pt>
                <c:pt idx="3">
                  <c:v>3.3147063680660409</c:v>
                </c:pt>
                <c:pt idx="4">
                  <c:v>3.738739018855131</c:v>
                </c:pt>
                <c:pt idx="5">
                  <c:v>4.2172048404297211</c:v>
                </c:pt>
                <c:pt idx="6">
                  <c:v>4.7571143357586561</c:v>
                </c:pt>
                <c:pt idx="7">
                  <c:v>5.3663836644100629</c:v>
                </c:pt>
                <c:pt idx="8">
                  <c:v>6.0539519735640006</c:v>
                </c:pt>
                <c:pt idx="9">
                  <c:v>6.8299139696632656</c:v>
                </c:pt>
                <c:pt idx="10">
                  <c:v>7.705669715162248</c:v>
                </c:pt>
                <c:pt idx="11">
                  <c:v>8.6940938937987511</c:v>
                </c:pt>
                <c:pt idx="12">
                  <c:v>9.8097270806406467</c:v>
                </c:pt>
                <c:pt idx="13">
                  <c:v>11.068991884284154</c:v>
                </c:pt>
                <c:pt idx="14">
                  <c:v>12.490437203021294</c:v>
                </c:pt>
                <c:pt idx="15">
                  <c:v>14.095014260227167</c:v>
                </c:pt>
                <c:pt idx="16">
                  <c:v>15.906388563064466</c:v>
                </c:pt>
                <c:pt idx="17">
                  <c:v>17.951292470128077</c:v>
                </c:pt>
                <c:pt idx="18">
                  <c:v>20.259923666074457</c:v>
                </c:pt>
                <c:pt idx="19">
                  <c:v>22.866395533897432</c:v>
                </c:pt>
                <c:pt idx="20">
                  <c:v>25.809246198841763</c:v>
                </c:pt>
                <c:pt idx="21">
                  <c:v>29.132013903890439</c:v>
                </c:pt>
                <c:pt idx="22">
                  <c:v>32.883887378784486</c:v>
                </c:pt>
                <c:pt idx="23">
                  <c:v>37.120440997869338</c:v>
                </c:pt>
                <c:pt idx="24">
                  <c:v>41.904465803945499</c:v>
                </c:pt>
                <c:pt idx="25">
                  <c:v>47.306908925234751</c:v>
                </c:pt>
                <c:pt idx="26">
                  <c:v>53.407935552621325</c:v>
                </c:pt>
                <c:pt idx="27">
                  <c:v>60.298129499458753</c:v>
                </c:pt>
                <c:pt idx="28">
                  <c:v>68.079850464695113</c:v>
                </c:pt>
                <c:pt idx="29">
                  <c:v>76.86876849383026</c:v>
                </c:pt>
                <c:pt idx="30">
                  <c:v>86.79559881744774</c:v>
                </c:pt>
                <c:pt idx="31">
                  <c:v>98.008063284691005</c:v>
                </c:pt>
                <c:pt idx="32">
                  <c:v>110.67310804539501</c:v>
                </c:pt>
                <c:pt idx="33">
                  <c:v>124.97941102204733</c:v>
                </c:pt>
                <c:pt idx="34">
                  <c:v>141.14021711065166</c:v>
                </c:pt>
                <c:pt idx="35">
                  <c:v>159.39654402501074</c:v>
                </c:pt>
                <c:pt idx="36">
                  <c:v>144.43580369901201</c:v>
                </c:pt>
                <c:pt idx="37">
                  <c:v>155.06938697591292</c:v>
                </c:pt>
                <c:pt idx="38">
                  <c:v>165.6856430141242</c:v>
                </c:pt>
                <c:pt idx="39">
                  <c:v>176.28583963282654</c:v>
                </c:pt>
                <c:pt idx="40">
                  <c:v>186.87107951156955</c:v>
                </c:pt>
                <c:pt idx="41">
                  <c:v>170.39875516780384</c:v>
                </c:pt>
                <c:pt idx="42">
                  <c:v>181.38424113596446</c:v>
                </c:pt>
                <c:pt idx="43">
                  <c:v>192.35415851868379</c:v>
                </c:pt>
                <c:pt idx="44">
                  <c:v>203.30952104980261</c:v>
                </c:pt>
                <c:pt idx="45">
                  <c:v>214.25122416862826</c:v>
                </c:pt>
                <c:pt idx="46">
                  <c:v>197.8336006510946</c:v>
                </c:pt>
                <c:pt idx="47">
                  <c:v>208.78202813507099</c:v>
                </c:pt>
                <c:pt idx="48">
                  <c:v>219.71720575536781</c:v>
                </c:pt>
                <c:pt idx="49">
                  <c:v>230.63988637237389</c:v>
                </c:pt>
                <c:pt idx="50">
                  <c:v>241.55074565033257</c:v>
                </c:pt>
                <c:pt idx="51">
                  <c:v>225.18006429243292</c:v>
                </c:pt>
                <c:pt idx="52">
                  <c:v>236.09675414607651</c:v>
                </c:pt>
                <c:pt idx="53">
                  <c:v>247.00193510423426</c:v>
                </c:pt>
                <c:pt idx="54">
                  <c:v>257.896187237346</c:v>
                </c:pt>
                <c:pt idx="55">
                  <c:v>268.780037569483</c:v>
                </c:pt>
                <c:pt idx="56">
                  <c:v>252.06130672849841</c:v>
                </c:pt>
                <c:pt idx="57">
                  <c:v>262.56193918616856</c:v>
                </c:pt>
                <c:pt idx="58">
                  <c:v>273.05309633794872</c:v>
                </c:pt>
                <c:pt idx="59">
                  <c:v>283.53519379457322</c:v>
                </c:pt>
                <c:pt idx="60">
                  <c:v>294.00861390700948</c:v>
                </c:pt>
                <c:pt idx="61">
                  <c:v>277.32465175371141</c:v>
                </c:pt>
                <c:pt idx="62">
                  <c:v>287.80316958954148</c:v>
                </c:pt>
                <c:pt idx="63">
                  <c:v>298.27315720720395</c:v>
                </c:pt>
                <c:pt idx="64">
                  <c:v>308.73495641743983</c:v>
                </c:pt>
                <c:pt idx="65">
                  <c:v>319.18888396087686</c:v>
                </c:pt>
                <c:pt idx="66">
                  <c:v>301.76131730306923</c:v>
                </c:pt>
                <c:pt idx="67">
                  <c:v>311.445977545365</c:v>
                </c:pt>
                <c:pt idx="68">
                  <c:v>321.12395650175074</c:v>
                </c:pt>
                <c:pt idx="69">
                  <c:v>330.79548404889391</c:v>
                </c:pt>
                <c:pt idx="70">
                  <c:v>340.46077551603139</c:v>
                </c:pt>
                <c:pt idx="71">
                  <c:v>323.0587710327315</c:v>
                </c:pt>
                <c:pt idx="72">
                  <c:v>332.72903457884451</c:v>
                </c:pt>
                <c:pt idx="73">
                  <c:v>342.393103483792</c:v>
                </c:pt>
                <c:pt idx="74">
                  <c:v>352.05117734371055</c:v>
                </c:pt>
                <c:pt idx="75">
                  <c:v>361.70344390352278</c:v>
                </c:pt>
                <c:pt idx="76">
                  <c:v>343.55238507891909</c:v>
                </c:pt>
                <c:pt idx="77">
                  <c:v>352.43737829470524</c:v>
                </c:pt>
                <c:pt idx="78">
                  <c:v>361.31746248867267</c:v>
                </c:pt>
                <c:pt idx="79">
                  <c:v>370.19277539866533</c:v>
                </c:pt>
                <c:pt idx="80">
                  <c:v>379.06344761508905</c:v>
                </c:pt>
                <c:pt idx="81">
                  <c:v>360.54547259299096</c:v>
                </c:pt>
                <c:pt idx="82">
                  <c:v>369.03539178839691</c:v>
                </c:pt>
                <c:pt idx="83">
                  <c:v>377.52104986809326</c:v>
                </c:pt>
                <c:pt idx="84">
                  <c:v>386.00255617832909</c:v>
                </c:pt>
                <c:pt idx="85">
                  <c:v>394.4800148650682</c:v>
                </c:pt>
                <c:pt idx="86">
                  <c:v>375.5928596226683</c:v>
                </c:pt>
                <c:pt idx="87">
                  <c:v>383.68982380189919</c:v>
                </c:pt>
                <c:pt idx="88">
                  <c:v>391.78307456466774</c:v>
                </c:pt>
                <c:pt idx="89">
                  <c:v>399.87269948886461</c:v>
                </c:pt>
                <c:pt idx="90">
                  <c:v>407.95878231757433</c:v>
                </c:pt>
                <c:pt idx="91">
                  <c:v>388.31498751962249</c:v>
                </c:pt>
                <c:pt idx="92">
                  <c:v>395.63572388568315</c:v>
                </c:pt>
                <c:pt idx="93">
                  <c:v>402.95352523018437</c:v>
                </c:pt>
                <c:pt idx="94">
                  <c:v>410.2684524106769</c:v>
                </c:pt>
                <c:pt idx="95">
                  <c:v>417.58056393601947</c:v>
                </c:pt>
                <c:pt idx="96">
                  <c:v>397.56174311317301</c:v>
                </c:pt>
                <c:pt idx="97">
                  <c:v>404.49374675366954</c:v>
                </c:pt>
                <c:pt idx="98">
                  <c:v>411.42318205612014</c:v>
                </c:pt>
                <c:pt idx="99">
                  <c:v>418.35009841196273</c:v>
                </c:pt>
                <c:pt idx="100">
                  <c:v>425.27454344239959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2.6058157074213115</c:v>
                </c:pt>
                <c:pt idx="2">
                  <c:v>2.9388981958826812</c:v>
                </c:pt>
                <c:pt idx="3">
                  <c:v>3.3147063680660409</c:v>
                </c:pt>
                <c:pt idx="4">
                  <c:v>3.738739018855131</c:v>
                </c:pt>
                <c:pt idx="5">
                  <c:v>4.2172048404297211</c:v>
                </c:pt>
                <c:pt idx="6">
                  <c:v>4.7571143357586561</c:v>
                </c:pt>
                <c:pt idx="7">
                  <c:v>5.3663836644100629</c:v>
                </c:pt>
                <c:pt idx="8">
                  <c:v>6.0539519735640006</c:v>
                </c:pt>
                <c:pt idx="9">
                  <c:v>6.8299139696632656</c:v>
                </c:pt>
                <c:pt idx="10">
                  <c:v>7.705669715162248</c:v>
                </c:pt>
                <c:pt idx="11">
                  <c:v>8.6940938937987511</c:v>
                </c:pt>
                <c:pt idx="12">
                  <c:v>9.8097270806406467</c:v>
                </c:pt>
                <c:pt idx="13">
                  <c:v>11.068991884284154</c:v>
                </c:pt>
                <c:pt idx="14">
                  <c:v>12.490437203021294</c:v>
                </c:pt>
                <c:pt idx="15">
                  <c:v>14.095014260227167</c:v>
                </c:pt>
                <c:pt idx="16">
                  <c:v>15.906388563064466</c:v>
                </c:pt>
                <c:pt idx="17">
                  <c:v>17.951292470128077</c:v>
                </c:pt>
                <c:pt idx="18">
                  <c:v>20.259923666074457</c:v>
                </c:pt>
                <c:pt idx="19">
                  <c:v>22.866395533897432</c:v>
                </c:pt>
                <c:pt idx="20">
                  <c:v>25.809246198841763</c:v>
                </c:pt>
                <c:pt idx="21">
                  <c:v>29.132013903890439</c:v>
                </c:pt>
                <c:pt idx="22">
                  <c:v>32.883887378784486</c:v>
                </c:pt>
                <c:pt idx="23">
                  <c:v>37.120440997869338</c:v>
                </c:pt>
                <c:pt idx="24">
                  <c:v>41.904465803945499</c:v>
                </c:pt>
                <c:pt idx="25">
                  <c:v>47.306908925234751</c:v>
                </c:pt>
                <c:pt idx="26">
                  <c:v>53.407935552621325</c:v>
                </c:pt>
                <c:pt idx="27">
                  <c:v>60.298129499458753</c:v>
                </c:pt>
                <c:pt idx="28">
                  <c:v>68.079850464695113</c:v>
                </c:pt>
                <c:pt idx="29">
                  <c:v>76.86876849383026</c:v>
                </c:pt>
                <c:pt idx="30">
                  <c:v>86.79559881744774</c:v>
                </c:pt>
                <c:pt idx="31">
                  <c:v>98.008063284691005</c:v>
                </c:pt>
                <c:pt idx="32">
                  <c:v>110.67310804539501</c:v>
                </c:pt>
                <c:pt idx="33">
                  <c:v>124.97941102204733</c:v>
                </c:pt>
                <c:pt idx="34">
                  <c:v>141.14021711065166</c:v>
                </c:pt>
                <c:pt idx="35">
                  <c:v>159.39654402501074</c:v>
                </c:pt>
                <c:pt idx="36">
                  <c:v>144.43580369901201</c:v>
                </c:pt>
                <c:pt idx="37">
                  <c:v>155.06938697591292</c:v>
                </c:pt>
                <c:pt idx="38">
                  <c:v>165.6856430141242</c:v>
                </c:pt>
                <c:pt idx="39">
                  <c:v>176.28583963282654</c:v>
                </c:pt>
                <c:pt idx="40">
                  <c:v>186.87107951156955</c:v>
                </c:pt>
                <c:pt idx="41">
                  <c:v>170.39875516780384</c:v>
                </c:pt>
                <c:pt idx="42">
                  <c:v>181.38424113596446</c:v>
                </c:pt>
                <c:pt idx="43">
                  <c:v>192.35415851868379</c:v>
                </c:pt>
                <c:pt idx="44">
                  <c:v>203.30952104980261</c:v>
                </c:pt>
                <c:pt idx="45">
                  <c:v>214.25122416862826</c:v>
                </c:pt>
                <c:pt idx="46">
                  <c:v>197.8336006510946</c:v>
                </c:pt>
                <c:pt idx="47">
                  <c:v>208.78202813507099</c:v>
                </c:pt>
                <c:pt idx="48">
                  <c:v>219.71720575536781</c:v>
                </c:pt>
                <c:pt idx="49">
                  <c:v>230.63988637237389</c:v>
                </c:pt>
                <c:pt idx="50">
                  <c:v>241.55074565033257</c:v>
                </c:pt>
                <c:pt idx="51">
                  <c:v>225.18006429243292</c:v>
                </c:pt>
                <c:pt idx="52">
                  <c:v>236.09675414607651</c:v>
                </c:pt>
                <c:pt idx="53">
                  <c:v>247.00193510423426</c:v>
                </c:pt>
                <c:pt idx="54">
                  <c:v>257.896187237346</c:v>
                </c:pt>
                <c:pt idx="55">
                  <c:v>268.780037569483</c:v>
                </c:pt>
                <c:pt idx="56">
                  <c:v>252.06130672849841</c:v>
                </c:pt>
                <c:pt idx="57">
                  <c:v>262.56193918616856</c:v>
                </c:pt>
                <c:pt idx="58">
                  <c:v>273.05309633794872</c:v>
                </c:pt>
                <c:pt idx="59">
                  <c:v>283.53519379457322</c:v>
                </c:pt>
                <c:pt idx="60">
                  <c:v>294.00861390700948</c:v>
                </c:pt>
                <c:pt idx="61">
                  <c:v>277.32465175371141</c:v>
                </c:pt>
                <c:pt idx="62">
                  <c:v>287.80316958954148</c:v>
                </c:pt>
                <c:pt idx="63">
                  <c:v>298.27315720720395</c:v>
                </c:pt>
                <c:pt idx="64">
                  <c:v>308.73495641743983</c:v>
                </c:pt>
                <c:pt idx="65">
                  <c:v>319.18888396087686</c:v>
                </c:pt>
                <c:pt idx="66">
                  <c:v>301.76131730306923</c:v>
                </c:pt>
                <c:pt idx="67">
                  <c:v>311.445977545365</c:v>
                </c:pt>
                <c:pt idx="68">
                  <c:v>321.12395650175074</c:v>
                </c:pt>
                <c:pt idx="69">
                  <c:v>330.79548404889391</c:v>
                </c:pt>
                <c:pt idx="70">
                  <c:v>340.46077551603139</c:v>
                </c:pt>
                <c:pt idx="71">
                  <c:v>323.0587710327315</c:v>
                </c:pt>
                <c:pt idx="72">
                  <c:v>332.72903457884451</c:v>
                </c:pt>
                <c:pt idx="73">
                  <c:v>342.393103483792</c:v>
                </c:pt>
                <c:pt idx="74">
                  <c:v>352.05117734371055</c:v>
                </c:pt>
                <c:pt idx="75">
                  <c:v>361.70344390352278</c:v>
                </c:pt>
                <c:pt idx="76">
                  <c:v>343.55238507891909</c:v>
                </c:pt>
                <c:pt idx="77">
                  <c:v>352.43737829470524</c:v>
                </c:pt>
                <c:pt idx="78">
                  <c:v>361.31746248867267</c:v>
                </c:pt>
                <c:pt idx="79">
                  <c:v>370.19277539866533</c:v>
                </c:pt>
                <c:pt idx="80">
                  <c:v>379.06344761508905</c:v>
                </c:pt>
                <c:pt idx="81">
                  <c:v>360.54547259299096</c:v>
                </c:pt>
                <c:pt idx="82">
                  <c:v>369.03539178839691</c:v>
                </c:pt>
                <c:pt idx="83">
                  <c:v>377.52104986809326</c:v>
                </c:pt>
                <c:pt idx="84">
                  <c:v>386.00255617832909</c:v>
                </c:pt>
                <c:pt idx="85">
                  <c:v>394.4800148650682</c:v>
                </c:pt>
                <c:pt idx="86">
                  <c:v>375.5928596226683</c:v>
                </c:pt>
                <c:pt idx="87">
                  <c:v>383.68982380189919</c:v>
                </c:pt>
                <c:pt idx="88">
                  <c:v>391.78307456466774</c:v>
                </c:pt>
                <c:pt idx="89">
                  <c:v>399.87269948886461</c:v>
                </c:pt>
                <c:pt idx="90">
                  <c:v>407.95878231757433</c:v>
                </c:pt>
                <c:pt idx="91">
                  <c:v>388.31498751962249</c:v>
                </c:pt>
                <c:pt idx="92">
                  <c:v>395.63572388568315</c:v>
                </c:pt>
                <c:pt idx="93">
                  <c:v>402.95352523018437</c:v>
                </c:pt>
                <c:pt idx="94">
                  <c:v>410.2684524106769</c:v>
                </c:pt>
                <c:pt idx="95">
                  <c:v>417.58056393601947</c:v>
                </c:pt>
                <c:pt idx="96">
                  <c:v>397.56174311317301</c:v>
                </c:pt>
                <c:pt idx="97">
                  <c:v>404.49374675366954</c:v>
                </c:pt>
                <c:pt idx="98">
                  <c:v>411.42318205612014</c:v>
                </c:pt>
                <c:pt idx="99">
                  <c:v>418.35009841196273</c:v>
                </c:pt>
                <c:pt idx="100">
                  <c:v>425.27454344239959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4" zoomScale="80" zoomScaleNormal="80" workbookViewId="0">
      <selection activeCell="B36" sqref="B3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4.01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0.6</v>
      </c>
      <c r="D9" s="33">
        <f t="shared" ref="D9:D18" si="0">C9*$C$5</f>
        <v>2.4059999999999997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0.2</v>
      </c>
      <c r="D10" s="33">
        <f t="shared" si="0"/>
        <v>0.80200000000000005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14</v>
      </c>
      <c r="C11" s="32">
        <v>0.2</v>
      </c>
      <c r="D11" s="33">
        <f t="shared" si="0"/>
        <v>0.80200000000000005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4.01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16</v>
      </c>
      <c r="B36" s="60">
        <v>50.8</v>
      </c>
      <c r="C36" s="60">
        <v>1</v>
      </c>
      <c r="D36" s="60">
        <v>7.6</v>
      </c>
      <c r="E36" s="51"/>
      <c r="F36" s="51"/>
      <c r="G36" s="51">
        <v>0.3</v>
      </c>
      <c r="H36" s="51">
        <v>0.7</v>
      </c>
      <c r="I36" s="49">
        <f>IFERROR(B36/A36,"")</f>
        <v>3.1749999999999998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24</v>
      </c>
      <c r="B37" s="60">
        <f>101.2+19.7</f>
        <v>120.9</v>
      </c>
      <c r="C37" s="60">
        <v>2</v>
      </c>
      <c r="D37" s="60">
        <f>19.7+13.8</f>
        <v>33.5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9.7125000000000021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34</v>
      </c>
      <c r="B38" s="60">
        <f>155.3+38.3</f>
        <v>193.60000000000002</v>
      </c>
      <c r="C38" s="60">
        <v>3</v>
      </c>
      <c r="D38" s="60">
        <f>38.3+23.4</f>
        <v>61.699999999999996</v>
      </c>
      <c r="E38" s="51"/>
      <c r="F38" s="51"/>
      <c r="G38" s="51"/>
      <c r="H38" s="51"/>
      <c r="I38" s="53">
        <f t="shared" si="1"/>
        <v>10.620000000000001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46</v>
      </c>
      <c r="B39" s="60">
        <f>205.1+22.9</f>
        <v>228</v>
      </c>
      <c r="C39" s="60">
        <v>4</v>
      </c>
      <c r="D39" s="60">
        <f>22.9+30.9</f>
        <v>53.8</v>
      </c>
      <c r="E39" s="51"/>
      <c r="F39" s="51"/>
      <c r="G39" s="51"/>
      <c r="H39" s="51"/>
      <c r="I39" s="49">
        <f t="shared" si="1"/>
        <v>8.0083333333333311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62</v>
      </c>
      <c r="B40" s="60">
        <f>232.3+9.4</f>
        <v>241.70000000000002</v>
      </c>
      <c r="C40" s="60" t="s">
        <v>324</v>
      </c>
      <c r="D40" s="60">
        <f>241.7</f>
        <v>241.7</v>
      </c>
      <c r="E40" s="51"/>
      <c r="F40" s="51"/>
      <c r="G40" s="51"/>
      <c r="H40" s="51"/>
      <c r="I40" s="49">
        <f t="shared" si="1"/>
        <v>4.2187500000000018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35</v>
      </c>
      <c r="B62" s="60">
        <v>79</v>
      </c>
      <c r="C62" s="60">
        <v>1</v>
      </c>
      <c r="D62" s="60">
        <v>13</v>
      </c>
      <c r="E62" s="51"/>
      <c r="F62" s="51"/>
      <c r="G62" s="51"/>
      <c r="H62" s="51"/>
      <c r="I62" s="53">
        <f>IFERROR(B62/A62,"")</f>
        <v>2.2571428571428571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40</v>
      </c>
      <c r="B63" s="60">
        <v>93</v>
      </c>
      <c r="C63" s="60">
        <v>2</v>
      </c>
      <c r="D63" s="60">
        <v>14</v>
      </c>
      <c r="E63" s="51"/>
      <c r="F63" s="51"/>
      <c r="G63" s="51"/>
      <c r="H63" s="51"/>
      <c r="I63" s="49">
        <f>IF(A63&lt;&gt;0,(B63-(B62-D62))/(A63-A62),"")</f>
        <v>5.4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45</v>
      </c>
      <c r="B64" s="60">
        <v>107</v>
      </c>
      <c r="C64" s="60">
        <v>3</v>
      </c>
      <c r="D64" s="60">
        <v>14</v>
      </c>
      <c r="E64" s="51"/>
      <c r="F64" s="51"/>
      <c r="G64" s="51"/>
      <c r="H64" s="51"/>
      <c r="I64" s="49">
        <f>IF(A64&lt;&gt;0,(B64-(B63-D63))/(A64-A63),"")</f>
        <v>5.6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121</v>
      </c>
      <c r="C65" s="60">
        <v>4</v>
      </c>
      <c r="D65" s="60">
        <v>14</v>
      </c>
      <c r="E65" s="51"/>
      <c r="F65" s="51"/>
      <c r="G65" s="51"/>
      <c r="H65" s="51"/>
      <c r="I65" s="49">
        <f>IF(A65&lt;&gt;0,(B65-(B64-D64))/(A65-A64),"")</f>
        <v>5.6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55</v>
      </c>
      <c r="B66" s="60">
        <v>135</v>
      </c>
      <c r="C66" s="60">
        <v>5</v>
      </c>
      <c r="D66" s="60">
        <v>14</v>
      </c>
      <c r="E66" s="51"/>
      <c r="F66" s="51"/>
      <c r="G66" s="51"/>
      <c r="H66" s="51"/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60</v>
      </c>
      <c r="B67" s="60">
        <v>148</v>
      </c>
      <c r="C67" s="60">
        <v>6</v>
      </c>
      <c r="D67" s="60">
        <v>14</v>
      </c>
      <c r="E67" s="51"/>
      <c r="F67" s="51"/>
      <c r="G67" s="51"/>
      <c r="H67" s="51"/>
      <c r="I67" s="49">
        <f t="shared" si="2"/>
        <v>5.4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65</v>
      </c>
      <c r="B68" s="60">
        <v>161</v>
      </c>
      <c r="C68" s="60">
        <v>7</v>
      </c>
      <c r="D68" s="60">
        <v>14</v>
      </c>
      <c r="E68" s="51"/>
      <c r="F68" s="51"/>
      <c r="G68" s="51"/>
      <c r="H68" s="51"/>
      <c r="I68" s="49">
        <f t="shared" si="2"/>
        <v>5.4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70</v>
      </c>
      <c r="B69" s="50">
        <v>172</v>
      </c>
      <c r="C69" s="50">
        <v>8</v>
      </c>
      <c r="D69" s="50">
        <v>14</v>
      </c>
      <c r="E69" s="51"/>
      <c r="F69" s="51"/>
      <c r="G69" s="51"/>
      <c r="H69" s="51"/>
      <c r="I69" s="49">
        <f t="shared" si="2"/>
        <v>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75</v>
      </c>
      <c r="B70" s="50">
        <v>183</v>
      </c>
      <c r="C70" s="50">
        <v>9</v>
      </c>
      <c r="D70" s="50">
        <v>14</v>
      </c>
      <c r="E70" s="51"/>
      <c r="F70" s="51"/>
      <c r="G70" s="51"/>
      <c r="H70" s="51"/>
      <c r="I70" s="49">
        <f t="shared" si="2"/>
        <v>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80</v>
      </c>
      <c r="B71" s="50">
        <v>192</v>
      </c>
      <c r="C71" s="50">
        <v>10</v>
      </c>
      <c r="D71" s="50">
        <v>14</v>
      </c>
      <c r="E71" s="51"/>
      <c r="F71" s="51"/>
      <c r="G71" s="51"/>
      <c r="H71" s="51"/>
      <c r="I71" s="49">
        <f t="shared" si="2"/>
        <v>4.5999999999999996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85</v>
      </c>
      <c r="B72" s="50">
        <v>200</v>
      </c>
      <c r="C72" s="50">
        <v>11</v>
      </c>
      <c r="D72" s="50">
        <v>14</v>
      </c>
      <c r="E72" s="51"/>
      <c r="F72" s="51"/>
      <c r="G72" s="51"/>
      <c r="H72" s="51"/>
      <c r="I72" s="49">
        <f t="shared" si="2"/>
        <v>4.4000000000000004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90</v>
      </c>
      <c r="B73" s="50">
        <v>207</v>
      </c>
      <c r="C73" s="50">
        <v>12</v>
      </c>
      <c r="D73" s="50">
        <v>14</v>
      </c>
      <c r="E73" s="51"/>
      <c r="F73" s="51"/>
      <c r="G73" s="51"/>
      <c r="H73" s="51"/>
      <c r="I73" s="49">
        <f t="shared" si="2"/>
        <v>4.2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95</v>
      </c>
      <c r="B74" s="50">
        <v>212</v>
      </c>
      <c r="C74" s="50">
        <v>13</v>
      </c>
      <c r="D74" s="50">
        <v>14</v>
      </c>
      <c r="E74" s="51"/>
      <c r="F74" s="51"/>
      <c r="G74" s="51"/>
      <c r="H74" s="51"/>
      <c r="I74" s="49">
        <f t="shared" si="2"/>
        <v>3.8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100</v>
      </c>
      <c r="B75" s="50">
        <v>216</v>
      </c>
      <c r="C75" s="50" t="s">
        <v>324</v>
      </c>
      <c r="D75" s="50">
        <v>216</v>
      </c>
      <c r="E75" s="51"/>
      <c r="F75" s="51"/>
      <c r="G75" s="51"/>
      <c r="H75" s="51"/>
      <c r="I75" s="49">
        <f t="shared" si="2"/>
        <v>3.6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35</v>
      </c>
      <c r="B88" s="60">
        <v>79</v>
      </c>
      <c r="C88" s="60">
        <v>1</v>
      </c>
      <c r="D88" s="60">
        <v>13</v>
      </c>
      <c r="E88" s="51"/>
      <c r="F88" s="51"/>
      <c r="G88" s="51"/>
      <c r="H88" s="87"/>
      <c r="I88" s="53">
        <f>IFERROR(B88/A88,"")</f>
        <v>2.2571428571428571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40</v>
      </c>
      <c r="B89" s="60">
        <v>93</v>
      </c>
      <c r="C89" s="60">
        <v>2</v>
      </c>
      <c r="D89" s="60">
        <v>14</v>
      </c>
      <c r="E89" s="51"/>
      <c r="F89" s="51"/>
      <c r="G89" s="51"/>
      <c r="H89" s="87"/>
      <c r="I89" s="53">
        <f t="shared" ref="I89:I107" si="3">IF(A89&lt;&gt;0,(B89-(B88-D88))/(A89-A88),"")</f>
        <v>5.4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45</v>
      </c>
      <c r="B90" s="60">
        <v>107</v>
      </c>
      <c r="C90" s="60">
        <v>3</v>
      </c>
      <c r="D90" s="60">
        <v>14</v>
      </c>
      <c r="E90" s="87"/>
      <c r="F90" s="87"/>
      <c r="G90" s="87"/>
      <c r="H90" s="87"/>
      <c r="I90" s="53">
        <f t="shared" si="3"/>
        <v>5.6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121</v>
      </c>
      <c r="C91" s="60">
        <v>4</v>
      </c>
      <c r="D91" s="60">
        <v>14</v>
      </c>
      <c r="E91" s="87"/>
      <c r="F91" s="87"/>
      <c r="G91" s="87"/>
      <c r="H91" s="87"/>
      <c r="I91" s="53">
        <f t="shared" si="3"/>
        <v>5.6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55</v>
      </c>
      <c r="B92" s="60">
        <v>135</v>
      </c>
      <c r="C92" s="60">
        <v>5</v>
      </c>
      <c r="D92" s="60">
        <v>14</v>
      </c>
      <c r="E92" s="87"/>
      <c r="F92" s="87"/>
      <c r="G92" s="87"/>
      <c r="H92" s="87"/>
      <c r="I92" s="53">
        <f t="shared" si="3"/>
        <v>5.6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60</v>
      </c>
      <c r="B93" s="60">
        <v>148</v>
      </c>
      <c r="C93" s="60">
        <v>6</v>
      </c>
      <c r="D93" s="60">
        <v>14</v>
      </c>
      <c r="E93" s="87"/>
      <c r="F93" s="87"/>
      <c r="G93" s="87"/>
      <c r="H93" s="87"/>
      <c r="I93" s="53">
        <f t="shared" si="3"/>
        <v>5.4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65</v>
      </c>
      <c r="B94" s="60">
        <v>161</v>
      </c>
      <c r="C94" s="60">
        <v>7</v>
      </c>
      <c r="D94" s="60">
        <v>14</v>
      </c>
      <c r="E94" s="87"/>
      <c r="F94" s="87"/>
      <c r="G94" s="87"/>
      <c r="H94" s="87"/>
      <c r="I94" s="53">
        <f t="shared" si="3"/>
        <v>5.4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70</v>
      </c>
      <c r="B95" s="60">
        <v>172</v>
      </c>
      <c r="C95" s="60">
        <v>8</v>
      </c>
      <c r="D95" s="60">
        <v>14</v>
      </c>
      <c r="E95" s="87"/>
      <c r="F95" s="87"/>
      <c r="G95" s="87"/>
      <c r="H95" s="87"/>
      <c r="I95" s="53">
        <f t="shared" si="3"/>
        <v>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75</v>
      </c>
      <c r="B96" s="60">
        <v>183</v>
      </c>
      <c r="C96" s="60">
        <v>9</v>
      </c>
      <c r="D96" s="60">
        <v>14</v>
      </c>
      <c r="E96" s="87"/>
      <c r="F96" s="87"/>
      <c r="G96" s="87"/>
      <c r="H96" s="87"/>
      <c r="I96" s="53">
        <f t="shared" si="3"/>
        <v>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80</v>
      </c>
      <c r="B97" s="60">
        <v>192</v>
      </c>
      <c r="C97" s="60">
        <v>10</v>
      </c>
      <c r="D97" s="60">
        <v>14</v>
      </c>
      <c r="E97" s="87"/>
      <c r="F97" s="87"/>
      <c r="G97" s="87"/>
      <c r="H97" s="87"/>
      <c r="I97" s="53">
        <f t="shared" si="3"/>
        <v>4.5999999999999996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85</v>
      </c>
      <c r="B98" s="60">
        <v>200</v>
      </c>
      <c r="C98" s="60">
        <v>11</v>
      </c>
      <c r="D98" s="60">
        <v>14</v>
      </c>
      <c r="E98" s="87"/>
      <c r="F98" s="87"/>
      <c r="G98" s="87"/>
      <c r="H98" s="87"/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90</v>
      </c>
      <c r="B99" s="60">
        <v>207</v>
      </c>
      <c r="C99" s="60">
        <v>12</v>
      </c>
      <c r="D99" s="60">
        <v>14</v>
      </c>
      <c r="E99" s="87"/>
      <c r="F99" s="87"/>
      <c r="G99" s="87"/>
      <c r="H99" s="87"/>
      <c r="I99" s="53">
        <f t="shared" si="3"/>
        <v>4.2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95</v>
      </c>
      <c r="B100" s="60">
        <v>212</v>
      </c>
      <c r="C100" s="60">
        <v>13</v>
      </c>
      <c r="D100" s="60">
        <v>14</v>
      </c>
      <c r="E100" s="65"/>
      <c r="F100" s="65"/>
      <c r="G100" s="65"/>
      <c r="H100" s="65"/>
      <c r="I100" s="53">
        <f t="shared" si="3"/>
        <v>3.8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100</v>
      </c>
      <c r="B101" s="60">
        <v>216</v>
      </c>
      <c r="C101" s="60">
        <v>14</v>
      </c>
      <c r="D101" s="60">
        <v>216</v>
      </c>
      <c r="E101" s="65"/>
      <c r="F101" s="65"/>
      <c r="G101" s="65"/>
      <c r="H101" s="65"/>
      <c r="I101" s="53">
        <f t="shared" si="3"/>
        <v>3.6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194.59898508144084</v>
      </c>
      <c r="T3" s="59">
        <f>IF('Données projet'!E9&gt;30,$R$33-$H$33,LOOKUP('Données projet'!$E$9,$A$3:$A$203,R3:R203)-LOOKUP('Données projet'!$E$9,$A$3:$A$203,$H$3:$H$203))</f>
        <v>237.00037875392565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242.89078317348179</v>
      </c>
      <c r="AO3" s="59">
        <f>IF('Données projet'!E10&gt;30,$AM$33-$H$33,LOOKUP('Données projet'!$E$10,$A$3:$A$203,AM3:AM203)-LOOKUP('Données projet'!$E$10,$A$3:$A$203,$H$3:$H$203))</f>
        <v>123.46226548411437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242.89078317348179</v>
      </c>
      <c r="BJ3" s="59">
        <f>IF('Données projet'!E11&gt;30,$BH$33-$H$33,LOOKUP('Données projet'!$E$11,$A$3:$A$203,BH3:BH203)-LOOKUP('Données projet'!$E$11,$A$3:$A$203,$H$3:$H$203))</f>
        <v>123.46226548411437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3.1749999999999998</v>
      </c>
      <c r="N4" s="13">
        <f>IF('Données projet'!$A$36&gt;35,N3+M4-V3,IF(A4&lt;'Données projet'!$A$36,$K$205^A4,IF(A4='Données projet'!$A$36,'Données projet'!$B$36,N3+M4-V3)))</f>
        <v>1.2782520032539497</v>
      </c>
      <c r="O4" s="13">
        <f>N4*VLOOKUP('Données projet'!$B$9,Paramètres!$A$1:$I$89,3,0)*VLOOKUP('Données projet'!$B$9,Paramètres!$A$1:$I$89,5,0)</f>
        <v>0.76439469794586201</v>
      </c>
      <c r="P4" s="13">
        <f>EXP(-1.0587+0.8836*LN(O4)+0.284)</f>
        <v>0.36345575888019188</v>
      </c>
      <c r="Q4" s="20">
        <f t="shared" ref="Q4:Q34" si="2">(O4+P4)*0.475*44/12</f>
        <v>1.9643395456387107</v>
      </c>
      <c r="R4" s="59">
        <f t="shared" si="0"/>
        <v>259.85322843452758</v>
      </c>
      <c r="S4" s="59">
        <f ca="1">AVERAGE(OFFSET($R$3,0,0,'Données projet'!$E$9+1,1))-AVERAGE(OFFSET($H$3,0,0,'Données projet'!$E$9+1,1))</f>
        <v>194.59898508144084</v>
      </c>
      <c r="T4" s="59">
        <f>$T$3</f>
        <v>237.00037875392565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2.2571428571428571</v>
      </c>
      <c r="AI4" s="13">
        <f>IF('Données projet'!$A$62&gt;35,AI3+AH4-AQ3,IF(A4&lt;'Données projet'!$A$62,$AF$205^A4,IF(A4='Données projet'!$A$62,'Données projet'!$B$62,AI3+AH4-AQ3)))</f>
        <v>1.1329687128267454</v>
      </c>
      <c r="AJ4" s="13">
        <f>AI4*VLOOKUP('Données projet'!$B$10,Paramètres!$A$1:$I$89,3,0)*VLOOKUP('Données projet'!$B$10,Paramètres!$A$1:$I$89,5,0)</f>
        <v>1.025110091365639</v>
      </c>
      <c r="AK4" s="13">
        <f>EXP(-1.0587+0.8836*LN(AJ4)+0.284)</f>
        <v>0.47105203729731498</v>
      </c>
      <c r="AL4" s="20">
        <f t="shared" ref="AL4:AL67" si="4">(AJ4+AK4)*0.475*44/12</f>
        <v>2.6058157074213115</v>
      </c>
      <c r="AM4" s="59">
        <f t="shared" ref="AM4:AM67" si="5">AL4+(AD4+AE4)*44/12</f>
        <v>260.49470459631016</v>
      </c>
      <c r="AN4" s="59">
        <f ca="1">AVERAGE(OFFSET($AM$3,0,0,'Données projet'!$E$10+1,1))-AVERAGE(OFFSET($H$3,0,0,'Données projet'!$E$10+1,1))</f>
        <v>242.89078317348179</v>
      </c>
      <c r="AO4" s="59">
        <f>$AO$3</f>
        <v>123.46226548411437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2.2571428571428571</v>
      </c>
      <c r="BD4" s="12">
        <f>IF('Données projet'!$A$88&gt;35,BD3+BC4-BL3,IF(A4&lt;'Données projet'!$A$88,$BA$205^A4,IF(A4='Données projet'!$A$88,'Données projet'!$B$88,BD3+BC4-BL3)))</f>
        <v>1.1329687128267454</v>
      </c>
      <c r="BE4" s="13">
        <f>BD4*VLOOKUP('Données projet'!$B$11,Paramètres!$A$1:$I$89,3,0)*VLOOKUP('Données projet'!$B$11,Paramètres!$A$1:$I$89,5,0)</f>
        <v>1.025110091365639</v>
      </c>
      <c r="BF4" s="13">
        <f>EXP(-1.0587+0.8836*LN(BE4)+0.284)</f>
        <v>0.47105203729731498</v>
      </c>
      <c r="BG4" s="20">
        <f t="shared" ref="BG4:BG67" si="7">(BE4+BF4)*0.475*44/12</f>
        <v>2.6058157074213115</v>
      </c>
      <c r="BH4" s="59">
        <f t="shared" ref="BH4:BH67" si="8">BG4+(AY4+AZ4)*44/12</f>
        <v>260.49470459631016</v>
      </c>
      <c r="BI4" s="59">
        <f ca="1">AVERAGE(OFFSET($BH$3,0,0,'Données projet'!$E$11+1,1))-AVERAGE(OFFSET($H$3,0,0,'Données projet'!$E$11+1,1))</f>
        <v>242.89078317348179</v>
      </c>
      <c r="BJ4" s="59">
        <f>$BJ$3</f>
        <v>123.46226548411437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3.1749999999999998</v>
      </c>
      <c r="N5" s="13">
        <f>IF('Données projet'!$A$36&gt;35,N4+M5-V4,IF(A5&lt;'Données projet'!$A$36,$K$205^A5,IF(A5='Données projet'!$A$36,'Données projet'!$B$36,N4+M5-V4)))</f>
        <v>1.6339281838227355</v>
      </c>
      <c r="O5" s="13">
        <f>N5*VLOOKUP('Données projet'!$B$9,Paramètres!$A$1:$I$89,3,0)*VLOOKUP('Données projet'!$B$9,Paramètres!$A$1:$I$89,5,0)</f>
        <v>0.97708905392599588</v>
      </c>
      <c r="P5" s="13">
        <f t="shared" ref="P5:P68" si="33">EXP(-1.0587+0.8836*LN(O5)+0.284)</f>
        <v>0.45150012830327435</v>
      </c>
      <c r="Q5" s="20">
        <f t="shared" si="2"/>
        <v>2.4881261590493122</v>
      </c>
      <c r="R5" s="59">
        <f t="shared" si="0"/>
        <v>261.59923727016047</v>
      </c>
      <c r="S5" s="59">
        <f ca="1">AVERAGE(OFFSET($R$3,0,0,'Données projet'!$E$9+1,1))-AVERAGE(OFFSET($H$3,0,0,'Données projet'!$E$9+1,1))</f>
        <v>194.59898508144084</v>
      </c>
      <c r="T5" s="59">
        <f t="shared" ref="T5:T68" si="34">$T$3</f>
        <v>237.00037875392565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2.2571428571428571</v>
      </c>
      <c r="AI5" s="13">
        <f>IF('Données projet'!$A$62&gt;35,AI4+AH5-AQ4,IF(A5&lt;'Données projet'!$A$62,$AF$205^A5,IF(A5='Données projet'!$A$62,'Données projet'!$B$62,AI4+AH5-AQ4)))</f>
        <v>1.2836181042442922</v>
      </c>
      <c r="AJ5" s="13">
        <f>AI5*VLOOKUP('Données projet'!$B$10,Paramètres!$A$1:$I$89,3,0)*VLOOKUP('Données projet'!$B$10,Paramètres!$A$1:$I$89,5,0)</f>
        <v>1.1614176607202356</v>
      </c>
      <c r="AK5" s="13">
        <f t="shared" ref="AK5:AK68" si="35">EXP(-1.0587+0.8836*LN(AJ5)+0.284)</f>
        <v>0.52598800198752405</v>
      </c>
      <c r="AL5" s="20">
        <f t="shared" si="4"/>
        <v>2.9388981958826812</v>
      </c>
      <c r="AM5" s="59">
        <f t="shared" si="5"/>
        <v>262.05000930699384</v>
      </c>
      <c r="AN5" s="59">
        <f ca="1">AVERAGE(OFFSET($AM$3,0,0,'Données projet'!$E$10+1,1))-AVERAGE(OFFSET($H$3,0,0,'Données projet'!$E$10+1,1))</f>
        <v>242.89078317348179</v>
      </c>
      <c r="AO5" s="59">
        <f t="shared" ref="AO5:AO68" si="36">$AO$3</f>
        <v>123.46226548411437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2.2571428571428571</v>
      </c>
      <c r="BD5" s="12">
        <f>IF('Données projet'!$A$88&gt;35,BD4+BC5-BL4,IF(A5&lt;'Données projet'!$A$88,$BA$205^A5,IF(A5='Données projet'!$A$88,'Données projet'!$B$88,BD4+BC5-BL4)))</f>
        <v>1.2836181042442922</v>
      </c>
      <c r="BE5" s="13">
        <f>BD5*VLOOKUP('Données projet'!$B$11,Paramètres!$A$1:$I$89,3,0)*VLOOKUP('Données projet'!$B$11,Paramètres!$A$1:$I$89,5,0)</f>
        <v>1.1614176607202356</v>
      </c>
      <c r="BF5" s="13">
        <f t="shared" ref="BF5:BF68" si="37">EXP(-1.0587+0.8836*LN(BE5)+0.284)</f>
        <v>0.52598800198752405</v>
      </c>
      <c r="BG5" s="20">
        <f t="shared" si="7"/>
        <v>2.9388981958826812</v>
      </c>
      <c r="BH5" s="59">
        <f t="shared" si="8"/>
        <v>262.05000930699384</v>
      </c>
      <c r="BI5" s="59">
        <f ca="1">AVERAGE(OFFSET($BH$3,0,0,'Données projet'!$E$11+1,1))-AVERAGE(OFFSET($H$3,0,0,'Données projet'!$E$11+1,1))</f>
        <v>242.89078317348179</v>
      </c>
      <c r="BJ5" s="59">
        <f t="shared" ref="BJ5:BJ68" si="38">$BJ$3</f>
        <v>123.46226548411437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3.1749999999999998</v>
      </c>
      <c r="N6" s="13">
        <f>IF('Données projet'!$A$36&gt;35,N5+M6-V5,IF(A6&lt;'Données projet'!$A$36,$K$205^A6,IF(A6='Données projet'!$A$36,'Données projet'!$B$36,N5+M6-V5)))</f>
        <v>2.0885719741444997</v>
      </c>
      <c r="O6" s="13">
        <f>N6*VLOOKUP('Données projet'!$B$9,Paramètres!$A$1:$I$89,3,0)*VLOOKUP('Données projet'!$B$9,Paramètres!$A$1:$I$89,5,0)</f>
        <v>1.2489660405384109</v>
      </c>
      <c r="P6" s="13">
        <f t="shared" si="33"/>
        <v>0.56087257080735986</v>
      </c>
      <c r="Q6" s="20">
        <f t="shared" si="2"/>
        <v>3.1521355814272169</v>
      </c>
      <c r="R6" s="59">
        <f t="shared" si="0"/>
        <v>263.48546891476053</v>
      </c>
      <c r="S6" s="59">
        <f ca="1">AVERAGE(OFFSET($R$3,0,0,'Données projet'!$E$9+1,1))-AVERAGE(OFFSET($H$3,0,0,'Données projet'!$E$9+1,1))</f>
        <v>194.59898508144084</v>
      </c>
      <c r="T6" s="59">
        <f t="shared" si="34"/>
        <v>237.00037875392565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2.2571428571428571</v>
      </c>
      <c r="AI6" s="13">
        <f>IF('Données projet'!$A$62&gt;35,AI5+AH6-AQ5,IF(A6&lt;'Données projet'!$A$62,$AF$205^A6,IF(A6='Données projet'!$A$62,'Données projet'!$B$62,AI5+AH6-AQ5)))</f>
        <v>1.4542991513267629</v>
      </c>
      <c r="AJ6" s="13">
        <f>AI6*VLOOKUP('Données projet'!$B$10,Paramètres!$A$1:$I$89,3,0)*VLOOKUP('Données projet'!$B$10,Paramètres!$A$1:$I$89,5,0)</f>
        <v>1.315849872120455</v>
      </c>
      <c r="AK6" s="13">
        <f t="shared" si="35"/>
        <v>0.58733081767822881</v>
      </c>
      <c r="AL6" s="20">
        <f t="shared" si="4"/>
        <v>3.3147063680660409</v>
      </c>
      <c r="AM6" s="59">
        <f t="shared" si="5"/>
        <v>263.64803970139934</v>
      </c>
      <c r="AN6" s="59">
        <f ca="1">AVERAGE(OFFSET($AM$3,0,0,'Données projet'!$E$10+1,1))-AVERAGE(OFFSET($H$3,0,0,'Données projet'!$E$10+1,1))</f>
        <v>242.89078317348179</v>
      </c>
      <c r="AO6" s="59">
        <f t="shared" si="36"/>
        <v>123.46226548411437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2.2571428571428571</v>
      </c>
      <c r="BD6" s="12">
        <f>IF('Données projet'!$A$88&gt;35,BD5+BC6-BL5,IF(A6&lt;'Données projet'!$A$88,$BA$205^A6,IF(A6='Données projet'!$A$88,'Données projet'!$B$88,BD5+BC6-BL5)))</f>
        <v>1.4542991513267629</v>
      </c>
      <c r="BE6" s="13">
        <f>BD6*VLOOKUP('Données projet'!$B$11,Paramètres!$A$1:$I$89,3,0)*VLOOKUP('Données projet'!$B$11,Paramètres!$A$1:$I$89,5,0)</f>
        <v>1.315849872120455</v>
      </c>
      <c r="BF6" s="13">
        <f t="shared" si="37"/>
        <v>0.58733081767822881</v>
      </c>
      <c r="BG6" s="20">
        <f t="shared" si="7"/>
        <v>3.3147063680660409</v>
      </c>
      <c r="BH6" s="59">
        <f t="shared" si="8"/>
        <v>263.64803970139934</v>
      </c>
      <c r="BI6" s="59">
        <f ca="1">AVERAGE(OFFSET($BH$3,0,0,'Données projet'!$E$11+1,1))-AVERAGE(OFFSET($H$3,0,0,'Données projet'!$E$11+1,1))</f>
        <v>242.89078317348179</v>
      </c>
      <c r="BJ6" s="59">
        <f t="shared" si="38"/>
        <v>123.46226548411437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3.1749999999999998</v>
      </c>
      <c r="N7" s="13">
        <f>IF('Données projet'!$A$36&gt;35,N6+M7-V6,IF(A7&lt;'Données projet'!$A$36,$K$205^A7,IF(A7='Données projet'!$A$36,'Données projet'!$B$36,N6+M7-V6)))</f>
        <v>2.6697213098902628</v>
      </c>
      <c r="O7" s="13">
        <f>N7*VLOOKUP('Données projet'!$B$9,Paramètres!$A$1:$I$89,3,0)*VLOOKUP('Données projet'!$B$9,Paramètres!$A$1:$I$89,5,0)</f>
        <v>1.5964933433143773</v>
      </c>
      <c r="P7" s="13">
        <f t="shared" si="33"/>
        <v>0.69673964848300918</v>
      </c>
      <c r="Q7" s="20">
        <f t="shared" si="2"/>
        <v>3.9940474607137815</v>
      </c>
      <c r="R7" s="59">
        <f t="shared" si="0"/>
        <v>265.54960301626932</v>
      </c>
      <c r="S7" s="59">
        <f ca="1">AVERAGE(OFFSET($R$3,0,0,'Données projet'!$E$9+1,1))-AVERAGE(OFFSET($H$3,0,0,'Données projet'!$E$9+1,1))</f>
        <v>194.59898508144084</v>
      </c>
      <c r="T7" s="59">
        <f t="shared" si="34"/>
        <v>237.00037875392565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2.2571428571428571</v>
      </c>
      <c r="AI7" s="13">
        <f>IF('Données projet'!$A$62&gt;35,AI6+AH7-AQ6,IF(A7&lt;'Données projet'!$A$62,$AF$205^A7,IF(A7='Données projet'!$A$62,'Données projet'!$B$62,AI6+AH7-AQ6)))</f>
        <v>1.6476754375437106</v>
      </c>
      <c r="AJ7" s="13">
        <f>AI7*VLOOKUP('Données projet'!$B$10,Paramètres!$A$1:$I$89,3,0)*VLOOKUP('Données projet'!$B$10,Paramètres!$A$1:$I$89,5,0)</f>
        <v>1.4908167358895492</v>
      </c>
      <c r="AK7" s="13">
        <f t="shared" si="35"/>
        <v>0.65582767685023924</v>
      </c>
      <c r="AL7" s="20">
        <f t="shared" si="4"/>
        <v>3.738739018855131</v>
      </c>
      <c r="AM7" s="59">
        <f t="shared" si="5"/>
        <v>265.29429457441069</v>
      </c>
      <c r="AN7" s="59">
        <f ca="1">AVERAGE(OFFSET($AM$3,0,0,'Données projet'!$E$10+1,1))-AVERAGE(OFFSET($H$3,0,0,'Données projet'!$E$10+1,1))</f>
        <v>242.89078317348179</v>
      </c>
      <c r="AO7" s="59">
        <f t="shared" si="36"/>
        <v>123.46226548411437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2.2571428571428571</v>
      </c>
      <c r="BD7" s="12">
        <f>IF('Données projet'!$A$88&gt;35,BD6+BC7-BL6,IF(A7&lt;'Données projet'!$A$88,$BA$205^A7,IF(A7='Données projet'!$A$88,'Données projet'!$B$88,BD6+BC7-BL6)))</f>
        <v>1.6476754375437106</v>
      </c>
      <c r="BE7" s="13">
        <f>BD7*VLOOKUP('Données projet'!$B$11,Paramètres!$A$1:$I$89,3,0)*VLOOKUP('Données projet'!$B$11,Paramètres!$A$1:$I$89,5,0)</f>
        <v>1.4908167358895492</v>
      </c>
      <c r="BF7" s="13">
        <f t="shared" si="37"/>
        <v>0.65582767685023924</v>
      </c>
      <c r="BG7" s="20">
        <f t="shared" si="7"/>
        <v>3.738739018855131</v>
      </c>
      <c r="BH7" s="59">
        <f t="shared" si="8"/>
        <v>265.29429457441069</v>
      </c>
      <c r="BI7" s="59">
        <f ca="1">AVERAGE(OFFSET($BH$3,0,0,'Données projet'!$E$11+1,1))-AVERAGE(OFFSET($H$3,0,0,'Données projet'!$E$11+1,1))</f>
        <v>242.89078317348179</v>
      </c>
      <c r="BJ7" s="59">
        <f t="shared" si="38"/>
        <v>123.46226548411437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3.1749999999999998</v>
      </c>
      <c r="N8" s="13">
        <f>IF('Données projet'!$A$36&gt;35,N7+M8-V7,IF(A8&lt;'Données projet'!$A$36,$K$205^A8,IF(A8='Données projet'!$A$36,'Données projet'!$B$36,N7+M8-V7)))</f>
        <v>3.412576612496987</v>
      </c>
      <c r="O8" s="13">
        <f>N8*VLOOKUP('Données projet'!$B$9,Paramètres!$A$1:$I$89,3,0)*VLOOKUP('Données projet'!$B$9,Paramètres!$A$1:$I$89,5,0)</f>
        <v>2.0407208142731981</v>
      </c>
      <c r="P8" s="13">
        <f t="shared" si="33"/>
        <v>0.86551948345315133</v>
      </c>
      <c r="Q8" s="20">
        <f t="shared" si="2"/>
        <v>5.0617018518733916</v>
      </c>
      <c r="R8" s="59">
        <f t="shared" si="0"/>
        <v>267.83947962965118</v>
      </c>
      <c r="S8" s="59">
        <f ca="1">AVERAGE(OFFSET($R$3,0,0,'Données projet'!$E$9+1,1))-AVERAGE(OFFSET($H$3,0,0,'Données projet'!$E$9+1,1))</f>
        <v>194.59898508144084</v>
      </c>
      <c r="T8" s="59">
        <f t="shared" si="34"/>
        <v>237.00037875392565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2.2571428571428571</v>
      </c>
      <c r="AI8" s="13">
        <f>IF('Données projet'!$A$62&gt;35,AI7+AH8-AQ7,IF(A8&lt;'Données projet'!$A$62,$AF$205^A8,IF(A8='Données projet'!$A$62,'Données projet'!$B$62,AI7+AH8-AQ7)))</f>
        <v>1.8667647196301422</v>
      </c>
      <c r="AJ8" s="13">
        <f>AI8*VLOOKUP('Données projet'!$B$10,Paramètres!$A$1:$I$89,3,0)*VLOOKUP('Données projet'!$B$10,Paramètres!$A$1:$I$89,5,0)</f>
        <v>1.6890487183213527</v>
      </c>
      <c r="AK8" s="13">
        <f t="shared" si="35"/>
        <v>0.73231291254738662</v>
      </c>
      <c r="AL8" s="20">
        <f t="shared" si="4"/>
        <v>4.2172048404297211</v>
      </c>
      <c r="AM8" s="59">
        <f t="shared" si="5"/>
        <v>266.99498261820747</v>
      </c>
      <c r="AN8" s="59">
        <f ca="1">AVERAGE(OFFSET($AM$3,0,0,'Données projet'!$E$10+1,1))-AVERAGE(OFFSET($H$3,0,0,'Données projet'!$E$10+1,1))</f>
        <v>242.89078317348179</v>
      </c>
      <c r="AO8" s="59">
        <f t="shared" si="36"/>
        <v>123.46226548411437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2.2571428571428571</v>
      </c>
      <c r="BD8" s="12">
        <f>IF('Données projet'!$A$88&gt;35,BD7+BC8-BL7,IF(A8&lt;'Données projet'!$A$88,$BA$205^A8,IF(A8='Données projet'!$A$88,'Données projet'!$B$88,BD7+BC8-BL7)))</f>
        <v>1.8667647196301422</v>
      </c>
      <c r="BE8" s="13">
        <f>BD8*VLOOKUP('Données projet'!$B$11,Paramètres!$A$1:$I$89,3,0)*VLOOKUP('Données projet'!$B$11,Paramètres!$A$1:$I$89,5,0)</f>
        <v>1.6890487183213527</v>
      </c>
      <c r="BF8" s="13">
        <f t="shared" si="37"/>
        <v>0.73231291254738662</v>
      </c>
      <c r="BG8" s="20">
        <f t="shared" si="7"/>
        <v>4.2172048404297211</v>
      </c>
      <c r="BH8" s="59">
        <f t="shared" si="8"/>
        <v>266.99498261820747</v>
      </c>
      <c r="BI8" s="59">
        <f ca="1">AVERAGE(OFFSET($BH$3,0,0,'Données projet'!$E$11+1,1))-AVERAGE(OFFSET($H$3,0,0,'Données projet'!$E$11+1,1))</f>
        <v>242.89078317348179</v>
      </c>
      <c r="BJ8" s="59">
        <f t="shared" si="38"/>
        <v>123.46226548411437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3.1749999999999998</v>
      </c>
      <c r="N9" s="13">
        <f>IF('Données projet'!$A$36&gt;35,N8+M9-V8,IF(A9&lt;'Données projet'!$A$36,$K$205^A9,IF(A9='Données projet'!$A$36,'Données projet'!$B$36,N8+M9-V8)))</f>
        <v>4.3621328911818518</v>
      </c>
      <c r="O9" s="13">
        <f>N9*VLOOKUP('Données projet'!$B$9,Paramètres!$A$1:$I$89,3,0)*VLOOKUP('Données projet'!$B$9,Paramètres!$A$1:$I$89,5,0)</f>
        <v>2.6085554689267476</v>
      </c>
      <c r="P9" s="13">
        <f t="shared" si="33"/>
        <v>1.0751849386898762</v>
      </c>
      <c r="Q9" s="20">
        <f t="shared" si="2"/>
        <v>6.4158478765989528</v>
      </c>
      <c r="R9" s="59">
        <f t="shared" si="0"/>
        <v>270.41584787659895</v>
      </c>
      <c r="S9" s="59">
        <f ca="1">AVERAGE(OFFSET($R$3,0,0,'Données projet'!$E$9+1,1))-AVERAGE(OFFSET($H$3,0,0,'Données projet'!$E$9+1,1))</f>
        <v>194.59898508144084</v>
      </c>
      <c r="T9" s="59">
        <f t="shared" si="34"/>
        <v>237.00037875392565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2.2571428571428571</v>
      </c>
      <c r="AI9" s="13">
        <f>IF('Données projet'!$A$62&gt;35,AI8+AH9-AQ8,IF(A9&lt;'Données projet'!$A$62,$AF$205^A9,IF(A9='Données projet'!$A$62,'Données projet'!$B$62,AI8+AH9-AQ8)))</f>
        <v>2.1149860215497425</v>
      </c>
      <c r="AJ9" s="13">
        <f>AI9*VLOOKUP('Données projet'!$B$10,Paramètres!$A$1:$I$89,3,0)*VLOOKUP('Données projet'!$B$10,Paramètres!$A$1:$I$89,5,0)</f>
        <v>1.9136393522982069</v>
      </c>
      <c r="AK9" s="13">
        <f t="shared" si="35"/>
        <v>0.81771816105604567</v>
      </c>
      <c r="AL9" s="20">
        <f t="shared" si="4"/>
        <v>4.7571143357586561</v>
      </c>
      <c r="AM9" s="59">
        <f t="shared" si="5"/>
        <v>268.75711433575867</v>
      </c>
      <c r="AN9" s="59">
        <f ca="1">AVERAGE(OFFSET($AM$3,0,0,'Données projet'!$E$10+1,1))-AVERAGE(OFFSET($H$3,0,0,'Données projet'!$E$10+1,1))</f>
        <v>242.89078317348179</v>
      </c>
      <c r="AO9" s="59">
        <f t="shared" si="36"/>
        <v>123.46226548411437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2.2571428571428571</v>
      </c>
      <c r="BD9" s="12">
        <f>IF('Données projet'!$A$88&gt;35,BD8+BC9-BL8,IF(A9&lt;'Données projet'!$A$88,$BA$205^A9,IF(A9='Données projet'!$A$88,'Données projet'!$B$88,BD8+BC9-BL8)))</f>
        <v>2.1149860215497425</v>
      </c>
      <c r="BE9" s="13">
        <f>BD9*VLOOKUP('Données projet'!$B$11,Paramètres!$A$1:$I$89,3,0)*VLOOKUP('Données projet'!$B$11,Paramètres!$A$1:$I$89,5,0)</f>
        <v>1.9136393522982069</v>
      </c>
      <c r="BF9" s="13">
        <f t="shared" si="37"/>
        <v>0.81771816105604567</v>
      </c>
      <c r="BG9" s="20">
        <f t="shared" si="7"/>
        <v>4.7571143357586561</v>
      </c>
      <c r="BH9" s="59">
        <f t="shared" si="8"/>
        <v>268.75711433575867</v>
      </c>
      <c r="BI9" s="59">
        <f ca="1">AVERAGE(OFFSET($BH$3,0,0,'Données projet'!$E$11+1,1))-AVERAGE(OFFSET($H$3,0,0,'Données projet'!$E$11+1,1))</f>
        <v>242.89078317348179</v>
      </c>
      <c r="BJ9" s="59">
        <f t="shared" si="38"/>
        <v>123.46226548411437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3.1749999999999998</v>
      </c>
      <c r="N10" s="13">
        <f>IF('Données projet'!$A$36&gt;35,N9+M10-V9,IF(A10&lt;'Données projet'!$A$36,$K$205^A10,IF(A10='Données projet'!$A$36,'Données projet'!$B$36,N9+M10-V9)))</f>
        <v>5.5759051066131455</v>
      </c>
      <c r="O10" s="13">
        <f>N10*VLOOKUP('Données projet'!$B$9,Paramètres!$A$1:$I$89,3,0)*VLOOKUP('Données projet'!$B$9,Paramètres!$A$1:$I$89,5,0)</f>
        <v>3.3343912537546614</v>
      </c>
      <c r="P10" s="13">
        <f t="shared" si="33"/>
        <v>1.3356402420583127</v>
      </c>
      <c r="Q10" s="20">
        <f t="shared" si="2"/>
        <v>8.1336381885409299</v>
      </c>
      <c r="R10" s="59">
        <f t="shared" si="0"/>
        <v>273.35586041076317</v>
      </c>
      <c r="S10" s="59">
        <f ca="1">AVERAGE(OFFSET($R$3,0,0,'Données projet'!$E$9+1,1))-AVERAGE(OFFSET($H$3,0,0,'Données projet'!$E$9+1,1))</f>
        <v>194.59898508144084</v>
      </c>
      <c r="T10" s="59">
        <f t="shared" si="34"/>
        <v>237.00037875392565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2.2571428571428571</v>
      </c>
      <c r="AI10" s="13">
        <f>IF('Données projet'!$A$62&gt;35,AI9+AH10-AQ9,IF(A10&lt;'Données projet'!$A$62,$AF$205^A10,IF(A10='Données projet'!$A$62,'Données projet'!$B$62,AI9+AH10-AQ9)))</f>
        <v>2.3962129904817711</v>
      </c>
      <c r="AJ10" s="13">
        <f>AI10*VLOOKUP('Données projet'!$B$10,Paramètres!$A$1:$I$89,3,0)*VLOOKUP('Données projet'!$B$10,Paramètres!$A$1:$I$89,5,0)</f>
        <v>2.1680935137879063</v>
      </c>
      <c r="AK10" s="13">
        <f t="shared" si="35"/>
        <v>0.91308370979681874</v>
      </c>
      <c r="AL10" s="20">
        <f t="shared" si="4"/>
        <v>5.3663836644100629</v>
      </c>
      <c r="AM10" s="59">
        <f t="shared" si="5"/>
        <v>270.58860588663231</v>
      </c>
      <c r="AN10" s="59">
        <f ca="1">AVERAGE(OFFSET($AM$3,0,0,'Données projet'!$E$10+1,1))-AVERAGE(OFFSET($H$3,0,0,'Données projet'!$E$10+1,1))</f>
        <v>242.89078317348179</v>
      </c>
      <c r="AO10" s="59">
        <f t="shared" si="36"/>
        <v>123.46226548411437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2.2571428571428571</v>
      </c>
      <c r="BD10" s="12">
        <f>IF('Données projet'!$A$88&gt;35,BD9+BC10-BL9,IF(A10&lt;'Données projet'!$A$88,$BA$205^A10,IF(A10='Données projet'!$A$88,'Données projet'!$B$88,BD9+BC10-BL9)))</f>
        <v>2.3962129904817711</v>
      </c>
      <c r="BE10" s="13">
        <f>BD10*VLOOKUP('Données projet'!$B$11,Paramètres!$A$1:$I$89,3,0)*VLOOKUP('Données projet'!$B$11,Paramètres!$A$1:$I$89,5,0)</f>
        <v>2.1680935137879063</v>
      </c>
      <c r="BF10" s="13">
        <f t="shared" si="37"/>
        <v>0.91308370979681874</v>
      </c>
      <c r="BG10" s="20">
        <f t="shared" si="7"/>
        <v>5.3663836644100629</v>
      </c>
      <c r="BH10" s="59">
        <f t="shared" si="8"/>
        <v>270.58860588663231</v>
      </c>
      <c r="BI10" s="59">
        <f ca="1">AVERAGE(OFFSET($BH$3,0,0,'Données projet'!$E$11+1,1))-AVERAGE(OFFSET($H$3,0,0,'Données projet'!$E$11+1,1))</f>
        <v>242.89078317348179</v>
      </c>
      <c r="BJ10" s="59">
        <f t="shared" si="38"/>
        <v>123.46226548411437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3.1749999999999998</v>
      </c>
      <c r="N11" s="13">
        <f>IF('Données projet'!$A$36&gt;35,N10+M11-V10,IF(A11&lt;'Données projet'!$A$36,$K$205^A11,IF(A11='Données projet'!$A$36,'Données projet'!$B$36,N10+M11-V10)))</f>
        <v>7.1274118724821802</v>
      </c>
      <c r="O11" s="13">
        <f>N11*VLOOKUP('Données projet'!$B$9,Paramètres!$A$1:$I$89,3,0)*VLOOKUP('Données projet'!$B$9,Paramètres!$A$1:$I$89,5,0)</f>
        <v>4.2621922997443438</v>
      </c>
      <c r="P11" s="13">
        <f t="shared" si="33"/>
        <v>1.6591888446459548</v>
      </c>
      <c r="Q11" s="20">
        <f t="shared" si="2"/>
        <v>10.313072159813103</v>
      </c>
      <c r="R11" s="59">
        <f t="shared" si="0"/>
        <v>276.75751660425755</v>
      </c>
      <c r="S11" s="59">
        <f ca="1">AVERAGE(OFFSET($R$3,0,0,'Données projet'!$E$9+1,1))-AVERAGE(OFFSET($H$3,0,0,'Données projet'!$E$9+1,1))</f>
        <v>194.59898508144084</v>
      </c>
      <c r="T11" s="59">
        <f t="shared" si="34"/>
        <v>237.00037875392565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2.2571428571428571</v>
      </c>
      <c r="AI11" s="13">
        <f>IF('Données projet'!$A$62&gt;35,AI10+AH11-AQ10,IF(A11&lt;'Données projet'!$A$62,$AF$205^A11,IF(A11='Données projet'!$A$62,'Données projet'!$B$62,AI10+AH11-AQ10)))</f>
        <v>2.714834347484858</v>
      </c>
      <c r="AJ11" s="13">
        <f>AI11*VLOOKUP('Données projet'!$B$10,Paramètres!$A$1:$I$89,3,0)*VLOOKUP('Données projet'!$B$10,Paramètres!$A$1:$I$89,5,0)</f>
        <v>2.4563821176042993</v>
      </c>
      <c r="AK11" s="13">
        <f t="shared" si="35"/>
        <v>1.0195711686525433</v>
      </c>
      <c r="AL11" s="20">
        <f t="shared" si="4"/>
        <v>6.0539519735640006</v>
      </c>
      <c r="AM11" s="59">
        <f t="shared" si="5"/>
        <v>272.49839641800844</v>
      </c>
      <c r="AN11" s="59">
        <f ca="1">AVERAGE(OFFSET($AM$3,0,0,'Données projet'!$E$10+1,1))-AVERAGE(OFFSET($H$3,0,0,'Données projet'!$E$10+1,1))</f>
        <v>242.89078317348179</v>
      </c>
      <c r="AO11" s="59">
        <f t="shared" si="36"/>
        <v>123.46226548411437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2.2571428571428571</v>
      </c>
      <c r="BD11" s="12">
        <f>IF('Données projet'!$A$88&gt;35,BD10+BC11-BL10,IF(A11&lt;'Données projet'!$A$88,$BA$205^A11,IF(A11='Données projet'!$A$88,'Données projet'!$B$88,BD10+BC11-BL10)))</f>
        <v>2.714834347484858</v>
      </c>
      <c r="BE11" s="13">
        <f>BD11*VLOOKUP('Données projet'!$B$11,Paramètres!$A$1:$I$89,3,0)*VLOOKUP('Données projet'!$B$11,Paramètres!$A$1:$I$89,5,0)</f>
        <v>2.4563821176042993</v>
      </c>
      <c r="BF11" s="13">
        <f t="shared" si="37"/>
        <v>1.0195711686525433</v>
      </c>
      <c r="BG11" s="20">
        <f t="shared" si="7"/>
        <v>6.0539519735640006</v>
      </c>
      <c r="BH11" s="59">
        <f t="shared" si="8"/>
        <v>272.49839641800844</v>
      </c>
      <c r="BI11" s="59">
        <f ca="1">AVERAGE(OFFSET($BH$3,0,0,'Données projet'!$E$11+1,1))-AVERAGE(OFFSET($H$3,0,0,'Données projet'!$E$11+1,1))</f>
        <v>242.89078317348179</v>
      </c>
      <c r="BJ11" s="59">
        <f t="shared" si="38"/>
        <v>123.46226548411437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3.1749999999999998</v>
      </c>
      <c r="N12" s="13">
        <f>IF('Données projet'!$A$36&gt;35,N11+M12-V11,IF(A12&lt;'Données projet'!$A$36,$K$205^A12,IF(A12='Données projet'!$A$36,'Données projet'!$B$36,N11+M12-V11)))</f>
        <v>9.1106285040163311</v>
      </c>
      <c r="O12" s="13">
        <f>N12*VLOOKUP('Données projet'!$B$9,Paramètres!$A$1:$I$89,3,0)*VLOOKUP('Données projet'!$B$9,Paramètres!$A$1:$I$89,5,0)</f>
        <v>5.4481558454017671</v>
      </c>
      <c r="P12" s="13">
        <f t="shared" si="33"/>
        <v>2.0611146141832033</v>
      </c>
      <c r="Q12" s="20">
        <f t="shared" si="2"/>
        <v>13.078646050443822</v>
      </c>
      <c r="R12" s="59">
        <f t="shared" si="0"/>
        <v>280.74531271711049</v>
      </c>
      <c r="S12" s="59">
        <f ca="1">AVERAGE(OFFSET($R$3,0,0,'Données projet'!$E$9+1,1))-AVERAGE(OFFSET($H$3,0,0,'Données projet'!$E$9+1,1))</f>
        <v>194.59898508144084</v>
      </c>
      <c r="T12" s="59">
        <f t="shared" si="34"/>
        <v>237.00037875392565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2.2571428571428571</v>
      </c>
      <c r="AI12" s="13">
        <f>IF('Données projet'!$A$62&gt;35,AI11+AH12-AQ11,IF(A12&lt;'Données projet'!$A$62,$AF$205^A12,IF(A12='Données projet'!$A$62,'Données projet'!$B$62,AI11+AH12-AQ11)))</f>
        <v>3.0758223762077566</v>
      </c>
      <c r="AJ12" s="13">
        <f>AI12*VLOOKUP('Données projet'!$B$10,Paramètres!$A$1:$I$89,3,0)*VLOOKUP('Données projet'!$B$10,Paramètres!$A$1:$I$89,5,0)</f>
        <v>2.7830040859927778</v>
      </c>
      <c r="AK12" s="13">
        <f t="shared" si="35"/>
        <v>1.1384776190770398</v>
      </c>
      <c r="AL12" s="20">
        <f t="shared" si="4"/>
        <v>6.8299139696632656</v>
      </c>
      <c r="AM12" s="59">
        <f t="shared" si="5"/>
        <v>274.49658063632995</v>
      </c>
      <c r="AN12" s="59">
        <f ca="1">AVERAGE(OFFSET($AM$3,0,0,'Données projet'!$E$10+1,1))-AVERAGE(OFFSET($H$3,0,0,'Données projet'!$E$10+1,1))</f>
        <v>242.89078317348179</v>
      </c>
      <c r="AO12" s="59">
        <f t="shared" si="36"/>
        <v>123.46226548411437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2.2571428571428571</v>
      </c>
      <c r="BD12" s="12">
        <f>IF('Données projet'!$A$88&gt;35,BD11+BC12-BL11,IF(A12&lt;'Données projet'!$A$88,$BA$205^A12,IF(A12='Données projet'!$A$88,'Données projet'!$B$88,BD11+BC12-BL11)))</f>
        <v>3.0758223762077566</v>
      </c>
      <c r="BE12" s="13">
        <f>BD12*VLOOKUP('Données projet'!$B$11,Paramètres!$A$1:$I$89,3,0)*VLOOKUP('Données projet'!$B$11,Paramètres!$A$1:$I$89,5,0)</f>
        <v>2.7830040859927778</v>
      </c>
      <c r="BF12" s="13">
        <f t="shared" si="37"/>
        <v>1.1384776190770398</v>
      </c>
      <c r="BG12" s="20">
        <f t="shared" si="7"/>
        <v>6.8299139696632656</v>
      </c>
      <c r="BH12" s="59">
        <f t="shared" si="8"/>
        <v>274.49658063632995</v>
      </c>
      <c r="BI12" s="59">
        <f ca="1">AVERAGE(OFFSET($BH$3,0,0,'Données projet'!$E$11+1,1))-AVERAGE(OFFSET($H$3,0,0,'Données projet'!$E$11+1,1))</f>
        <v>242.89078317348179</v>
      </c>
      <c r="BJ12" s="59">
        <f t="shared" si="38"/>
        <v>123.46226548411437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3.1749999999999998</v>
      </c>
      <c r="N13" s="13">
        <f>IF('Données projet'!$A$36&gt;35,N12+M13-V12,IF(A13&lt;'Données projet'!$A$36,$K$205^A13,IF(A13='Données projet'!$A$36,'Données projet'!$B$36,N12+M13-V12)))</f>
        <v>11.645679136161412</v>
      </c>
      <c r="O13" s="13">
        <f>N13*VLOOKUP('Données projet'!$B$9,Paramètres!$A$1:$I$89,3,0)*VLOOKUP('Données projet'!$B$9,Paramètres!$A$1:$I$89,5,0)</f>
        <v>6.9641161234245246</v>
      </c>
      <c r="P13" s="13">
        <f t="shared" si="33"/>
        <v>2.5604038181115381</v>
      </c>
      <c r="Q13" s="20">
        <f t="shared" si="2"/>
        <v>16.588538898175312</v>
      </c>
      <c r="R13" s="59">
        <f t="shared" si="0"/>
        <v>285.47742778706419</v>
      </c>
      <c r="S13" s="59">
        <f ca="1">AVERAGE(OFFSET($R$3,0,0,'Données projet'!$E$9+1,1))-AVERAGE(OFFSET($H$3,0,0,'Données projet'!$E$9+1,1))</f>
        <v>194.59898508144084</v>
      </c>
      <c r="T13" s="59">
        <f t="shared" si="34"/>
        <v>237.00037875392565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2.2571428571428571</v>
      </c>
      <c r="AI13" s="13">
        <f>IF('Données projet'!$A$62&gt;35,AI12+AH13-AQ12,IF(A13&lt;'Données projet'!$A$62,$AF$205^A13,IF(A13='Données projet'!$A$62,'Données projet'!$B$62,AI12+AH13-AQ12)))</f>
        <v>3.4848105184558036</v>
      </c>
      <c r="AJ13" s="13">
        <f>AI13*VLOOKUP('Données projet'!$B$10,Paramètres!$A$1:$I$89,3,0)*VLOOKUP('Données projet'!$B$10,Paramètres!$A$1:$I$89,5,0)</f>
        <v>3.1530565570988109</v>
      </c>
      <c r="AK13" s="13">
        <f t="shared" si="35"/>
        <v>1.271251413329274</v>
      </c>
      <c r="AL13" s="20">
        <f t="shared" si="4"/>
        <v>7.705669715162248</v>
      </c>
      <c r="AM13" s="59">
        <f t="shared" si="5"/>
        <v>276.59455860405109</v>
      </c>
      <c r="AN13" s="59">
        <f ca="1">AVERAGE(OFFSET($AM$3,0,0,'Données projet'!$E$10+1,1))-AVERAGE(OFFSET($H$3,0,0,'Données projet'!$E$10+1,1))</f>
        <v>242.89078317348179</v>
      </c>
      <c r="AO13" s="59">
        <f t="shared" si="36"/>
        <v>123.46226548411437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2.2571428571428571</v>
      </c>
      <c r="BD13" s="12">
        <f>IF('Données projet'!$A$88&gt;35,BD12+BC13-BL12,IF(A13&lt;'Données projet'!$A$88,$BA$205^A13,IF(A13='Données projet'!$A$88,'Données projet'!$B$88,BD12+BC13-BL12)))</f>
        <v>3.4848105184558036</v>
      </c>
      <c r="BE13" s="13">
        <f>BD13*VLOOKUP('Données projet'!$B$11,Paramètres!$A$1:$I$89,3,0)*VLOOKUP('Données projet'!$B$11,Paramètres!$A$1:$I$89,5,0)</f>
        <v>3.1530565570988109</v>
      </c>
      <c r="BF13" s="13">
        <f t="shared" si="37"/>
        <v>1.271251413329274</v>
      </c>
      <c r="BG13" s="20">
        <f t="shared" si="7"/>
        <v>7.705669715162248</v>
      </c>
      <c r="BH13" s="59">
        <f t="shared" si="8"/>
        <v>276.59455860405109</v>
      </c>
      <c r="BI13" s="59">
        <f ca="1">AVERAGE(OFFSET($BH$3,0,0,'Données projet'!$E$11+1,1))-AVERAGE(OFFSET($H$3,0,0,'Données projet'!$E$11+1,1))</f>
        <v>242.89078317348179</v>
      </c>
      <c r="BJ13" s="59">
        <f t="shared" si="38"/>
        <v>123.46226548411437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3.1749999999999998</v>
      </c>
      <c r="N14" s="13">
        <f>IF('Données projet'!$A$36&gt;35,N13+M14-V13,IF(A14&lt;'Données projet'!$A$36,$K$205^A14,IF(A14='Données projet'!$A$36,'Données projet'!$B$36,N13+M14-V13)))</f>
        <v>14.886112685051053</v>
      </c>
      <c r="O14" s="13">
        <f>N14*VLOOKUP('Données projet'!$B$9,Paramètres!$A$1:$I$89,3,0)*VLOOKUP('Données projet'!$B$9,Paramètres!$A$1:$I$89,5,0)</f>
        <v>8.9018953856605307</v>
      </c>
      <c r="P14" s="13">
        <f t="shared" si="33"/>
        <v>3.1806420015114396</v>
      </c>
      <c r="Q14" s="20">
        <f t="shared" si="2"/>
        <v>21.043752615991185</v>
      </c>
      <c r="R14" s="59">
        <f t="shared" si="0"/>
        <v>291.15486372710234</v>
      </c>
      <c r="S14" s="59">
        <f ca="1">AVERAGE(OFFSET($R$3,0,0,'Données projet'!$E$9+1,1))-AVERAGE(OFFSET($H$3,0,0,'Données projet'!$E$9+1,1))</f>
        <v>194.59898508144084</v>
      </c>
      <c r="T14" s="59">
        <f t="shared" si="34"/>
        <v>237.00037875392565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2.2571428571428571</v>
      </c>
      <c r="AI14" s="13">
        <f>IF('Données projet'!$A$62&gt;35,AI13+AH14-AQ13,IF(A14&lt;'Données projet'!$A$62,$AF$205^A14,IF(A14='Données projet'!$A$62,'Données projet'!$B$62,AI13+AH14-AQ13)))</f>
        <v>3.9481812875399749</v>
      </c>
      <c r="AJ14" s="13">
        <f>AI14*VLOOKUP('Données projet'!$B$10,Paramètres!$A$1:$I$89,3,0)*VLOOKUP('Données projet'!$B$10,Paramètres!$A$1:$I$89,5,0)</f>
        <v>3.5723144289661688</v>
      </c>
      <c r="AK14" s="13">
        <f t="shared" si="35"/>
        <v>1.4195098162771331</v>
      </c>
      <c r="AL14" s="20">
        <f t="shared" si="4"/>
        <v>8.6940938937987511</v>
      </c>
      <c r="AM14" s="59">
        <f t="shared" si="5"/>
        <v>278.80520500490991</v>
      </c>
      <c r="AN14" s="59">
        <f ca="1">AVERAGE(OFFSET($AM$3,0,0,'Données projet'!$E$10+1,1))-AVERAGE(OFFSET($H$3,0,0,'Données projet'!$E$10+1,1))</f>
        <v>242.89078317348179</v>
      </c>
      <c r="AO14" s="59">
        <f t="shared" si="36"/>
        <v>123.46226548411437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2.2571428571428571</v>
      </c>
      <c r="BD14" s="12">
        <f>IF('Données projet'!$A$88&gt;35,BD13+BC14-BL13,IF(A14&lt;'Données projet'!$A$88,$BA$205^A14,IF(A14='Données projet'!$A$88,'Données projet'!$B$88,BD13+BC14-BL13)))</f>
        <v>3.9481812875399749</v>
      </c>
      <c r="BE14" s="13">
        <f>BD14*VLOOKUP('Données projet'!$B$11,Paramètres!$A$1:$I$89,3,0)*VLOOKUP('Données projet'!$B$11,Paramètres!$A$1:$I$89,5,0)</f>
        <v>3.5723144289661688</v>
      </c>
      <c r="BF14" s="13">
        <f t="shared" si="37"/>
        <v>1.4195098162771331</v>
      </c>
      <c r="BG14" s="20">
        <f t="shared" si="7"/>
        <v>8.6940938937987511</v>
      </c>
      <c r="BH14" s="59">
        <f t="shared" si="8"/>
        <v>278.80520500490991</v>
      </c>
      <c r="BI14" s="59">
        <f ca="1">AVERAGE(OFFSET($BH$3,0,0,'Données projet'!$E$11+1,1))-AVERAGE(OFFSET($H$3,0,0,'Données projet'!$E$11+1,1))</f>
        <v>242.89078317348179</v>
      </c>
      <c r="BJ14" s="59">
        <f t="shared" si="38"/>
        <v>123.46226548411437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3.1749999999999998</v>
      </c>
      <c r="N15" s="13">
        <f>IF('Données projet'!$A$36&gt;35,N14+M15-V14,IF(A15&lt;'Données projet'!$A$36,$K$205^A15,IF(A15='Données projet'!$A$36,'Données projet'!$B$36,N14+M15-V14)))</f>
        <v>19.028203360330536</v>
      </c>
      <c r="O15" s="13">
        <f>N15*VLOOKUP('Données projet'!$B$9,Paramètres!$A$1:$I$89,3,0)*VLOOKUP('Données projet'!$B$9,Paramètres!$A$1:$I$89,5,0)</f>
        <v>11.378865609477662</v>
      </c>
      <c r="P15" s="13">
        <f t="shared" si="33"/>
        <v>3.9511281268281553</v>
      </c>
      <c r="Q15" s="20">
        <f t="shared" si="2"/>
        <v>26.699739090732631</v>
      </c>
      <c r="R15" s="59">
        <f t="shared" si="0"/>
        <v>298.03307242406595</v>
      </c>
      <c r="S15" s="59">
        <f ca="1">AVERAGE(OFFSET($R$3,0,0,'Données projet'!$E$9+1,1))-AVERAGE(OFFSET($H$3,0,0,'Données projet'!$E$9+1,1))</f>
        <v>194.59898508144084</v>
      </c>
      <c r="T15" s="59">
        <f t="shared" si="34"/>
        <v>237.00037875392565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2.2571428571428571</v>
      </c>
      <c r="AI15" s="13">
        <f>IF('Données projet'!$A$62&gt;35,AI14+AH15-AQ14,IF(A15&lt;'Données projet'!$A$62,$AF$205^A15,IF(A15='Données projet'!$A$62,'Données projet'!$B$62,AI14+AH15-AQ14)))</f>
        <v>4.4731658713508073</v>
      </c>
      <c r="AJ15" s="13">
        <f>AI15*VLOOKUP('Données projet'!$B$10,Paramètres!$A$1:$I$89,3,0)*VLOOKUP('Données projet'!$B$10,Paramètres!$A$1:$I$89,5,0)</f>
        <v>4.0473204803982101</v>
      </c>
      <c r="AK15" s="13">
        <f t="shared" si="35"/>
        <v>1.5850587046586209</v>
      </c>
      <c r="AL15" s="20">
        <f t="shared" si="4"/>
        <v>9.8097270806406467</v>
      </c>
      <c r="AM15" s="59">
        <f t="shared" si="5"/>
        <v>281.14306041397396</v>
      </c>
      <c r="AN15" s="59">
        <f ca="1">AVERAGE(OFFSET($AM$3,0,0,'Données projet'!$E$10+1,1))-AVERAGE(OFFSET($H$3,0,0,'Données projet'!$E$10+1,1))</f>
        <v>242.89078317348179</v>
      </c>
      <c r="AO15" s="59">
        <f t="shared" si="36"/>
        <v>123.46226548411437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2.2571428571428571</v>
      </c>
      <c r="BD15" s="12">
        <f>IF('Données projet'!$A$88&gt;35,BD14+BC15-BL14,IF(A15&lt;'Données projet'!$A$88,$BA$205^A15,IF(A15='Données projet'!$A$88,'Données projet'!$B$88,BD14+BC15-BL14)))</f>
        <v>4.4731658713508073</v>
      </c>
      <c r="BE15" s="13">
        <f>BD15*VLOOKUP('Données projet'!$B$11,Paramètres!$A$1:$I$89,3,0)*VLOOKUP('Données projet'!$B$11,Paramètres!$A$1:$I$89,5,0)</f>
        <v>4.0473204803982101</v>
      </c>
      <c r="BF15" s="13">
        <f t="shared" si="37"/>
        <v>1.5850587046586209</v>
      </c>
      <c r="BG15" s="20">
        <f t="shared" si="7"/>
        <v>9.8097270806406467</v>
      </c>
      <c r="BH15" s="59">
        <f t="shared" si="8"/>
        <v>281.14306041397396</v>
      </c>
      <c r="BI15" s="59">
        <f ca="1">AVERAGE(OFFSET($BH$3,0,0,'Données projet'!$E$11+1,1))-AVERAGE(OFFSET($H$3,0,0,'Données projet'!$E$11+1,1))</f>
        <v>242.89078317348179</v>
      </c>
      <c r="BJ15" s="59">
        <f t="shared" si="38"/>
        <v>123.46226548411437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3.1749999999999998</v>
      </c>
      <c r="N16" s="13">
        <f>IF('Données projet'!$A$36&gt;35,N15+M16-V15,IF(A16&lt;'Données projet'!$A$36,$K$205^A16,IF(A16='Données projet'!$A$36,'Données projet'!$B$36,N15+M16-V15)))</f>
        <v>24.322839063666045</v>
      </c>
      <c r="O16" s="13">
        <f>N16*VLOOKUP('Données projet'!$B$9,Paramètres!$A$1:$I$89,3,0)*VLOOKUP('Données projet'!$B$9,Paramètres!$A$1:$I$89,5,0)</f>
        <v>14.545057760072297</v>
      </c>
      <c r="P16" s="13">
        <f t="shared" si="33"/>
        <v>4.9082586053991681</v>
      </c>
      <c r="Q16" s="20">
        <f t="shared" si="2"/>
        <v>33.881192669862806</v>
      </c>
      <c r="R16" s="59">
        <f t="shared" si="0"/>
        <v>306.43674822541834</v>
      </c>
      <c r="S16" s="59">
        <f ca="1">AVERAGE(OFFSET($R$3,0,0,'Données projet'!$E$9+1,1))-AVERAGE(OFFSET($H$3,0,0,'Données projet'!$E$9+1,1))</f>
        <v>194.59898508144084</v>
      </c>
      <c r="T16" s="59">
        <f t="shared" si="34"/>
        <v>237.00037875392565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2.2571428571428571</v>
      </c>
      <c r="AI16" s="13">
        <f>IF('Données projet'!$A$62&gt;35,AI15+AH16-AQ15,IF(A16&lt;'Données projet'!$A$62,$AF$205^A16,IF(A16='Données projet'!$A$62,'Données projet'!$B$62,AI15+AH16-AQ15)))</f>
        <v>5.0679569795248511</v>
      </c>
      <c r="AJ16" s="13">
        <f>AI16*VLOOKUP('Données projet'!$B$10,Paramètres!$A$1:$I$89,3,0)*VLOOKUP('Données projet'!$B$10,Paramètres!$A$1:$I$89,5,0)</f>
        <v>4.5854874750740855</v>
      </c>
      <c r="AK16" s="13">
        <f t="shared" si="35"/>
        <v>1.769914563749353</v>
      </c>
      <c r="AL16" s="20">
        <f t="shared" si="4"/>
        <v>11.068991884284154</v>
      </c>
      <c r="AM16" s="59">
        <f t="shared" si="5"/>
        <v>283.62454743983972</v>
      </c>
      <c r="AN16" s="59">
        <f ca="1">AVERAGE(OFFSET($AM$3,0,0,'Données projet'!$E$10+1,1))-AVERAGE(OFFSET($H$3,0,0,'Données projet'!$E$10+1,1))</f>
        <v>242.89078317348179</v>
      </c>
      <c r="AO16" s="59">
        <f t="shared" si="36"/>
        <v>123.46226548411437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2.2571428571428571</v>
      </c>
      <c r="BD16" s="12">
        <f>IF('Données projet'!$A$88&gt;35,BD15+BC16-BL15,IF(A16&lt;'Données projet'!$A$88,$BA$205^A16,IF(A16='Données projet'!$A$88,'Données projet'!$B$88,BD15+BC16-BL15)))</f>
        <v>5.0679569795248511</v>
      </c>
      <c r="BE16" s="13">
        <f>BD16*VLOOKUP('Données projet'!$B$11,Paramètres!$A$1:$I$89,3,0)*VLOOKUP('Données projet'!$B$11,Paramètres!$A$1:$I$89,5,0)</f>
        <v>4.5854874750740855</v>
      </c>
      <c r="BF16" s="13">
        <f t="shared" si="37"/>
        <v>1.769914563749353</v>
      </c>
      <c r="BG16" s="20">
        <f t="shared" si="7"/>
        <v>11.068991884284154</v>
      </c>
      <c r="BH16" s="59">
        <f t="shared" si="8"/>
        <v>283.62454743983972</v>
      </c>
      <c r="BI16" s="59">
        <f ca="1">AVERAGE(OFFSET($BH$3,0,0,'Données projet'!$E$11+1,1))-AVERAGE(OFFSET($H$3,0,0,'Données projet'!$E$11+1,1))</f>
        <v>242.89078317348179</v>
      </c>
      <c r="BJ16" s="59">
        <f t="shared" si="38"/>
        <v>123.46226548411437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3.1749999999999998</v>
      </c>
      <c r="N17" s="13">
        <f>IF('Données projet'!$A$36&gt;35,N16+M17-V16,IF(A17&lt;'Données projet'!$A$36,$K$205^A17,IF(A17='Données projet'!$A$36,'Données projet'!$B$36,N16+M17-V16)))</f>
        <v>31.090717757954547</v>
      </c>
      <c r="O17" s="13">
        <f>N17*VLOOKUP('Données projet'!$B$9,Paramètres!$A$1:$I$89,3,0)*VLOOKUP('Données projet'!$B$9,Paramètres!$A$1:$I$89,5,0)</f>
        <v>18.592249219256821</v>
      </c>
      <c r="P17" s="13">
        <f t="shared" si="33"/>
        <v>6.0972466000019407</v>
      </c>
      <c r="Q17" s="20">
        <f t="shared" si="2"/>
        <v>43.000871885209015</v>
      </c>
      <c r="R17" s="59">
        <f t="shared" si="0"/>
        <v>316.77864966298677</v>
      </c>
      <c r="S17" s="59">
        <f ca="1">AVERAGE(OFFSET($R$3,0,0,'Données projet'!$E$9+1,1))-AVERAGE(OFFSET($H$3,0,0,'Données projet'!$E$9+1,1))</f>
        <v>194.59898508144084</v>
      </c>
      <c r="T17" s="59">
        <f t="shared" si="34"/>
        <v>237.00037875392565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2.2571428571428571</v>
      </c>
      <c r="AI17" s="13">
        <f>IF('Données projet'!$A$62&gt;35,AI16+AH17-AQ16,IF(A17&lt;'Données projet'!$A$62,$AF$205^A17,IF(A17='Données projet'!$A$62,'Données projet'!$B$62,AI16+AH17-AQ16)))</f>
        <v>5.7418366957535909</v>
      </c>
      <c r="AJ17" s="13">
        <f>AI17*VLOOKUP('Données projet'!$B$10,Paramètres!$A$1:$I$89,3,0)*VLOOKUP('Données projet'!$B$10,Paramètres!$A$1:$I$89,5,0)</f>
        <v>5.1952138423178491</v>
      </c>
      <c r="AK17" s="13">
        <f t="shared" si="35"/>
        <v>1.9763290493690191</v>
      </c>
      <c r="AL17" s="20">
        <f t="shared" si="4"/>
        <v>12.490437203021294</v>
      </c>
      <c r="AM17" s="59">
        <f t="shared" si="5"/>
        <v>286.26821498079909</v>
      </c>
      <c r="AN17" s="59">
        <f ca="1">AVERAGE(OFFSET($AM$3,0,0,'Données projet'!$E$10+1,1))-AVERAGE(OFFSET($H$3,0,0,'Données projet'!$E$10+1,1))</f>
        <v>242.89078317348179</v>
      </c>
      <c r="AO17" s="59">
        <f t="shared" si="36"/>
        <v>123.46226548411437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2.2571428571428571</v>
      </c>
      <c r="BD17" s="12">
        <f>IF('Données projet'!$A$88&gt;35,BD16+BC17-BL16,IF(A17&lt;'Données projet'!$A$88,$BA$205^A17,IF(A17='Données projet'!$A$88,'Données projet'!$B$88,BD16+BC17-BL16)))</f>
        <v>5.7418366957535909</v>
      </c>
      <c r="BE17" s="13">
        <f>BD17*VLOOKUP('Données projet'!$B$11,Paramètres!$A$1:$I$89,3,0)*VLOOKUP('Données projet'!$B$11,Paramètres!$A$1:$I$89,5,0)</f>
        <v>5.1952138423178491</v>
      </c>
      <c r="BF17" s="13">
        <f t="shared" si="37"/>
        <v>1.9763290493690191</v>
      </c>
      <c r="BG17" s="20">
        <f t="shared" si="7"/>
        <v>12.490437203021294</v>
      </c>
      <c r="BH17" s="59">
        <f t="shared" si="8"/>
        <v>286.26821498079909</v>
      </c>
      <c r="BI17" s="59">
        <f ca="1">AVERAGE(OFFSET($BH$3,0,0,'Données projet'!$E$11+1,1))-AVERAGE(OFFSET($H$3,0,0,'Données projet'!$E$11+1,1))</f>
        <v>242.89078317348179</v>
      </c>
      <c r="BJ17" s="59">
        <f t="shared" si="38"/>
        <v>123.46226548411437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3.1749999999999998</v>
      </c>
      <c r="N18" s="13">
        <f>IF('Données projet'!$A$36&gt;35,N17+M18-V17,IF(A18&lt;'Données projet'!$A$36,$K$205^A18,IF(A18='Données projet'!$A$36,'Données projet'!$B$36,N17+M18-V17)))</f>
        <v>39.741772256708551</v>
      </c>
      <c r="O18" s="13">
        <f>N18*VLOOKUP('Données projet'!$B$9,Paramètres!$A$1:$I$89,3,0)*VLOOKUP('Données projet'!$B$9,Paramètres!$A$1:$I$89,5,0)</f>
        <v>23.765579809511717</v>
      </c>
      <c r="P18" s="13">
        <f t="shared" si="33"/>
        <v>7.5742578152545814</v>
      </c>
      <c r="Q18" s="20">
        <f t="shared" si="2"/>
        <v>54.5835505298013</v>
      </c>
      <c r="R18" s="59">
        <f t="shared" si="0"/>
        <v>329.5835505298013</v>
      </c>
      <c r="S18" s="59">
        <f ca="1">AVERAGE(OFFSET($R$3,0,0,'Données projet'!$E$9+1,1))-AVERAGE(OFFSET($H$3,0,0,'Données projet'!$E$9+1,1))</f>
        <v>194.59898508144084</v>
      </c>
      <c r="T18" s="59">
        <f t="shared" si="34"/>
        <v>237.00037875392565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2.2571428571428571</v>
      </c>
      <c r="AI18" s="13">
        <f>IF('Données projet'!$A$62&gt;35,AI17+AH18-AQ17,IF(A18&lt;'Données projet'!$A$62,$AF$205^A18,IF(A18='Données projet'!$A$62,'Données projet'!$B$62,AI17+AH18-AQ17)))</f>
        <v>6.5053213304493189</v>
      </c>
      <c r="AJ18" s="13">
        <f>AI18*VLOOKUP('Données projet'!$B$10,Paramètres!$A$1:$I$89,3,0)*VLOOKUP('Données projet'!$B$10,Paramètres!$A$1:$I$89,5,0)</f>
        <v>5.8860147397905438</v>
      </c>
      <c r="AK18" s="13">
        <f t="shared" si="35"/>
        <v>2.2068164144068727</v>
      </c>
      <c r="AL18" s="20">
        <f t="shared" si="4"/>
        <v>14.095014260227167</v>
      </c>
      <c r="AM18" s="59">
        <f t="shared" si="5"/>
        <v>289.09501426022717</v>
      </c>
      <c r="AN18" s="59">
        <f ca="1">AVERAGE(OFFSET($AM$3,0,0,'Données projet'!$E$10+1,1))-AVERAGE(OFFSET($H$3,0,0,'Données projet'!$E$10+1,1))</f>
        <v>242.89078317348179</v>
      </c>
      <c r="AO18" s="59">
        <f t="shared" si="36"/>
        <v>123.46226548411437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2.2571428571428571</v>
      </c>
      <c r="BD18" s="12">
        <f>IF('Données projet'!$A$88&gt;35,BD17+BC18-BL17,IF(A18&lt;'Données projet'!$A$88,$BA$205^A18,IF(A18='Données projet'!$A$88,'Données projet'!$B$88,BD17+BC18-BL17)))</f>
        <v>6.5053213304493189</v>
      </c>
      <c r="BE18" s="13">
        <f>BD18*VLOOKUP('Données projet'!$B$11,Paramètres!$A$1:$I$89,3,0)*VLOOKUP('Données projet'!$B$11,Paramètres!$A$1:$I$89,5,0)</f>
        <v>5.8860147397905438</v>
      </c>
      <c r="BF18" s="13">
        <f t="shared" si="37"/>
        <v>2.2068164144068727</v>
      </c>
      <c r="BG18" s="20">
        <f t="shared" si="7"/>
        <v>14.095014260227167</v>
      </c>
      <c r="BH18" s="59">
        <f t="shared" si="8"/>
        <v>289.09501426022717</v>
      </c>
      <c r="BI18" s="59">
        <f ca="1">AVERAGE(OFFSET($BH$3,0,0,'Données projet'!$E$11+1,1))-AVERAGE(OFFSET($H$3,0,0,'Données projet'!$E$11+1,1))</f>
        <v>242.89078317348179</v>
      </c>
      <c r="BJ18" s="59">
        <f t="shared" si="38"/>
        <v>123.46226548411437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50.8</v>
      </c>
      <c r="L19" s="12">
        <f>VLOOKUP(A19,'Données projet'!$A$35:$I$55,9,0)</f>
        <v>3.1749999999999998</v>
      </c>
      <c r="M19" s="12">
        <f t="array" ref="M19">INDEX(L:L,MIN(IF(ISNUMBER(L19:L215),ROW(L19:L215),"")))</f>
        <v>3.1749999999999998</v>
      </c>
      <c r="N19" s="13">
        <f>IF('Données projet'!$A$36&gt;35,N18+M19-V18,IF(A19&lt;'Données projet'!$A$36,$K$205^A19,IF(A19='Données projet'!$A$36,'Données projet'!$B$36,N18+M19-V18)))</f>
        <v>50.8</v>
      </c>
      <c r="O19" s="13">
        <f>N19*VLOOKUP('Données projet'!$B$9,Paramètres!$A$1:$I$89,3,0)*VLOOKUP('Données projet'!$B$9,Paramètres!$A$1:$I$89,5,0)</f>
        <v>30.378399999999999</v>
      </c>
      <c r="P19" s="13">
        <f t="shared" si="33"/>
        <v>9.4090636668569267</v>
      </c>
      <c r="Q19" s="20">
        <f t="shared" si="2"/>
        <v>69.296499219775797</v>
      </c>
      <c r="R19" s="59">
        <f t="shared" si="0"/>
        <v>345.51872144199803</v>
      </c>
      <c r="S19" s="59">
        <f ca="1">AVERAGE(OFFSET($R$3,0,0,'Données projet'!$E$9+1,1))-AVERAGE(OFFSET($H$3,0,0,'Données projet'!$E$9+1,1))</f>
        <v>194.59898508144084</v>
      </c>
      <c r="T19" s="59">
        <f t="shared" si="34"/>
        <v>237.00037875392565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7.6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0.3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1.5437308037394846</v>
      </c>
      <c r="AC19" s="22">
        <f t="shared" si="3"/>
        <v>1.5437308037394846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2.2571428571428571</v>
      </c>
      <c r="AI19" s="13">
        <f>IF('Données projet'!$A$62&gt;35,AI18+AH19-AQ18,IF(A19&lt;'Données projet'!$A$62,$AF$205^A19,IF(A19='Données projet'!$A$62,'Données projet'!$B$62,AI18+AH19-AQ18)))</f>
        <v>7.3703255342835341</v>
      </c>
      <c r="AJ19" s="13">
        <f>AI19*VLOOKUP('Données projet'!$B$10,Paramètres!$A$1:$I$89,3,0)*VLOOKUP('Données projet'!$B$10,Paramètres!$A$1:$I$89,5,0)</f>
        <v>6.6686705434197409</v>
      </c>
      <c r="AK19" s="13">
        <f t="shared" si="35"/>
        <v>2.4641841339378465</v>
      </c>
      <c r="AL19" s="20">
        <f t="shared" si="4"/>
        <v>15.906388563064466</v>
      </c>
      <c r="AM19" s="59">
        <f t="shared" si="5"/>
        <v>292.1286107852867</v>
      </c>
      <c r="AN19" s="59">
        <f ca="1">AVERAGE(OFFSET($AM$3,0,0,'Données projet'!$E$10+1,1))-AVERAGE(OFFSET($H$3,0,0,'Données projet'!$E$10+1,1))</f>
        <v>242.89078317348179</v>
      </c>
      <c r="AO19" s="59">
        <f t="shared" si="36"/>
        <v>123.46226548411437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2.2571428571428571</v>
      </c>
      <c r="BD19" s="12">
        <f>IF('Données projet'!$A$88&gt;35,BD18+BC19-BL18,IF(A19&lt;'Données projet'!$A$88,$BA$205^A19,IF(A19='Données projet'!$A$88,'Données projet'!$B$88,BD18+BC19-BL18)))</f>
        <v>7.3703255342835341</v>
      </c>
      <c r="BE19" s="13">
        <f>BD19*VLOOKUP('Données projet'!$B$11,Paramètres!$A$1:$I$89,3,0)*VLOOKUP('Données projet'!$B$11,Paramètres!$A$1:$I$89,5,0)</f>
        <v>6.6686705434197409</v>
      </c>
      <c r="BF19" s="13">
        <f t="shared" si="37"/>
        <v>2.4641841339378465</v>
      </c>
      <c r="BG19" s="20">
        <f t="shared" si="7"/>
        <v>15.906388563064466</v>
      </c>
      <c r="BH19" s="59">
        <f t="shared" si="8"/>
        <v>292.1286107852867</v>
      </c>
      <c r="BI19" s="59">
        <f ca="1">AVERAGE(OFFSET($BH$3,0,0,'Données projet'!$E$11+1,1))-AVERAGE(OFFSET($H$3,0,0,'Données projet'!$E$11+1,1))</f>
        <v>242.89078317348179</v>
      </c>
      <c r="BJ19" s="59">
        <f t="shared" si="38"/>
        <v>123.46226548411437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9.7125000000000021</v>
      </c>
      <c r="N20" s="13">
        <f>IF('Données projet'!$A$36&gt;35,N19+M20-V19,IF(A20&lt;'Données projet'!$A$36,$K$205^A20,IF(A20='Données projet'!$A$36,'Données projet'!$B$36,N19+M20-V19)))</f>
        <v>52.912500000000001</v>
      </c>
      <c r="O20" s="13">
        <f>N20*VLOOKUP('Données projet'!$B$9,Paramètres!$A$1:$I$89,3,0)*VLOOKUP('Données projet'!$B$9,Paramètres!$A$1:$I$89,5,0)</f>
        <v>31.641675000000003</v>
      </c>
      <c r="P20" s="13">
        <f t="shared" si="33"/>
        <v>9.7539680471261079</v>
      </c>
      <c r="Q20" s="20">
        <f t="shared" si="2"/>
        <v>72.097411640411309</v>
      </c>
      <c r="R20" s="59">
        <f t="shared" si="0"/>
        <v>349.54185608485579</v>
      </c>
      <c r="S20" s="59">
        <f ca="1">AVERAGE(OFFSET($R$3,0,0,'Données projet'!$E$9+1,1))-AVERAGE(OFFSET($H$3,0,0,'Données projet'!$E$9+1,1))</f>
        <v>194.59898508144084</v>
      </c>
      <c r="T20" s="59">
        <f t="shared" si="34"/>
        <v>237.00037875392565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1.0915825196507489</v>
      </c>
      <c r="AC20" s="22">
        <f t="shared" si="3"/>
        <v>1.0915825196507489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2.2571428571428571</v>
      </c>
      <c r="AI20" s="13">
        <f>IF('Données projet'!$A$62&gt;35,AI19+AH20-AQ19,IF(A20&lt;'Données projet'!$A$62,$AF$205^A20,IF(A20='Données projet'!$A$62,'Données projet'!$B$62,AI19+AH20-AQ19)))</f>
        <v>8.3503482336913102</v>
      </c>
      <c r="AJ20" s="13">
        <f>AI20*VLOOKUP('Données projet'!$B$10,Paramètres!$A$1:$I$89,3,0)*VLOOKUP('Données projet'!$B$10,Paramètres!$A$1:$I$89,5,0)</f>
        <v>7.5553950818438977</v>
      </c>
      <c r="AK20" s="13">
        <f t="shared" si="35"/>
        <v>2.7515671019616952</v>
      </c>
      <c r="AL20" s="20">
        <f t="shared" si="4"/>
        <v>17.951292470128077</v>
      </c>
      <c r="AM20" s="59">
        <f t="shared" si="5"/>
        <v>295.39573691457252</v>
      </c>
      <c r="AN20" s="59">
        <f ca="1">AVERAGE(OFFSET($AM$3,0,0,'Données projet'!$E$10+1,1))-AVERAGE(OFFSET($H$3,0,0,'Données projet'!$E$10+1,1))</f>
        <v>242.89078317348179</v>
      </c>
      <c r="AO20" s="59">
        <f t="shared" si="36"/>
        <v>123.46226548411437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2.2571428571428571</v>
      </c>
      <c r="BD20" s="12">
        <f>IF('Données projet'!$A$88&gt;35,BD19+BC20-BL19,IF(A20&lt;'Données projet'!$A$88,$BA$205^A20,IF(A20='Données projet'!$A$88,'Données projet'!$B$88,BD19+BC20-BL19)))</f>
        <v>8.3503482336913102</v>
      </c>
      <c r="BE20" s="13">
        <f>BD20*VLOOKUP('Données projet'!$B$11,Paramètres!$A$1:$I$89,3,0)*VLOOKUP('Données projet'!$B$11,Paramètres!$A$1:$I$89,5,0)</f>
        <v>7.5553950818438977</v>
      </c>
      <c r="BF20" s="13">
        <f t="shared" si="37"/>
        <v>2.7515671019616952</v>
      </c>
      <c r="BG20" s="20">
        <f t="shared" si="7"/>
        <v>17.951292470128077</v>
      </c>
      <c r="BH20" s="59">
        <f t="shared" si="8"/>
        <v>295.39573691457252</v>
      </c>
      <c r="BI20" s="59">
        <f ca="1">AVERAGE(OFFSET($BH$3,0,0,'Données projet'!$E$11+1,1))-AVERAGE(OFFSET($H$3,0,0,'Données projet'!$E$11+1,1))</f>
        <v>242.89078317348179</v>
      </c>
      <c r="BJ20" s="59">
        <f t="shared" si="38"/>
        <v>123.46226548411437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9.7125000000000021</v>
      </c>
      <c r="N21" s="13">
        <f>IF('Données projet'!$A$36&gt;35,N20+M21-V20,IF(A21&lt;'Données projet'!$A$36,$K$205^A21,IF(A21='Données projet'!$A$36,'Données projet'!$B$36,N20+M21-V20)))</f>
        <v>62.625</v>
      </c>
      <c r="O21" s="13">
        <f>N21*VLOOKUP('Données projet'!$B$9,Paramètres!$A$1:$I$89,3,0)*VLOOKUP('Données projet'!$B$9,Paramètres!$A$1:$I$89,5,0)</f>
        <v>37.449750000000002</v>
      </c>
      <c r="P21" s="13">
        <f t="shared" si="33"/>
        <v>11.320133096785115</v>
      </c>
      <c r="Q21" s="20">
        <f t="shared" si="2"/>
        <v>84.940879726900747</v>
      </c>
      <c r="R21" s="59">
        <f t="shared" si="0"/>
        <v>363.60754639356742</v>
      </c>
      <c r="S21" s="59">
        <f ca="1">AVERAGE(OFFSET($R$3,0,0,'Données projet'!$E$9+1,1))-AVERAGE(OFFSET($H$3,0,0,'Données projet'!$E$9+1,1))</f>
        <v>194.59898508144084</v>
      </c>
      <c r="T21" s="59">
        <f t="shared" si="34"/>
        <v>237.00037875392565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0.7718654018697424</v>
      </c>
      <c r="AC21" s="22">
        <f t="shared" si="3"/>
        <v>0.7718654018697424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2.2571428571428571</v>
      </c>
      <c r="AI21" s="13">
        <f>IF('Données projet'!$A$62&gt;35,AI20+AH21-AQ20,IF(A21&lt;'Données projet'!$A$62,$AF$205^A21,IF(A21='Données projet'!$A$62,'Données projet'!$B$62,AI20+AH21-AQ20)))</f>
        <v>9.4606832899803308</v>
      </c>
      <c r="AJ21" s="13">
        <f>AI21*VLOOKUP('Données projet'!$B$10,Paramètres!$A$1:$I$89,3,0)*VLOOKUP('Données projet'!$B$10,Paramètres!$A$1:$I$89,5,0)</f>
        <v>8.5600262407742029</v>
      </c>
      <c r="AK21" s="13">
        <f t="shared" si="35"/>
        <v>3.07246581630204</v>
      </c>
      <c r="AL21" s="20">
        <f t="shared" si="4"/>
        <v>20.259923666074457</v>
      </c>
      <c r="AM21" s="59">
        <f t="shared" si="5"/>
        <v>298.92659033274117</v>
      </c>
      <c r="AN21" s="59">
        <f ca="1">AVERAGE(OFFSET($AM$3,0,0,'Données projet'!$E$10+1,1))-AVERAGE(OFFSET($H$3,0,0,'Données projet'!$E$10+1,1))</f>
        <v>242.89078317348179</v>
      </c>
      <c r="AO21" s="59">
        <f t="shared" si="36"/>
        <v>123.46226548411437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2.2571428571428571</v>
      </c>
      <c r="BD21" s="12">
        <f>IF('Données projet'!$A$88&gt;35,BD20+BC21-BL20,IF(A21&lt;'Données projet'!$A$88,$BA$205^A21,IF(A21='Données projet'!$A$88,'Données projet'!$B$88,BD20+BC21-BL20)))</f>
        <v>9.4606832899803308</v>
      </c>
      <c r="BE21" s="13">
        <f>BD21*VLOOKUP('Données projet'!$B$11,Paramètres!$A$1:$I$89,3,0)*VLOOKUP('Données projet'!$B$11,Paramètres!$A$1:$I$89,5,0)</f>
        <v>8.5600262407742029</v>
      </c>
      <c r="BF21" s="13">
        <f t="shared" si="37"/>
        <v>3.07246581630204</v>
      </c>
      <c r="BG21" s="20">
        <f t="shared" si="7"/>
        <v>20.259923666074457</v>
      </c>
      <c r="BH21" s="59">
        <f t="shared" si="8"/>
        <v>298.92659033274117</v>
      </c>
      <c r="BI21" s="59">
        <f ca="1">AVERAGE(OFFSET($BH$3,0,0,'Données projet'!$E$11+1,1))-AVERAGE(OFFSET($H$3,0,0,'Données projet'!$E$11+1,1))</f>
        <v>242.89078317348179</v>
      </c>
      <c r="BJ21" s="59">
        <f t="shared" si="38"/>
        <v>123.46226548411437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9.7125000000000021</v>
      </c>
      <c r="N22" s="13">
        <f>IF('Données projet'!$A$36&gt;35,N21+M22-V21,IF(A22&lt;'Données projet'!$A$36,$K$205^A22,IF(A22='Données projet'!$A$36,'Données projet'!$B$36,N21+M22-V21)))</f>
        <v>72.337500000000006</v>
      </c>
      <c r="O22" s="13">
        <f>N22*VLOOKUP('Données projet'!$B$9,Paramètres!$A$1:$I$89,3,0)*VLOOKUP('Données projet'!$B$9,Paramètres!$A$1:$I$89,5,0)</f>
        <v>43.257825000000011</v>
      </c>
      <c r="P22" s="13">
        <f t="shared" si="33"/>
        <v>12.858159702951053</v>
      </c>
      <c r="Q22" s="20">
        <f t="shared" si="2"/>
        <v>97.735340024306439</v>
      </c>
      <c r="R22" s="59">
        <f t="shared" si="0"/>
        <v>377.62422891319528</v>
      </c>
      <c r="S22" s="59">
        <f ca="1">AVERAGE(OFFSET($R$3,0,0,'Données projet'!$E$9+1,1))-AVERAGE(OFFSET($H$3,0,0,'Données projet'!$E$9+1,1))</f>
        <v>194.59898508144084</v>
      </c>
      <c r="T22" s="59">
        <f t="shared" si="34"/>
        <v>237.00037875392565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0.54579125982537458</v>
      </c>
      <c r="AC22" s="22">
        <f t="shared" si="3"/>
        <v>0.54579125982537458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2.2571428571428571</v>
      </c>
      <c r="AI22" s="13">
        <f>IF('Données projet'!$A$62&gt;35,AI21+AH22-AQ21,IF(A22&lt;'Données projet'!$A$62,$AF$205^A22,IF(A22='Données projet'!$A$62,'Données projet'!$B$62,AI21+AH22-AQ21)))</f>
        <v>10.718658169510514</v>
      </c>
      <c r="AJ22" s="13">
        <f>AI22*VLOOKUP('Données projet'!$B$10,Paramètres!$A$1:$I$89,3,0)*VLOOKUP('Données projet'!$B$10,Paramètres!$A$1:$I$89,5,0)</f>
        <v>9.6982419117731133</v>
      </c>
      <c r="AK22" s="13">
        <f t="shared" si="35"/>
        <v>3.4307890167804382</v>
      </c>
      <c r="AL22" s="20">
        <f t="shared" si="4"/>
        <v>22.866395533897432</v>
      </c>
      <c r="AM22" s="59">
        <f t="shared" si="5"/>
        <v>302.7552844227863</v>
      </c>
      <c r="AN22" s="59">
        <f ca="1">AVERAGE(OFFSET($AM$3,0,0,'Données projet'!$E$10+1,1))-AVERAGE(OFFSET($H$3,0,0,'Données projet'!$E$10+1,1))</f>
        <v>242.89078317348179</v>
      </c>
      <c r="AO22" s="59">
        <f t="shared" si="36"/>
        <v>123.46226548411437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2.2571428571428571</v>
      </c>
      <c r="BD22" s="12">
        <f>IF('Données projet'!$A$88&gt;35,BD21+BC22-BL21,IF(A22&lt;'Données projet'!$A$88,$BA$205^A22,IF(A22='Données projet'!$A$88,'Données projet'!$B$88,BD21+BC22-BL21)))</f>
        <v>10.718658169510514</v>
      </c>
      <c r="BE22" s="13">
        <f>BD22*VLOOKUP('Données projet'!$B$11,Paramètres!$A$1:$I$89,3,0)*VLOOKUP('Données projet'!$B$11,Paramètres!$A$1:$I$89,5,0)</f>
        <v>9.6982419117731133</v>
      </c>
      <c r="BF22" s="13">
        <f t="shared" si="37"/>
        <v>3.4307890167804382</v>
      </c>
      <c r="BG22" s="20">
        <f t="shared" si="7"/>
        <v>22.866395533897432</v>
      </c>
      <c r="BH22" s="59">
        <f t="shared" si="8"/>
        <v>302.7552844227863</v>
      </c>
      <c r="BI22" s="59">
        <f ca="1">AVERAGE(OFFSET($BH$3,0,0,'Données projet'!$E$11+1,1))-AVERAGE(OFFSET($H$3,0,0,'Données projet'!$E$11+1,1))</f>
        <v>242.89078317348179</v>
      </c>
      <c r="BJ22" s="59">
        <f t="shared" si="38"/>
        <v>123.46226548411437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9.7125000000000021</v>
      </c>
      <c r="N23" s="13">
        <f>IF('Données projet'!$A$36&gt;35,N22+M23-V22,IF(A23&lt;'Données projet'!$A$36,$K$205^A23,IF(A23='Données projet'!$A$36,'Données projet'!$B$36,N22+M23-V22)))</f>
        <v>82.050000000000011</v>
      </c>
      <c r="O23" s="13">
        <f>N23*VLOOKUP('Données projet'!$B$9,Paramètres!$A$1:$I$89,3,0)*VLOOKUP('Données projet'!$B$9,Paramètres!$A$1:$I$89,5,0)</f>
        <v>49.065900000000013</v>
      </c>
      <c r="P23" s="13">
        <f t="shared" si="33"/>
        <v>14.372260129888497</v>
      </c>
      <c r="Q23" s="20">
        <f t="shared" si="2"/>
        <v>110.48812889288915</v>
      </c>
      <c r="R23" s="59">
        <f t="shared" si="0"/>
        <v>391.59924000400031</v>
      </c>
      <c r="S23" s="59">
        <f ca="1">AVERAGE(OFFSET($R$3,0,0,'Données projet'!$E$9+1,1))-AVERAGE(OFFSET($H$3,0,0,'Données projet'!$E$9+1,1))</f>
        <v>194.59898508144084</v>
      </c>
      <c r="T23" s="59">
        <f t="shared" si="34"/>
        <v>237.00037875392565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0.38593270093487125</v>
      </c>
      <c r="AC23" s="22">
        <f t="shared" si="3"/>
        <v>0.38593270093487125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2.2571428571428571</v>
      </c>
      <c r="AI23" s="13">
        <f>IF('Données projet'!$A$62&gt;35,AI22+AH23-AQ22,IF(A23&lt;'Données projet'!$A$62,$AF$205^A23,IF(A23='Données projet'!$A$62,'Données projet'!$B$62,AI22+AH23-AQ22)))</f>
        <v>12.143904349540204</v>
      </c>
      <c r="AJ23" s="13">
        <f>AI23*VLOOKUP('Données projet'!$B$10,Paramètres!$A$1:$I$89,3,0)*VLOOKUP('Données projet'!$B$10,Paramètres!$A$1:$I$89,5,0)</f>
        <v>10.987804655463977</v>
      </c>
      <c r="AK23" s="13">
        <f t="shared" si="35"/>
        <v>3.8309012960241158</v>
      </c>
      <c r="AL23" s="20">
        <f t="shared" si="4"/>
        <v>25.809246198841763</v>
      </c>
      <c r="AM23" s="59">
        <f t="shared" si="5"/>
        <v>306.92035730995292</v>
      </c>
      <c r="AN23" s="59">
        <f ca="1">AVERAGE(OFFSET($AM$3,0,0,'Données projet'!$E$10+1,1))-AVERAGE(OFFSET($H$3,0,0,'Données projet'!$E$10+1,1))</f>
        <v>242.89078317348179</v>
      </c>
      <c r="AO23" s="59">
        <f t="shared" si="36"/>
        <v>123.46226548411437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2.2571428571428571</v>
      </c>
      <c r="BD23" s="12">
        <f>IF('Données projet'!$A$88&gt;35,BD22+BC23-BL22,IF(A23&lt;'Données projet'!$A$88,$BA$205^A23,IF(A23='Données projet'!$A$88,'Données projet'!$B$88,BD22+BC23-BL22)))</f>
        <v>12.143904349540204</v>
      </c>
      <c r="BE23" s="13">
        <f>BD23*VLOOKUP('Données projet'!$B$11,Paramètres!$A$1:$I$89,3,0)*VLOOKUP('Données projet'!$B$11,Paramètres!$A$1:$I$89,5,0)</f>
        <v>10.987804655463977</v>
      </c>
      <c r="BF23" s="13">
        <f t="shared" si="37"/>
        <v>3.8309012960241158</v>
      </c>
      <c r="BG23" s="20">
        <f t="shared" si="7"/>
        <v>25.809246198841763</v>
      </c>
      <c r="BH23" s="59">
        <f t="shared" si="8"/>
        <v>306.92035730995292</v>
      </c>
      <c r="BI23" s="59">
        <f ca="1">AVERAGE(OFFSET($BH$3,0,0,'Données projet'!$E$11+1,1))-AVERAGE(OFFSET($H$3,0,0,'Données projet'!$E$11+1,1))</f>
        <v>242.89078317348179</v>
      </c>
      <c r="BJ23" s="59">
        <f t="shared" si="38"/>
        <v>123.46226548411437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9.7125000000000021</v>
      </c>
      <c r="N24" s="13">
        <f>IF('Données projet'!$A$36&gt;35,N23+M24-V23,IF(A24&lt;'Données projet'!$A$36,$K$205^A24,IF(A24='Données projet'!$A$36,'Données projet'!$B$36,N23+M24-V23)))</f>
        <v>91.762500000000017</v>
      </c>
      <c r="O24" s="13">
        <f>N24*VLOOKUP('Données projet'!$B$9,Paramètres!$A$1:$I$89,3,0)*VLOOKUP('Données projet'!$B$9,Paramètres!$A$1:$I$89,5,0)</f>
        <v>54.873975000000016</v>
      </c>
      <c r="P24" s="13">
        <f t="shared" si="33"/>
        <v>15.865590274243059</v>
      </c>
      <c r="Q24" s="20">
        <f t="shared" si="2"/>
        <v>123.20474285264002</v>
      </c>
      <c r="R24" s="59">
        <f t="shared" si="0"/>
        <v>405.53807618597335</v>
      </c>
      <c r="S24" s="59">
        <f ca="1">AVERAGE(OFFSET($R$3,0,0,'Données projet'!$E$9+1,1))-AVERAGE(OFFSET($H$3,0,0,'Données projet'!$E$9+1,1))</f>
        <v>194.59898508144084</v>
      </c>
      <c r="T24" s="59">
        <f t="shared" si="34"/>
        <v>237.00037875392565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0.27289562991268729</v>
      </c>
      <c r="AC24" s="22">
        <f t="shared" si="3"/>
        <v>0.27289562991268729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2.2571428571428571</v>
      </c>
      <c r="AI24" s="13">
        <f>IF('Données projet'!$A$62&gt;35,AI23+AH24-AQ23,IF(A24&lt;'Données projet'!$A$62,$AF$205^A24,IF(A24='Données projet'!$A$62,'Données projet'!$B$62,AI23+AH24-AQ23)))</f>
        <v>13.758663679589679</v>
      </c>
      <c r="AJ24" s="13">
        <f>AI24*VLOOKUP('Données projet'!$B$10,Paramètres!$A$1:$I$89,3,0)*VLOOKUP('Données projet'!$B$10,Paramètres!$A$1:$I$89,5,0)</f>
        <v>12.448838897292742</v>
      </c>
      <c r="AK24" s="13">
        <f t="shared" si="35"/>
        <v>4.2776762628357403</v>
      </c>
      <c r="AL24" s="20">
        <f t="shared" si="4"/>
        <v>29.132013903890439</v>
      </c>
      <c r="AM24" s="59">
        <f t="shared" si="5"/>
        <v>311.46534723722374</v>
      </c>
      <c r="AN24" s="59">
        <f ca="1">AVERAGE(OFFSET($AM$3,0,0,'Données projet'!$E$10+1,1))-AVERAGE(OFFSET($H$3,0,0,'Données projet'!$E$10+1,1))</f>
        <v>242.89078317348179</v>
      </c>
      <c r="AO24" s="59">
        <f t="shared" si="36"/>
        <v>123.46226548411437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2.2571428571428571</v>
      </c>
      <c r="BD24" s="12">
        <f>IF('Données projet'!$A$88&gt;35,BD23+BC24-BL23,IF(A24&lt;'Données projet'!$A$88,$BA$205^A24,IF(A24='Données projet'!$A$88,'Données projet'!$B$88,BD23+BC24-BL23)))</f>
        <v>13.758663679589679</v>
      </c>
      <c r="BE24" s="13">
        <f>BD24*VLOOKUP('Données projet'!$B$11,Paramètres!$A$1:$I$89,3,0)*VLOOKUP('Données projet'!$B$11,Paramètres!$A$1:$I$89,5,0)</f>
        <v>12.448838897292742</v>
      </c>
      <c r="BF24" s="13">
        <f t="shared" si="37"/>
        <v>4.2776762628357403</v>
      </c>
      <c r="BG24" s="20">
        <f t="shared" si="7"/>
        <v>29.132013903890439</v>
      </c>
      <c r="BH24" s="59">
        <f t="shared" si="8"/>
        <v>311.46534723722374</v>
      </c>
      <c r="BI24" s="59">
        <f ca="1">AVERAGE(OFFSET($BH$3,0,0,'Données projet'!$E$11+1,1))-AVERAGE(OFFSET($H$3,0,0,'Données projet'!$E$11+1,1))</f>
        <v>242.89078317348179</v>
      </c>
      <c r="BJ24" s="59">
        <f t="shared" si="38"/>
        <v>123.46226548411437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9.7125000000000021</v>
      </c>
      <c r="N25" s="13">
        <f>IF('Données projet'!$A$36&gt;35,N24+M25-V24,IF(A25&lt;'Données projet'!$A$36,$K$205^A25,IF(A25='Données projet'!$A$36,'Données projet'!$B$36,N24+M25-V24)))</f>
        <v>101.47500000000002</v>
      </c>
      <c r="O25" s="13">
        <f>N25*VLOOKUP('Données projet'!$B$9,Paramètres!$A$1:$I$89,3,0)*VLOOKUP('Données projet'!$B$9,Paramètres!$A$1:$I$89,5,0)</f>
        <v>60.682050000000018</v>
      </c>
      <c r="P25" s="13">
        <f t="shared" si="33"/>
        <v>17.340599044811384</v>
      </c>
      <c r="Q25" s="20">
        <f t="shared" si="2"/>
        <v>135.88944708637985</v>
      </c>
      <c r="R25" s="59">
        <f t="shared" si="0"/>
        <v>419.44500264193539</v>
      </c>
      <c r="S25" s="59">
        <f ca="1">AVERAGE(OFFSET($R$3,0,0,'Données projet'!$E$9+1,1))-AVERAGE(OFFSET($H$3,0,0,'Données projet'!$E$9+1,1))</f>
        <v>194.59898508144084</v>
      </c>
      <c r="T25" s="59">
        <f t="shared" si="34"/>
        <v>237.00037875392565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0.19296635046743563</v>
      </c>
      <c r="AC25" s="22">
        <f t="shared" si="3"/>
        <v>0.19296635046743563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2.2571428571428571</v>
      </c>
      <c r="AI25" s="13">
        <f>IF('Données projet'!$A$62&gt;35,AI24+AH25-AQ24,IF(A25&lt;'Données projet'!$A$62,$AF$205^A25,IF(A25='Données projet'!$A$62,'Données projet'!$B$62,AI24+AH25-AQ24)))</f>
        <v>15.588135479280812</v>
      </c>
      <c r="AJ25" s="13">
        <f>AI25*VLOOKUP('Données projet'!$B$10,Paramètres!$A$1:$I$89,3,0)*VLOOKUP('Données projet'!$B$10,Paramètres!$A$1:$I$89,5,0)</f>
        <v>14.104144981653278</v>
      </c>
      <c r="AK25" s="13">
        <f t="shared" si="35"/>
        <v>4.7765559056870996</v>
      </c>
      <c r="AL25" s="20">
        <f t="shared" si="4"/>
        <v>32.883887378784486</v>
      </c>
      <c r="AM25" s="59">
        <f t="shared" si="5"/>
        <v>316.43944293434004</v>
      </c>
      <c r="AN25" s="59">
        <f ca="1">AVERAGE(OFFSET($AM$3,0,0,'Données projet'!$E$10+1,1))-AVERAGE(OFFSET($H$3,0,0,'Données projet'!$E$10+1,1))</f>
        <v>242.89078317348179</v>
      </c>
      <c r="AO25" s="59">
        <f t="shared" si="36"/>
        <v>123.46226548411437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2.2571428571428571</v>
      </c>
      <c r="BD25" s="12">
        <f>IF('Données projet'!$A$88&gt;35,BD24+BC25-BL24,IF(A25&lt;'Données projet'!$A$88,$BA$205^A25,IF(A25='Données projet'!$A$88,'Données projet'!$B$88,BD24+BC25-BL24)))</f>
        <v>15.588135479280812</v>
      </c>
      <c r="BE25" s="13">
        <f>BD25*VLOOKUP('Données projet'!$B$11,Paramètres!$A$1:$I$89,3,0)*VLOOKUP('Données projet'!$B$11,Paramètres!$A$1:$I$89,5,0)</f>
        <v>14.104144981653278</v>
      </c>
      <c r="BF25" s="13">
        <f t="shared" si="37"/>
        <v>4.7765559056870996</v>
      </c>
      <c r="BG25" s="20">
        <f t="shared" si="7"/>
        <v>32.883887378784486</v>
      </c>
      <c r="BH25" s="59">
        <f t="shared" si="8"/>
        <v>316.43944293434004</v>
      </c>
      <c r="BI25" s="59">
        <f ca="1">AVERAGE(OFFSET($BH$3,0,0,'Données projet'!$E$11+1,1))-AVERAGE(OFFSET($H$3,0,0,'Données projet'!$E$11+1,1))</f>
        <v>242.89078317348179</v>
      </c>
      <c r="BJ25" s="59">
        <f t="shared" si="38"/>
        <v>123.46226548411437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9.7125000000000021</v>
      </c>
      <c r="N26" s="13">
        <f>IF('Données projet'!$A$36&gt;35,N25+M26-V25,IF(A26&lt;'Données projet'!$A$36,$K$205^A26,IF(A26='Données projet'!$A$36,'Données projet'!$B$36,N25+M26-V25)))</f>
        <v>111.18750000000003</v>
      </c>
      <c r="O26" s="13">
        <f>N26*VLOOKUP('Données projet'!$B$9,Paramètres!$A$1:$I$89,3,0)*VLOOKUP('Données projet'!$B$9,Paramètres!$A$1:$I$89,5,0)</f>
        <v>66.49012500000002</v>
      </c>
      <c r="P26" s="13">
        <f t="shared" si="33"/>
        <v>18.799239557198359</v>
      </c>
      <c r="Q26" s="20">
        <f t="shared" si="2"/>
        <v>148.54564327045384</v>
      </c>
      <c r="R26" s="59">
        <f t="shared" si="0"/>
        <v>433.32342104823158</v>
      </c>
      <c r="S26" s="59">
        <f ca="1">AVERAGE(OFFSET($R$3,0,0,'Données projet'!$E$9+1,1))-AVERAGE(OFFSET($H$3,0,0,'Données projet'!$E$9+1,1))</f>
        <v>194.59898508144084</v>
      </c>
      <c r="T26" s="59">
        <f t="shared" si="34"/>
        <v>237.00037875392565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0.13644781495634364</v>
      </c>
      <c r="AC26" s="22">
        <f t="shared" si="3"/>
        <v>0.13644781495634364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2.2571428571428571</v>
      </c>
      <c r="AI26" s="13">
        <f>IF('Données projet'!$A$62&gt;35,AI25+AH26-AQ25,IF(A26&lt;'Données projet'!$A$62,$AF$205^A26,IF(A26='Données projet'!$A$62,'Données projet'!$B$62,AI25+AH26-AQ25)))</f>
        <v>17.660869789329706</v>
      </c>
      <c r="AJ26" s="13">
        <f>AI26*VLOOKUP('Données projet'!$B$10,Paramètres!$A$1:$I$89,3,0)*VLOOKUP('Données projet'!$B$10,Paramètres!$A$1:$I$89,5,0)</f>
        <v>15.979554985385517</v>
      </c>
      <c r="AK26" s="13">
        <f t="shared" si="35"/>
        <v>5.3336168794198455</v>
      </c>
      <c r="AL26" s="20">
        <f t="shared" si="4"/>
        <v>37.120440997869338</v>
      </c>
      <c r="AM26" s="59">
        <f t="shared" si="5"/>
        <v>321.89821877564714</v>
      </c>
      <c r="AN26" s="59">
        <f ca="1">AVERAGE(OFFSET($AM$3,0,0,'Données projet'!$E$10+1,1))-AVERAGE(OFFSET($H$3,0,0,'Données projet'!$E$10+1,1))</f>
        <v>242.89078317348179</v>
      </c>
      <c r="AO26" s="59">
        <f t="shared" si="36"/>
        <v>123.46226548411437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2.2571428571428571</v>
      </c>
      <c r="BD26" s="12">
        <f>IF('Données projet'!$A$88&gt;35,BD25+BC26-BL25,IF(A26&lt;'Données projet'!$A$88,$BA$205^A26,IF(A26='Données projet'!$A$88,'Données projet'!$B$88,BD25+BC26-BL25)))</f>
        <v>17.660869789329706</v>
      </c>
      <c r="BE26" s="13">
        <f>BD26*VLOOKUP('Données projet'!$B$11,Paramètres!$A$1:$I$89,3,0)*VLOOKUP('Données projet'!$B$11,Paramètres!$A$1:$I$89,5,0)</f>
        <v>15.979554985385517</v>
      </c>
      <c r="BF26" s="13">
        <f t="shared" si="37"/>
        <v>5.3336168794198455</v>
      </c>
      <c r="BG26" s="20">
        <f t="shared" si="7"/>
        <v>37.120440997869338</v>
      </c>
      <c r="BH26" s="59">
        <f t="shared" si="8"/>
        <v>321.89821877564714</v>
      </c>
      <c r="BI26" s="59">
        <f ca="1">AVERAGE(OFFSET($BH$3,0,0,'Données projet'!$E$11+1,1))-AVERAGE(OFFSET($H$3,0,0,'Données projet'!$E$11+1,1))</f>
        <v>242.89078317348179</v>
      </c>
      <c r="BJ26" s="59">
        <f t="shared" si="38"/>
        <v>123.46226548411437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120.9</v>
      </c>
      <c r="L27" s="12">
        <f>VLOOKUP(A27,'Données projet'!$A$35:$I$55,9,0)</f>
        <v>9.7125000000000021</v>
      </c>
      <c r="M27" s="12">
        <f t="array" ref="M27">INDEX(L:L,MIN(IF(ISNUMBER(L27:L223),ROW(L27:L223),"")))</f>
        <v>9.7125000000000021</v>
      </c>
      <c r="N27" s="13">
        <f>IF('Données projet'!$A$36&gt;35,N26+M27-V26,IF(A27&lt;'Données projet'!$A$36,$K$205^A27,IF(A27='Données projet'!$A$36,'Données projet'!$B$36,N26+M27-V26)))</f>
        <v>120.90000000000003</v>
      </c>
      <c r="O27" s="13">
        <f>N27*VLOOKUP('Données projet'!$B$9,Paramètres!$A$1:$I$89,3,0)*VLOOKUP('Données projet'!$B$9,Paramètres!$A$1:$I$89,5,0)</f>
        <v>72.298200000000023</v>
      </c>
      <c r="P27" s="13">
        <f t="shared" si="33"/>
        <v>20.243104193750582</v>
      </c>
      <c r="Q27" s="20">
        <f t="shared" si="2"/>
        <v>161.17610480411562</v>
      </c>
      <c r="R27" s="59">
        <f t="shared" si="0"/>
        <v>447.17610480411565</v>
      </c>
      <c r="S27" s="59">
        <f ca="1">AVERAGE(OFFSET($R$3,0,0,'Données projet'!$E$9+1,1))-AVERAGE(OFFSET($H$3,0,0,'Données projet'!$E$9+1,1))</f>
        <v>194.59898508144084</v>
      </c>
      <c r="T27" s="59">
        <f t="shared" si="34"/>
        <v>237.00037875392565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33.5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11.437487983407562</v>
      </c>
      <c r="AC27" s="22">
        <f t="shared" si="3"/>
        <v>11.437487983407562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2.2571428571428571</v>
      </c>
      <c r="AI27" s="13">
        <f>IF('Données projet'!$A$62&gt;35,AI26+AH27-AQ26,IF(A27&lt;'Données projet'!$A$62,$AF$205^A27,IF(A27='Données projet'!$A$62,'Données projet'!$B$62,AI26+AH27-AQ26)))</f>
        <v>20.009212912617624</v>
      </c>
      <c r="AJ27" s="13">
        <f>AI27*VLOOKUP('Données projet'!$B$10,Paramètres!$A$1:$I$89,3,0)*VLOOKUP('Données projet'!$B$10,Paramètres!$A$1:$I$89,5,0)</f>
        <v>18.104335843336425</v>
      </c>
      <c r="AK27" s="13">
        <f t="shared" si="35"/>
        <v>5.9556445225652963</v>
      </c>
      <c r="AL27" s="20">
        <f t="shared" si="4"/>
        <v>41.904465803945499</v>
      </c>
      <c r="AM27" s="59">
        <f t="shared" si="5"/>
        <v>327.90446580394553</v>
      </c>
      <c r="AN27" s="59">
        <f ca="1">AVERAGE(OFFSET($AM$3,0,0,'Données projet'!$E$10+1,1))-AVERAGE(OFFSET($H$3,0,0,'Données projet'!$E$10+1,1))</f>
        <v>242.89078317348179</v>
      </c>
      <c r="AO27" s="59">
        <f t="shared" si="36"/>
        <v>123.46226548411437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2.2571428571428571</v>
      </c>
      <c r="BD27" s="12">
        <f>IF('Données projet'!$A$88&gt;35,BD26+BC27-BL26,IF(A27&lt;'Données projet'!$A$88,$BA$205^A27,IF(A27='Données projet'!$A$88,'Données projet'!$B$88,BD26+BC27-BL26)))</f>
        <v>20.009212912617624</v>
      </c>
      <c r="BE27" s="13">
        <f>BD27*VLOOKUP('Données projet'!$B$11,Paramètres!$A$1:$I$89,3,0)*VLOOKUP('Données projet'!$B$11,Paramètres!$A$1:$I$89,5,0)</f>
        <v>18.104335843336425</v>
      </c>
      <c r="BF27" s="13">
        <f t="shared" si="37"/>
        <v>5.9556445225652963</v>
      </c>
      <c r="BG27" s="20">
        <f t="shared" si="7"/>
        <v>41.904465803945499</v>
      </c>
      <c r="BH27" s="59">
        <f t="shared" si="8"/>
        <v>327.90446580394553</v>
      </c>
      <c r="BI27" s="59">
        <f ca="1">AVERAGE(OFFSET($BH$3,0,0,'Données projet'!$E$11+1,1))-AVERAGE(OFFSET($H$3,0,0,'Données projet'!$E$11+1,1))</f>
        <v>242.89078317348179</v>
      </c>
      <c r="BJ27" s="59">
        <f t="shared" si="38"/>
        <v>123.46226548411437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10.620000000000001</v>
      </c>
      <c r="N28" s="13">
        <f>IF('Données projet'!$A$36&gt;35,N27+M28-V27,IF(A28&lt;'Données projet'!$A$36,$K$205^A28,IF(A28='Données projet'!$A$36,'Données projet'!$B$36,N27+M28-V27)))</f>
        <v>98.020000000000039</v>
      </c>
      <c r="O28" s="13">
        <f>N28*VLOOKUP('Données projet'!$B$9,Paramètres!$A$1:$I$89,3,0)*VLOOKUP('Données projet'!$B$9,Paramètres!$A$1:$I$89,5,0)</f>
        <v>58.61596000000003</v>
      </c>
      <c r="P28" s="13">
        <f t="shared" si="33"/>
        <v>16.81786640770995</v>
      </c>
      <c r="Q28" s="20">
        <f t="shared" si="2"/>
        <v>131.3805809934282</v>
      </c>
      <c r="R28" s="59">
        <f t="shared" si="0"/>
        <v>418.6028032156504</v>
      </c>
      <c r="S28" s="59">
        <f ca="1">AVERAGE(OFFSET($R$3,0,0,'Données projet'!$E$9+1,1))-AVERAGE(OFFSET($H$3,0,0,'Données projet'!$E$9+1,1))</f>
        <v>194.59898508144084</v>
      </c>
      <c r="T28" s="59">
        <f t="shared" si="34"/>
        <v>237.00037875392565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8.0875253128071378</v>
      </c>
      <c r="AC28" s="22">
        <f t="shared" si="3"/>
        <v>8.0875253128071378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2.2571428571428571</v>
      </c>
      <c r="AI28" s="13">
        <f>IF('Données projet'!$A$62&gt;35,AI27+AH28-AQ27,IF(A28&lt;'Données projet'!$A$62,$AF$205^A28,IF(A28='Données projet'!$A$62,'Données projet'!$B$62,AI27+AH28-AQ27)))</f>
        <v>22.669812198284681</v>
      </c>
      <c r="AJ28" s="13">
        <f>AI28*VLOOKUP('Données projet'!$B$10,Paramètres!$A$1:$I$89,3,0)*VLOOKUP('Données projet'!$B$10,Paramètres!$A$1:$I$89,5,0)</f>
        <v>20.511646077007981</v>
      </c>
      <c r="AK28" s="13">
        <f t="shared" si="35"/>
        <v>6.6502155068588591</v>
      </c>
      <c r="AL28" s="20">
        <f t="shared" si="4"/>
        <v>47.306908925234751</v>
      </c>
      <c r="AM28" s="59">
        <f t="shared" si="5"/>
        <v>334.52913114745695</v>
      </c>
      <c r="AN28" s="59">
        <f ca="1">AVERAGE(OFFSET($AM$3,0,0,'Données projet'!$E$10+1,1))-AVERAGE(OFFSET($H$3,0,0,'Données projet'!$E$10+1,1))</f>
        <v>242.89078317348179</v>
      </c>
      <c r="AO28" s="59">
        <f t="shared" si="36"/>
        <v>123.46226548411437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2.2571428571428571</v>
      </c>
      <c r="BD28" s="12">
        <f>IF('Données projet'!$A$88&gt;35,BD27+BC28-BL27,IF(A28&lt;'Données projet'!$A$88,$BA$205^A28,IF(A28='Données projet'!$A$88,'Données projet'!$B$88,BD27+BC28-BL27)))</f>
        <v>22.669812198284681</v>
      </c>
      <c r="BE28" s="13">
        <f>BD28*VLOOKUP('Données projet'!$B$11,Paramètres!$A$1:$I$89,3,0)*VLOOKUP('Données projet'!$B$11,Paramètres!$A$1:$I$89,5,0)</f>
        <v>20.511646077007981</v>
      </c>
      <c r="BF28" s="13">
        <f t="shared" si="37"/>
        <v>6.6502155068588591</v>
      </c>
      <c r="BG28" s="20">
        <f t="shared" si="7"/>
        <v>47.306908925234751</v>
      </c>
      <c r="BH28" s="59">
        <f t="shared" si="8"/>
        <v>334.52913114745695</v>
      </c>
      <c r="BI28" s="59">
        <f ca="1">AVERAGE(OFFSET($BH$3,0,0,'Données projet'!$E$11+1,1))-AVERAGE(OFFSET($H$3,0,0,'Données projet'!$E$11+1,1))</f>
        <v>242.89078317348179</v>
      </c>
      <c r="BJ28" s="59">
        <f t="shared" si="38"/>
        <v>123.46226548411437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10.620000000000001</v>
      </c>
      <c r="N29" s="13">
        <f>IF('Données projet'!$A$36&gt;35,N28+M29-V28,IF(A29&lt;'Données projet'!$A$36,$K$205^A29,IF(A29='Données projet'!$A$36,'Données projet'!$B$36,N28+M29-V28)))</f>
        <v>108.64000000000004</v>
      </c>
      <c r="O29" s="13">
        <f>N29*VLOOKUP('Données projet'!$B$9,Paramètres!$A$1:$I$89,3,0)*VLOOKUP('Données projet'!$B$9,Paramètres!$A$1:$I$89,5,0)</f>
        <v>64.966720000000038</v>
      </c>
      <c r="P29" s="13">
        <f t="shared" si="33"/>
        <v>18.418140443786871</v>
      </c>
      <c r="Q29" s="20">
        <f t="shared" si="2"/>
        <v>145.22863193959552</v>
      </c>
      <c r="R29" s="59">
        <f t="shared" si="0"/>
        <v>433.67307638403997</v>
      </c>
      <c r="S29" s="59">
        <f ca="1">AVERAGE(OFFSET($R$3,0,0,'Données projet'!$E$9+1,1))-AVERAGE(OFFSET($H$3,0,0,'Données projet'!$E$9+1,1))</f>
        <v>194.59898508144084</v>
      </c>
      <c r="T29" s="59">
        <f t="shared" si="34"/>
        <v>237.00037875392565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5.7187439917037812</v>
      </c>
      <c r="AC29" s="22">
        <f t="shared" si="3"/>
        <v>5.7187439917037812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2.2571428571428571</v>
      </c>
      <c r="AI29" s="13">
        <f>IF('Données projet'!$A$62&gt;35,AI28+AH29-AQ28,IF(A29&lt;'Données projet'!$A$62,$AF$205^A29,IF(A29='Données projet'!$A$62,'Données projet'!$B$62,AI28+AH29-AQ28)))</f>
        <v>25.684187946314651</v>
      </c>
      <c r="AJ29" s="13">
        <f>AI29*VLOOKUP('Données projet'!$B$10,Paramètres!$A$1:$I$89,3,0)*VLOOKUP('Données projet'!$B$10,Paramètres!$A$1:$I$89,5,0)</f>
        <v>23.239053253825496</v>
      </c>
      <c r="AK29" s="13">
        <f t="shared" si="35"/>
        <v>7.4257901256700007</v>
      </c>
      <c r="AL29" s="20">
        <f t="shared" si="4"/>
        <v>53.407935552621325</v>
      </c>
      <c r="AM29" s="59">
        <f t="shared" si="5"/>
        <v>341.85237999706578</v>
      </c>
      <c r="AN29" s="59">
        <f ca="1">AVERAGE(OFFSET($AM$3,0,0,'Données projet'!$E$10+1,1))-AVERAGE(OFFSET($H$3,0,0,'Données projet'!$E$10+1,1))</f>
        <v>242.89078317348179</v>
      </c>
      <c r="AO29" s="59">
        <f t="shared" si="36"/>
        <v>123.46226548411437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2.2571428571428571</v>
      </c>
      <c r="BD29" s="12">
        <f>IF('Données projet'!$A$88&gt;35,BD28+BC29-BL28,IF(A29&lt;'Données projet'!$A$88,$BA$205^A29,IF(A29='Données projet'!$A$88,'Données projet'!$B$88,BD28+BC29-BL28)))</f>
        <v>25.684187946314651</v>
      </c>
      <c r="BE29" s="13">
        <f>BD29*VLOOKUP('Données projet'!$B$11,Paramètres!$A$1:$I$89,3,0)*VLOOKUP('Données projet'!$B$11,Paramètres!$A$1:$I$89,5,0)</f>
        <v>23.239053253825496</v>
      </c>
      <c r="BF29" s="13">
        <f t="shared" si="37"/>
        <v>7.4257901256700007</v>
      </c>
      <c r="BG29" s="20">
        <f t="shared" si="7"/>
        <v>53.407935552621325</v>
      </c>
      <c r="BH29" s="59">
        <f t="shared" si="8"/>
        <v>341.85237999706578</v>
      </c>
      <c r="BI29" s="59">
        <f ca="1">AVERAGE(OFFSET($BH$3,0,0,'Données projet'!$E$11+1,1))-AVERAGE(OFFSET($H$3,0,0,'Données projet'!$E$11+1,1))</f>
        <v>242.89078317348179</v>
      </c>
      <c r="BJ29" s="59">
        <f t="shared" si="38"/>
        <v>123.46226548411437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10.620000000000001</v>
      </c>
      <c r="N30" s="13">
        <f>IF('Données projet'!$A$36&gt;35,N29+M30-V29,IF(A30&lt;'Données projet'!$A$36,$K$205^A30,IF(A30='Données projet'!$A$36,'Données projet'!$B$36,N29+M30-V29)))</f>
        <v>119.26000000000005</v>
      </c>
      <c r="O30" s="13">
        <f>N30*VLOOKUP('Données projet'!$B$9,Paramètres!$A$1:$I$89,3,0)*VLOOKUP('Données projet'!$B$9,Paramètres!$A$1:$I$89,5,0)</f>
        <v>71.317480000000032</v>
      </c>
      <c r="P30" s="13">
        <f t="shared" si="33"/>
        <v>20.00027838835825</v>
      </c>
      <c r="Q30" s="20">
        <f t="shared" si="2"/>
        <v>159.045095859724</v>
      </c>
      <c r="R30" s="59">
        <f t="shared" si="0"/>
        <v>448.71176252639066</v>
      </c>
      <c r="S30" s="59">
        <f ca="1">AVERAGE(OFFSET($R$3,0,0,'Données projet'!$E$9+1,1))-AVERAGE(OFFSET($H$3,0,0,'Données projet'!$E$9+1,1))</f>
        <v>194.59898508144084</v>
      </c>
      <c r="T30" s="59">
        <f t="shared" si="34"/>
        <v>237.00037875392565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4.0437626564035689</v>
      </c>
      <c r="AC30" s="22">
        <f t="shared" si="3"/>
        <v>4.0437626564035689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2.2571428571428571</v>
      </c>
      <c r="AI30" s="13">
        <f>IF('Données projet'!$A$62&gt;35,AI29+AH30-AQ29,IF(A30&lt;'Données projet'!$A$62,$AF$205^A30,IF(A30='Données projet'!$A$62,'Données projet'!$B$62,AI29+AH30-AQ29)))</f>
        <v>29.099381357536316</v>
      </c>
      <c r="AJ30" s="13">
        <f>AI30*VLOOKUP('Données projet'!$B$10,Paramètres!$A$1:$I$89,3,0)*VLOOKUP('Données projet'!$B$10,Paramètres!$A$1:$I$89,5,0)</f>
        <v>26.329120252298857</v>
      </c>
      <c r="AK30" s="13">
        <f t="shared" si="35"/>
        <v>8.2918153454765093</v>
      </c>
      <c r="AL30" s="20">
        <f t="shared" si="4"/>
        <v>60.298129499458753</v>
      </c>
      <c r="AM30" s="59">
        <f t="shared" si="5"/>
        <v>349.96479616612544</v>
      </c>
      <c r="AN30" s="59">
        <f ca="1">AVERAGE(OFFSET($AM$3,0,0,'Données projet'!$E$10+1,1))-AVERAGE(OFFSET($H$3,0,0,'Données projet'!$E$10+1,1))</f>
        <v>242.89078317348179</v>
      </c>
      <c r="AO30" s="59">
        <f t="shared" si="36"/>
        <v>123.46226548411437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2.2571428571428571</v>
      </c>
      <c r="BD30" s="12">
        <f>IF('Données projet'!$A$88&gt;35,BD29+BC30-BL29,IF(A30&lt;'Données projet'!$A$88,$BA$205^A30,IF(A30='Données projet'!$A$88,'Données projet'!$B$88,BD29+BC30-BL29)))</f>
        <v>29.099381357536316</v>
      </c>
      <c r="BE30" s="13">
        <f>BD30*VLOOKUP('Données projet'!$B$11,Paramètres!$A$1:$I$89,3,0)*VLOOKUP('Données projet'!$B$11,Paramètres!$A$1:$I$89,5,0)</f>
        <v>26.329120252298857</v>
      </c>
      <c r="BF30" s="13">
        <f t="shared" si="37"/>
        <v>8.2918153454765093</v>
      </c>
      <c r="BG30" s="20">
        <f t="shared" si="7"/>
        <v>60.298129499458753</v>
      </c>
      <c r="BH30" s="59">
        <f t="shared" si="8"/>
        <v>349.96479616612544</v>
      </c>
      <c r="BI30" s="59">
        <f ca="1">AVERAGE(OFFSET($BH$3,0,0,'Données projet'!$E$11+1,1))-AVERAGE(OFFSET($H$3,0,0,'Données projet'!$E$11+1,1))</f>
        <v>242.89078317348179</v>
      </c>
      <c r="BJ30" s="59">
        <f t="shared" si="38"/>
        <v>123.46226548411437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10.620000000000001</v>
      </c>
      <c r="N31" s="13">
        <f>IF('Données projet'!$A$36&gt;35,N30+M31-V30,IF(A31&lt;'Données projet'!$A$36,$K$205^A31,IF(A31='Données projet'!$A$36,'Données projet'!$B$36,N30+M31-V30)))</f>
        <v>129.88000000000005</v>
      </c>
      <c r="O31" s="13">
        <f>N31*VLOOKUP('Données projet'!$B$9,Paramètres!$A$1:$I$89,3,0)*VLOOKUP('Données projet'!$B$9,Paramètres!$A$1:$I$89,5,0)</f>
        <v>77.66824000000004</v>
      </c>
      <c r="P31" s="13">
        <f t="shared" si="33"/>
        <v>21.566078892859931</v>
      </c>
      <c r="Q31" s="20">
        <f t="shared" si="2"/>
        <v>172.83310540506443</v>
      </c>
      <c r="R31" s="59">
        <f t="shared" si="0"/>
        <v>463.72199429395329</v>
      </c>
      <c r="S31" s="59">
        <f ca="1">AVERAGE(OFFSET($R$3,0,0,'Données projet'!$E$9+1,1))-AVERAGE(OFFSET($H$3,0,0,'Données projet'!$E$9+1,1))</f>
        <v>194.59898508144084</v>
      </c>
      <c r="T31" s="59">
        <f t="shared" si="34"/>
        <v>237.00037875392565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2.8593719958518906</v>
      </c>
      <c r="AC31" s="22">
        <f t="shared" si="3"/>
        <v>2.8593719958518906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2.2571428571428571</v>
      </c>
      <c r="AI31" s="13">
        <f>IF('Données projet'!$A$62&gt;35,AI30+AH31-AQ30,IF(A31&lt;'Données projet'!$A$62,$AF$205^A31,IF(A31='Données projet'!$A$62,'Données projet'!$B$62,AI30+AH31-AQ30)))</f>
        <v>32.96868864070251</v>
      </c>
      <c r="AJ31" s="13">
        <f>AI31*VLOOKUP('Données projet'!$B$10,Paramètres!$A$1:$I$89,3,0)*VLOOKUP('Données projet'!$B$10,Paramètres!$A$1:$I$89,5,0)</f>
        <v>29.830069482107628</v>
      </c>
      <c r="AK31" s="13">
        <f t="shared" si="35"/>
        <v>9.2588398756120576</v>
      </c>
      <c r="AL31" s="20">
        <f t="shared" si="4"/>
        <v>68.079850464695113</v>
      </c>
      <c r="AM31" s="59">
        <f t="shared" si="5"/>
        <v>358.96873935358394</v>
      </c>
      <c r="AN31" s="59">
        <f ca="1">AVERAGE(OFFSET($AM$3,0,0,'Données projet'!$E$10+1,1))-AVERAGE(OFFSET($H$3,0,0,'Données projet'!$E$10+1,1))</f>
        <v>242.89078317348179</v>
      </c>
      <c r="AO31" s="59">
        <f t="shared" si="36"/>
        <v>123.46226548411437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2.2571428571428571</v>
      </c>
      <c r="BD31" s="12">
        <f>IF('Données projet'!$A$88&gt;35,BD30+BC31-BL30,IF(A31&lt;'Données projet'!$A$88,$BA$205^A31,IF(A31='Données projet'!$A$88,'Données projet'!$B$88,BD30+BC31-BL30)))</f>
        <v>32.96868864070251</v>
      </c>
      <c r="BE31" s="13">
        <f>BD31*VLOOKUP('Données projet'!$B$11,Paramètres!$A$1:$I$89,3,0)*VLOOKUP('Données projet'!$B$11,Paramètres!$A$1:$I$89,5,0)</f>
        <v>29.830069482107628</v>
      </c>
      <c r="BF31" s="13">
        <f t="shared" si="37"/>
        <v>9.2588398756120576</v>
      </c>
      <c r="BG31" s="20">
        <f t="shared" si="7"/>
        <v>68.079850464695113</v>
      </c>
      <c r="BH31" s="59">
        <f t="shared" si="8"/>
        <v>358.96873935358394</v>
      </c>
      <c r="BI31" s="59">
        <f ca="1">AVERAGE(OFFSET($BH$3,0,0,'Données projet'!$E$11+1,1))-AVERAGE(OFFSET($H$3,0,0,'Données projet'!$E$11+1,1))</f>
        <v>242.89078317348179</v>
      </c>
      <c r="BJ31" s="59">
        <f t="shared" si="38"/>
        <v>123.46226548411437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10.620000000000001</v>
      </c>
      <c r="N32" s="13">
        <f>IF('Données projet'!$A$36&gt;35,N31+M32-V31,IF(A32&lt;'Données projet'!$A$36,$K$205^A32,IF(A32='Données projet'!$A$36,'Données projet'!$B$36,N31+M32-V31)))</f>
        <v>140.50000000000006</v>
      </c>
      <c r="O32" s="13">
        <f>N32*VLOOKUP('Données projet'!$B$9,Paramètres!$A$1:$I$89,3,0)*VLOOKUP('Données projet'!$B$9,Paramètres!$A$1:$I$89,5,0)</f>
        <v>84.019000000000034</v>
      </c>
      <c r="P32" s="13">
        <f t="shared" si="33"/>
        <v>23.117029709137995</v>
      </c>
      <c r="Q32" s="20">
        <f t="shared" si="2"/>
        <v>186.59525174341539</v>
      </c>
      <c r="R32" s="59">
        <f t="shared" si="0"/>
        <v>478.70636285452656</v>
      </c>
      <c r="S32" s="59">
        <f ca="1">AVERAGE(OFFSET($R$3,0,0,'Données projet'!$E$9+1,1))-AVERAGE(OFFSET($H$3,0,0,'Données projet'!$E$9+1,1))</f>
        <v>194.59898508144084</v>
      </c>
      <c r="T32" s="59">
        <f t="shared" si="34"/>
        <v>237.00037875392565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2.0218813282017845</v>
      </c>
      <c r="AC32" s="22">
        <f t="shared" si="3"/>
        <v>2.0218813282017845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2.2571428571428571</v>
      </c>
      <c r="AI32" s="13">
        <f>IF('Données projet'!$A$62&gt;35,AI31+AH32-AQ31,IF(A32&lt;'Données projet'!$A$62,$AF$205^A32,IF(A32='Données projet'!$A$62,'Données projet'!$B$62,AI31+AH32-AQ31)))</f>
        <v>37.352492732842464</v>
      </c>
      <c r="AJ32" s="13">
        <f>AI32*VLOOKUP('Données projet'!$B$10,Paramètres!$A$1:$I$89,3,0)*VLOOKUP('Données projet'!$B$10,Paramètres!$A$1:$I$89,5,0)</f>
        <v>33.796535424675859</v>
      </c>
      <c r="AK32" s="13">
        <f t="shared" si="35"/>
        <v>10.338642657906117</v>
      </c>
      <c r="AL32" s="20">
        <f t="shared" si="4"/>
        <v>76.86876849383026</v>
      </c>
      <c r="AM32" s="59">
        <f t="shared" si="5"/>
        <v>368.9798796049414</v>
      </c>
      <c r="AN32" s="59">
        <f ca="1">AVERAGE(OFFSET($AM$3,0,0,'Données projet'!$E$10+1,1))-AVERAGE(OFFSET($H$3,0,0,'Données projet'!$E$10+1,1))</f>
        <v>242.89078317348179</v>
      </c>
      <c r="AO32" s="59">
        <f t="shared" si="36"/>
        <v>123.46226548411437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2.2571428571428571</v>
      </c>
      <c r="BD32" s="12">
        <f>IF('Données projet'!$A$88&gt;35,BD31+BC32-BL31,IF(A32&lt;'Données projet'!$A$88,$BA$205^A32,IF(A32='Données projet'!$A$88,'Données projet'!$B$88,BD31+BC32-BL31)))</f>
        <v>37.352492732842464</v>
      </c>
      <c r="BE32" s="13">
        <f>BD32*VLOOKUP('Données projet'!$B$11,Paramètres!$A$1:$I$89,3,0)*VLOOKUP('Données projet'!$B$11,Paramètres!$A$1:$I$89,5,0)</f>
        <v>33.796535424675859</v>
      </c>
      <c r="BF32" s="13">
        <f t="shared" si="37"/>
        <v>10.338642657906117</v>
      </c>
      <c r="BG32" s="20">
        <f t="shared" si="7"/>
        <v>76.86876849383026</v>
      </c>
      <c r="BH32" s="59">
        <f t="shared" si="8"/>
        <v>368.9798796049414</v>
      </c>
      <c r="BI32" s="59">
        <f ca="1">AVERAGE(OFFSET($BH$3,0,0,'Données projet'!$E$11+1,1))-AVERAGE(OFFSET($H$3,0,0,'Données projet'!$E$11+1,1))</f>
        <v>242.89078317348179</v>
      </c>
      <c r="BJ32" s="59">
        <f t="shared" si="38"/>
        <v>123.46226548411437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10.620000000000001</v>
      </c>
      <c r="N33" s="13">
        <f>IF('Données projet'!$A$36&gt;35,N32+M33-V32,IF(A33&lt;'Données projet'!$A$36,$K$205^A33,IF(A33='Données projet'!$A$36,'Données projet'!$B$36,N32+M33-V32)))</f>
        <v>151.12000000000006</v>
      </c>
      <c r="O33" s="13">
        <f>N33*VLOOKUP('Données projet'!$B$9,Paramètres!$A$1:$I$89,3,0)*VLOOKUP('Données projet'!$B$9,Paramètres!$A$1:$I$89,5,0)</f>
        <v>90.369760000000056</v>
      </c>
      <c r="P33" s="13">
        <f t="shared" si="33"/>
        <v>24.65438091134483</v>
      </c>
      <c r="Q33" s="20">
        <f t="shared" si="2"/>
        <v>200.33371208725899</v>
      </c>
      <c r="R33" s="59">
        <f t="shared" si="0"/>
        <v>493.66704542059233</v>
      </c>
      <c r="S33" s="59">
        <f ca="1">AVERAGE(OFFSET($R$3,0,0,'Données projet'!$E$9+1,1))-AVERAGE(OFFSET($H$3,0,0,'Données projet'!$E$9+1,1))</f>
        <v>194.59898508144084</v>
      </c>
      <c r="T33" s="59">
        <f t="shared" si="34"/>
        <v>237.00037875392565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1.4296859979259453</v>
      </c>
      <c r="AC33" s="22">
        <f t="shared" si="3"/>
        <v>1.4296859979259453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2.2571428571428571</v>
      </c>
      <c r="AI33" s="13">
        <f>IF('Données projet'!$A$62&gt;35,AI32+AH33-AQ32,IF(A33&lt;'Données projet'!$A$62,$AF$205^A33,IF(A33='Données projet'!$A$62,'Données projet'!$B$62,AI32+AH33-AQ32)))</f>
        <v>42.319205612398889</v>
      </c>
      <c r="AJ33" s="13">
        <f>AI33*VLOOKUP('Données projet'!$B$10,Paramètres!$A$1:$I$89,3,0)*VLOOKUP('Données projet'!$B$10,Paramètres!$A$1:$I$89,5,0)</f>
        <v>38.290417238098513</v>
      </c>
      <c r="AK33" s="13">
        <f t="shared" si="35"/>
        <v>11.544376341297315</v>
      </c>
      <c r="AL33" s="20">
        <f t="shared" si="4"/>
        <v>86.79559881744774</v>
      </c>
      <c r="AM33" s="59">
        <f t="shared" si="5"/>
        <v>380.12893215078105</v>
      </c>
      <c r="AN33" s="59">
        <f ca="1">AVERAGE(OFFSET($AM$3,0,0,'Données projet'!$E$10+1,1))-AVERAGE(OFFSET($H$3,0,0,'Données projet'!$E$10+1,1))</f>
        <v>242.89078317348179</v>
      </c>
      <c r="AO33" s="59">
        <f t="shared" si="36"/>
        <v>123.46226548411437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2.2571428571428571</v>
      </c>
      <c r="BD33" s="12">
        <f>IF('Données projet'!$A$88&gt;35,BD32+BC33-BL32,IF(A33&lt;'Données projet'!$A$88,$BA$205^A33,IF(A33='Données projet'!$A$88,'Données projet'!$B$88,BD32+BC33-BL32)))</f>
        <v>42.319205612398889</v>
      </c>
      <c r="BE33" s="13">
        <f>BD33*VLOOKUP('Données projet'!$B$11,Paramètres!$A$1:$I$89,3,0)*VLOOKUP('Données projet'!$B$11,Paramètres!$A$1:$I$89,5,0)</f>
        <v>38.290417238098513</v>
      </c>
      <c r="BF33" s="13">
        <f t="shared" si="37"/>
        <v>11.544376341297315</v>
      </c>
      <c r="BG33" s="20">
        <f t="shared" si="7"/>
        <v>86.79559881744774</v>
      </c>
      <c r="BH33" s="59">
        <f t="shared" si="8"/>
        <v>380.12893215078105</v>
      </c>
      <c r="BI33" s="59">
        <f ca="1">AVERAGE(OFFSET($BH$3,0,0,'Données projet'!$E$11+1,1))-AVERAGE(OFFSET($H$3,0,0,'Données projet'!$E$11+1,1))</f>
        <v>242.89078317348179</v>
      </c>
      <c r="BJ33" s="59">
        <f t="shared" si="38"/>
        <v>123.46226548411437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10.620000000000001</v>
      </c>
      <c r="N34" s="13">
        <f>IF('Données projet'!$A$36&gt;35,N33+M34-V33,IF(A34&lt;'Données projet'!$A$36,$K$205^A34,IF(A34='Données projet'!$A$36,'Données projet'!$B$36,N33+M34-V33)))</f>
        <v>161.74000000000007</v>
      </c>
      <c r="O34" s="13">
        <f>N34*VLOOKUP('Données projet'!$B$9,Paramètres!$A$1:$I$89,3,0)*VLOOKUP('Données projet'!$B$9,Paramètres!$A$1:$I$89,5,0)</f>
        <v>96.72052000000005</v>
      </c>
      <c r="P34" s="13">
        <f t="shared" si="33"/>
        <v>26.179196923422648</v>
      </c>
      <c r="Q34" s="20">
        <f t="shared" si="2"/>
        <v>214.05034030829452</v>
      </c>
      <c r="R34" s="59">
        <f t="shared" si="0"/>
        <v>507.38367364162787</v>
      </c>
      <c r="S34" s="59">
        <f ca="1">AVERAGE(OFFSET($R$3,0,0,'Données projet'!$E$9+1,1))-AVERAGE(OFFSET($H$3,0,0,'Données projet'!$E$9+1,1))</f>
        <v>194.59898508144084</v>
      </c>
      <c r="T34" s="59">
        <f t="shared" si="34"/>
        <v>237.00037875392565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1.0109406641008922</v>
      </c>
      <c r="AC34" s="22">
        <f t="shared" si="3"/>
        <v>1.0109406641008922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2.2571428571428571</v>
      </c>
      <c r="AI34" s="13">
        <f>IF('Données projet'!$A$62&gt;35,AI33+AH34-AQ33,IF(A34&lt;'Données projet'!$A$62,$AF$205^A34,IF(A34='Données projet'!$A$62,'Données projet'!$B$62,AI33+AH34-AQ33)))</f>
        <v>47.946335910529946</v>
      </c>
      <c r="AJ34" s="13">
        <f>AI34*VLOOKUP('Données projet'!$B$10,Paramètres!$A$1:$I$89,3,0)*VLOOKUP('Données projet'!$B$10,Paramètres!$A$1:$I$89,5,0)</f>
        <v>43.381844731847494</v>
      </c>
      <c r="AK34" s="13">
        <f t="shared" si="35"/>
        <v>12.890727489027734</v>
      </c>
      <c r="AL34" s="20">
        <f t="shared" si="4"/>
        <v>98.008063284691005</v>
      </c>
      <c r="AM34" s="59">
        <f t="shared" si="5"/>
        <v>391.34139661802431</v>
      </c>
      <c r="AN34" s="59">
        <f ca="1">AVERAGE(OFFSET($AM$3,0,0,'Données projet'!$E$10+1,1))-AVERAGE(OFFSET($H$3,0,0,'Données projet'!$E$10+1,1))</f>
        <v>242.89078317348179</v>
      </c>
      <c r="AO34" s="59">
        <f t="shared" si="36"/>
        <v>123.46226548411437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2.2571428571428571</v>
      </c>
      <c r="BD34" s="12">
        <f>IF('Données projet'!$A$88&gt;35,BD33+BC34-BL33,IF(A34&lt;'Données projet'!$A$88,$BA$205^A34,IF(A34='Données projet'!$A$88,'Données projet'!$B$88,BD33+BC34-BL33)))</f>
        <v>47.946335910529946</v>
      </c>
      <c r="BE34" s="13">
        <f>BD34*VLOOKUP('Données projet'!$B$11,Paramètres!$A$1:$I$89,3,0)*VLOOKUP('Données projet'!$B$11,Paramètres!$A$1:$I$89,5,0)</f>
        <v>43.381844731847494</v>
      </c>
      <c r="BF34" s="13">
        <f t="shared" si="37"/>
        <v>12.890727489027734</v>
      </c>
      <c r="BG34" s="20">
        <f t="shared" si="7"/>
        <v>98.008063284691005</v>
      </c>
      <c r="BH34" s="59">
        <f t="shared" si="8"/>
        <v>391.34139661802431</v>
      </c>
      <c r="BI34" s="59">
        <f ca="1">AVERAGE(OFFSET($BH$3,0,0,'Données projet'!$E$11+1,1))-AVERAGE(OFFSET($H$3,0,0,'Données projet'!$E$11+1,1))</f>
        <v>242.89078317348179</v>
      </c>
      <c r="BJ34" s="59">
        <f t="shared" si="38"/>
        <v>123.46226548411437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10.620000000000001</v>
      </c>
      <c r="N35" s="13">
        <f>IF('Données projet'!$A$36&gt;35,N34+M35-V34,IF(A35&lt;'Données projet'!$A$36,$K$205^A35,IF(A35='Données projet'!$A$36,'Données projet'!$B$36,N34+M35-V34)))</f>
        <v>172.36000000000007</v>
      </c>
      <c r="O35" s="13">
        <f>N35*VLOOKUP('Données projet'!$B$9,Paramètres!$A$1:$I$89,3,0)*VLOOKUP('Données projet'!$B$9,Paramètres!$A$1:$I$89,5,0)</f>
        <v>103.07128000000004</v>
      </c>
      <c r="P35" s="13">
        <f t="shared" si="33"/>
        <v>27.69239448117046</v>
      </c>
      <c r="Q35" s="20">
        <f t="shared" ref="Q35:Q66" si="53">(O35+P35)*0.475*44/12</f>
        <v>227.74673305470529</v>
      </c>
      <c r="R35" s="59">
        <f t="shared" si="0"/>
        <v>521.08006638803863</v>
      </c>
      <c r="S35" s="59">
        <f ca="1">AVERAGE(OFFSET($R$3,0,0,'Données projet'!$E$9+1,1))-AVERAGE(OFFSET($H$3,0,0,'Données projet'!$E$9+1,1))</f>
        <v>194.59898508144084</v>
      </c>
      <c r="T35" s="59">
        <f t="shared" si="34"/>
        <v>237.00037875392565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0.71484299896297265</v>
      </c>
      <c r="AC35" s="22">
        <f t="shared" si="3"/>
        <v>0.71484299896297265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2.2571428571428571</v>
      </c>
      <c r="AI35" s="13">
        <f>IF('Données projet'!$A$62&gt;35,AI34+AH35-AQ34,IF(A35&lt;'Données projet'!$A$62,$AF$205^A35,IF(A35='Données projet'!$A$62,'Données projet'!$B$62,AI34+AH35-AQ34)))</f>
        <v>54.321698481311863</v>
      </c>
      <c r="AJ35" s="13">
        <f>AI35*VLOOKUP('Données projet'!$B$10,Paramètres!$A$1:$I$89,3,0)*VLOOKUP('Données projet'!$B$10,Paramètres!$A$1:$I$89,5,0)</f>
        <v>49.150272785890969</v>
      </c>
      <c r="AK35" s="13">
        <f t="shared" si="35"/>
        <v>14.394095469838224</v>
      </c>
      <c r="AL35" s="20">
        <f t="shared" si="4"/>
        <v>110.67310804539501</v>
      </c>
      <c r="AM35" s="59">
        <f t="shared" si="5"/>
        <v>404.00644137872831</v>
      </c>
      <c r="AN35" s="59">
        <f ca="1">AVERAGE(OFFSET($AM$3,0,0,'Données projet'!$E$10+1,1))-AVERAGE(OFFSET($H$3,0,0,'Données projet'!$E$10+1,1))</f>
        <v>242.89078317348179</v>
      </c>
      <c r="AO35" s="59">
        <f t="shared" si="36"/>
        <v>123.46226548411437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2.2571428571428571</v>
      </c>
      <c r="BD35" s="12">
        <f>IF('Données projet'!$A$88&gt;35,BD34+BC35-BL34,IF(A35&lt;'Données projet'!$A$88,$BA$205^A35,IF(A35='Données projet'!$A$88,'Données projet'!$B$88,BD34+BC35-BL34)))</f>
        <v>54.321698481311863</v>
      </c>
      <c r="BE35" s="13">
        <f>BD35*VLOOKUP('Données projet'!$B$11,Paramètres!$A$1:$I$89,3,0)*VLOOKUP('Données projet'!$B$11,Paramètres!$A$1:$I$89,5,0)</f>
        <v>49.150272785890969</v>
      </c>
      <c r="BF35" s="13">
        <f t="shared" si="37"/>
        <v>14.394095469838224</v>
      </c>
      <c r="BG35" s="20">
        <f t="shared" si="7"/>
        <v>110.67310804539501</v>
      </c>
      <c r="BH35" s="59">
        <f t="shared" si="8"/>
        <v>404.00644137872831</v>
      </c>
      <c r="BI35" s="59">
        <f ca="1">AVERAGE(OFFSET($BH$3,0,0,'Données projet'!$E$11+1,1))-AVERAGE(OFFSET($H$3,0,0,'Données projet'!$E$11+1,1))</f>
        <v>242.89078317348179</v>
      </c>
      <c r="BJ35" s="59">
        <f t="shared" si="38"/>
        <v>123.46226548411437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10.620000000000001</v>
      </c>
      <c r="N36" s="13">
        <f>IF('Données projet'!$A$36&gt;35,N35+M36-V35,IF(A36&lt;'Données projet'!$A$36,$K$205^A36,IF(A36='Données projet'!$A$36,'Données projet'!$B$36,N35+M36-V35)))</f>
        <v>182.98000000000008</v>
      </c>
      <c r="O36" s="13">
        <f>N36*VLOOKUP('Données projet'!$B$9,Paramètres!$A$1:$I$89,3,0)*VLOOKUP('Données projet'!$B$9,Paramètres!$A$1:$I$89,5,0)</f>
        <v>109.42204000000005</v>
      </c>
      <c r="P36" s="13">
        <f t="shared" si="33"/>
        <v>29.194770966531784</v>
      </c>
      <c r="Q36" s="20">
        <f t="shared" si="53"/>
        <v>241.42427910004292</v>
      </c>
      <c r="R36" s="59">
        <f t="shared" si="0"/>
        <v>534.75761243337627</v>
      </c>
      <c r="S36" s="59">
        <f ca="1">AVERAGE(OFFSET($R$3,0,0,'Données projet'!$E$9+1,1))-AVERAGE(OFFSET($H$3,0,0,'Données projet'!$E$9+1,1))</f>
        <v>194.59898508144084</v>
      </c>
      <c r="T36" s="59">
        <f t="shared" si="34"/>
        <v>237.00037875392565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0.50547033205044611</v>
      </c>
      <c r="AC36" s="22">
        <f t="shared" si="3"/>
        <v>0.50547033205044611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2.2571428571428571</v>
      </c>
      <c r="AI36" s="13">
        <f>IF('Données projet'!$A$62&gt;35,AI35+AH36-AQ35,IF(A36&lt;'Données projet'!$A$62,$AF$205^A36,IF(A36='Données projet'!$A$62,'Données projet'!$B$62,AI35+AH36-AQ35)))</f>
        <v>61.544784806934473</v>
      </c>
      <c r="AJ36" s="13">
        <f>AI36*VLOOKUP('Données projet'!$B$10,Paramètres!$A$1:$I$89,3,0)*VLOOKUP('Données projet'!$B$10,Paramètres!$A$1:$I$89,5,0)</f>
        <v>55.685721293314309</v>
      </c>
      <c r="AK36" s="13">
        <f t="shared" si="35"/>
        <v>16.072792212167421</v>
      </c>
      <c r="AL36" s="20">
        <f t="shared" si="4"/>
        <v>124.97941102204733</v>
      </c>
      <c r="AM36" s="59">
        <f t="shared" si="5"/>
        <v>418.31274435538063</v>
      </c>
      <c r="AN36" s="59">
        <f ca="1">AVERAGE(OFFSET($AM$3,0,0,'Données projet'!$E$10+1,1))-AVERAGE(OFFSET($H$3,0,0,'Données projet'!$E$10+1,1))</f>
        <v>242.89078317348179</v>
      </c>
      <c r="AO36" s="59">
        <f t="shared" si="36"/>
        <v>123.46226548411437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2.2571428571428571</v>
      </c>
      <c r="BD36" s="12">
        <f>IF('Données projet'!$A$88&gt;35,BD35+BC36-BL35,IF(A36&lt;'Données projet'!$A$88,$BA$205^A36,IF(A36='Données projet'!$A$88,'Données projet'!$B$88,BD35+BC36-BL35)))</f>
        <v>61.544784806934473</v>
      </c>
      <c r="BE36" s="13">
        <f>BD36*VLOOKUP('Données projet'!$B$11,Paramètres!$A$1:$I$89,3,0)*VLOOKUP('Données projet'!$B$11,Paramètres!$A$1:$I$89,5,0)</f>
        <v>55.685721293314309</v>
      </c>
      <c r="BF36" s="13">
        <f t="shared" si="37"/>
        <v>16.072792212167421</v>
      </c>
      <c r="BG36" s="20">
        <f t="shared" si="7"/>
        <v>124.97941102204733</v>
      </c>
      <c r="BH36" s="59">
        <f t="shared" si="8"/>
        <v>418.31274435538063</v>
      </c>
      <c r="BI36" s="59">
        <f ca="1">AVERAGE(OFFSET($BH$3,0,0,'Données projet'!$E$11+1,1))-AVERAGE(OFFSET($H$3,0,0,'Données projet'!$E$11+1,1))</f>
        <v>242.89078317348179</v>
      </c>
      <c r="BJ36" s="59">
        <f t="shared" si="38"/>
        <v>123.46226548411437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193.60000000000002</v>
      </c>
      <c r="L37" s="12">
        <f>VLOOKUP(A37,'Données projet'!$A$35:$I$55,9,0)</f>
        <v>10.620000000000001</v>
      </c>
      <c r="M37" s="12">
        <f t="array" ref="M37">INDEX(L:L,MIN(IF(ISNUMBER(L37:L233),ROW(L37:L233),"")))</f>
        <v>10.620000000000001</v>
      </c>
      <c r="N37" s="13">
        <f>IF('Données projet'!$A$36&gt;35,N36+M37-V36,IF(A37&lt;'Données projet'!$A$36,$K$205^A37,IF(A37='Données projet'!$A$36,'Données projet'!$B$36,N36+M37-V36)))</f>
        <v>193.60000000000008</v>
      </c>
      <c r="O37" s="13">
        <f>N37*VLOOKUP('Données projet'!$B$9,Paramètres!$A$1:$I$89,3,0)*VLOOKUP('Données projet'!$B$9,Paramètres!$A$1:$I$89,5,0)</f>
        <v>115.77280000000006</v>
      </c>
      <c r="P37" s="13">
        <f t="shared" si="33"/>
        <v>30.687025974408243</v>
      </c>
      <c r="Q37" s="20">
        <f t="shared" si="53"/>
        <v>255.08419690542783</v>
      </c>
      <c r="R37" s="59">
        <f t="shared" si="0"/>
        <v>548.41753023876117</v>
      </c>
      <c r="S37" s="59">
        <f ca="1">AVERAGE(OFFSET($R$3,0,0,'Données projet'!$E$9+1,1))-AVERAGE(OFFSET($H$3,0,0,'Données projet'!$E$9+1,1))</f>
        <v>194.59898508144084</v>
      </c>
      <c r="T37" s="59">
        <f t="shared" si="34"/>
        <v>237.00037875392565</v>
      </c>
      <c r="U37" s="15">
        <f>IF(ISNA(VLOOKUP(A37,'Données projet'!$A$35:$I$55,3,0)),0,VLOOKUP(A37,'Données projet'!$A$35:$I$55,3,0))</f>
        <v>3</v>
      </c>
      <c r="V37" s="15">
        <f>IF(ISNA(VLOOKUP(A37,'Données projet'!$A$35:$I$55,4,0)),0,VLOOKUP(A37,'Données projet'!$A$35:$I$55,4,0))</f>
        <v>61.699999999999996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0.35742149948148633</v>
      </c>
      <c r="AC37" s="22">
        <f t="shared" si="3"/>
        <v>0.35742149948148633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2.2571428571428571</v>
      </c>
      <c r="AI37" s="13">
        <f>IF('Données projet'!$A$62&gt;35,AI36+AH37-AQ36,IF(A37&lt;'Données projet'!$A$62,$AF$205^A37,IF(A37='Données projet'!$A$62,'Données projet'!$B$62,AI36+AH37-AQ36)))</f>
        <v>69.728315623911584</v>
      </c>
      <c r="AJ37" s="13">
        <f>AI37*VLOOKUP('Données projet'!$B$10,Paramètres!$A$1:$I$89,3,0)*VLOOKUP('Données projet'!$B$10,Paramètres!$A$1:$I$89,5,0)</f>
        <v>63.090179976515202</v>
      </c>
      <c r="AK37" s="13">
        <f t="shared" si="35"/>
        <v>17.947265254480971</v>
      </c>
      <c r="AL37" s="20">
        <f t="shared" si="4"/>
        <v>141.14021711065166</v>
      </c>
      <c r="AM37" s="59">
        <f t="shared" si="5"/>
        <v>434.473550443985</v>
      </c>
      <c r="AN37" s="59">
        <f ca="1">AVERAGE(OFFSET($AM$3,0,0,'Données projet'!$E$10+1,1))-AVERAGE(OFFSET($H$3,0,0,'Données projet'!$E$10+1,1))</f>
        <v>242.89078317348179</v>
      </c>
      <c r="AO37" s="59">
        <f t="shared" si="36"/>
        <v>123.46226548411437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2.2571428571428571</v>
      </c>
      <c r="BD37" s="12">
        <f>IF('Données projet'!$A$88&gt;35,BD36+BC37-BL36,IF(A37&lt;'Données projet'!$A$88,$BA$205^A37,IF(A37='Données projet'!$A$88,'Données projet'!$B$88,BD36+BC37-BL36)))</f>
        <v>69.728315623911584</v>
      </c>
      <c r="BE37" s="13">
        <f>BD37*VLOOKUP('Données projet'!$B$11,Paramètres!$A$1:$I$89,3,0)*VLOOKUP('Données projet'!$B$11,Paramètres!$A$1:$I$89,5,0)</f>
        <v>63.090179976515202</v>
      </c>
      <c r="BF37" s="13">
        <f t="shared" si="37"/>
        <v>17.947265254480971</v>
      </c>
      <c r="BG37" s="20">
        <f t="shared" si="7"/>
        <v>141.14021711065166</v>
      </c>
      <c r="BH37" s="59">
        <f t="shared" si="8"/>
        <v>434.473550443985</v>
      </c>
      <c r="BI37" s="59">
        <f ca="1">AVERAGE(OFFSET($BH$3,0,0,'Données projet'!$E$11+1,1))-AVERAGE(OFFSET($H$3,0,0,'Données projet'!$E$11+1,1))</f>
        <v>242.89078317348179</v>
      </c>
      <c r="BJ37" s="59">
        <f t="shared" si="38"/>
        <v>123.46226548411437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8.0083333333333311</v>
      </c>
      <c r="N38" s="13">
        <f>IF('Données projet'!$A$36&gt;35,N37+M38-V37,IF(A38&lt;'Données projet'!$A$36,$K$205^A38,IF(A38='Données projet'!$A$36,'Données projet'!$B$36,N37+M38-V37)))</f>
        <v>139.90833333333342</v>
      </c>
      <c r="O38" s="13">
        <f>N38*VLOOKUP('Données projet'!$B$9,Paramètres!$A$1:$I$89,3,0)*VLOOKUP('Données projet'!$B$9,Paramètres!$A$1:$I$89,5,0)</f>
        <v>83.665183333333388</v>
      </c>
      <c r="P38" s="13">
        <f t="shared" si="33"/>
        <v>23.030990757169548</v>
      </c>
      <c r="Q38" s="20">
        <f t="shared" si="53"/>
        <v>185.8291698742926</v>
      </c>
      <c r="R38" s="59">
        <f t="shared" si="0"/>
        <v>479.16250320762595</v>
      </c>
      <c r="S38" s="59">
        <f ca="1">AVERAGE(OFFSET($R$3,0,0,'Données projet'!$E$9+1,1))-AVERAGE(OFFSET($H$3,0,0,'Données projet'!$E$9+1,1))</f>
        <v>194.59898508144084</v>
      </c>
      <c r="T38" s="59">
        <f t="shared" si="34"/>
        <v>237.00037875392565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0.25273516602522306</v>
      </c>
      <c r="AC38" s="22">
        <f t="shared" si="3"/>
        <v>0.25273516602522306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79</v>
      </c>
      <c r="AG38" s="12">
        <f>VLOOKUP(A38,'Données projet'!$A$61:$I$81,9,0)</f>
        <v>2.2571428571428571</v>
      </c>
      <c r="AH38" s="12">
        <f t="array" ref="AH38">INDEX(AG:AG,MIN(IF(ISNUMBER(AG38:AG234),ROW(AG38:AG234),"")))</f>
        <v>2.2571428571428571</v>
      </c>
      <c r="AI38" s="13">
        <f>IF('Données projet'!$A$62&gt;35,AI37+AH38-AQ37,IF(A38&lt;'Données projet'!$A$62,$AF$205^A38,IF(A38='Données projet'!$A$62,'Données projet'!$B$62,AI37+AH38-AQ37)))</f>
        <v>79</v>
      </c>
      <c r="AJ38" s="13">
        <f>AI38*VLOOKUP('Données projet'!$B$10,Paramètres!$A$1:$I$89,3,0)*VLOOKUP('Données projet'!$B$10,Paramètres!$A$1:$I$89,5,0)</f>
        <v>71.479200000000006</v>
      </c>
      <c r="AK38" s="13">
        <f t="shared" si="35"/>
        <v>20.040346808618612</v>
      </c>
      <c r="AL38" s="20">
        <f t="shared" si="4"/>
        <v>159.39654402501074</v>
      </c>
      <c r="AM38" s="59">
        <f t="shared" si="5"/>
        <v>452.72987735834408</v>
      </c>
      <c r="AN38" s="59">
        <f ca="1">AVERAGE(OFFSET($AM$3,0,0,'Données projet'!$E$10+1,1))-AVERAGE(OFFSET($H$3,0,0,'Données projet'!$E$10+1,1))</f>
        <v>242.89078317348179</v>
      </c>
      <c r="AO38" s="59">
        <f t="shared" si="36"/>
        <v>123.46226548411437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13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79</v>
      </c>
      <c r="BB38" s="12">
        <f>VLOOKUP(A38,'Données projet'!$A$87:$I$107,9,0)</f>
        <v>2.2571428571428571</v>
      </c>
      <c r="BC38" s="12">
        <f t="array" ref="BC38">INDEX(BB:BB,MIN(IF(ISNUMBER(BB38:BB234),ROW(BB38:BB234),"")))</f>
        <v>2.2571428571428571</v>
      </c>
      <c r="BD38" s="12">
        <f>IF('Données projet'!$A$88&gt;35,BD37+BC38-BL37,IF(A38&lt;'Données projet'!$A$88,$BA$205^A38,IF(A38='Données projet'!$A$88,'Données projet'!$B$88,BD37+BC38-BL37)))</f>
        <v>79</v>
      </c>
      <c r="BE38" s="13">
        <f>BD38*VLOOKUP('Données projet'!$B$11,Paramètres!$A$1:$I$89,3,0)*VLOOKUP('Données projet'!$B$11,Paramètres!$A$1:$I$89,5,0)</f>
        <v>71.479200000000006</v>
      </c>
      <c r="BF38" s="13">
        <f t="shared" si="37"/>
        <v>20.040346808618612</v>
      </c>
      <c r="BG38" s="20">
        <f t="shared" si="7"/>
        <v>159.39654402501074</v>
      </c>
      <c r="BH38" s="59">
        <f t="shared" si="8"/>
        <v>452.72987735834408</v>
      </c>
      <c r="BI38" s="59">
        <f ca="1">AVERAGE(OFFSET($BH$3,0,0,'Données projet'!$E$11+1,1))-AVERAGE(OFFSET($H$3,0,0,'Données projet'!$E$11+1,1))</f>
        <v>242.89078317348179</v>
      </c>
      <c r="BJ38" s="59">
        <f t="shared" si="38"/>
        <v>123.46226548411437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13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8.0083333333333311</v>
      </c>
      <c r="N39" s="13">
        <f>IF('Données projet'!$A$36&gt;35,N38+M39-V38,IF(A39&lt;'Données projet'!$A$36,$K$205^A39,IF(A39='Données projet'!$A$36,'Données projet'!$B$36,N38+M39-V38)))</f>
        <v>147.91666666666674</v>
      </c>
      <c r="O39" s="13">
        <f>N39*VLOOKUP('Données projet'!$B$9,Paramètres!$A$1:$I$89,3,0)*VLOOKUP('Données projet'!$B$9,Paramètres!$A$1:$I$89,5,0)</f>
        <v>88.454166666666708</v>
      </c>
      <c r="P39" s="13">
        <f t="shared" si="33"/>
        <v>24.192032130374816</v>
      </c>
      <c r="Q39" s="20">
        <f t="shared" si="53"/>
        <v>196.19212957151399</v>
      </c>
      <c r="R39" s="59">
        <f t="shared" si="0"/>
        <v>489.5254629048473</v>
      </c>
      <c r="S39" s="59">
        <f ca="1">AVERAGE(OFFSET($R$3,0,0,'Données projet'!$E$9+1,1))-AVERAGE(OFFSET($H$3,0,0,'Données projet'!$E$9+1,1))</f>
        <v>194.59898508144084</v>
      </c>
      <c r="T39" s="59">
        <f t="shared" si="34"/>
        <v>237.00037875392565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0.17871074974074316</v>
      </c>
      <c r="AC39" s="22">
        <f t="shared" si="3"/>
        <v>0.17871074974074316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5.4</v>
      </c>
      <c r="AI39" s="13">
        <f>IF('Données projet'!$A$62&gt;35,AI38+AH39-AQ38,IF(A39&lt;'Données projet'!$A$62,$AF$205^A39,IF(A39='Données projet'!$A$62,'Données projet'!$B$62,AI38+AH39-AQ38)))</f>
        <v>71.400000000000006</v>
      </c>
      <c r="AJ39" s="13">
        <f>AI39*VLOOKUP('Données projet'!$B$10,Paramètres!$A$1:$I$89,3,0)*VLOOKUP('Données projet'!$B$10,Paramètres!$A$1:$I$89,5,0)</f>
        <v>64.602720000000005</v>
      </c>
      <c r="AK39" s="13">
        <f t="shared" si="35"/>
        <v>18.326928056848999</v>
      </c>
      <c r="AL39" s="20">
        <f t="shared" si="4"/>
        <v>144.43580369901201</v>
      </c>
      <c r="AM39" s="59">
        <f t="shared" si="5"/>
        <v>437.76913703234533</v>
      </c>
      <c r="AN39" s="59">
        <f ca="1">AVERAGE(OFFSET($AM$3,0,0,'Données projet'!$E$10+1,1))-AVERAGE(OFFSET($H$3,0,0,'Données projet'!$E$10+1,1))</f>
        <v>242.89078317348179</v>
      </c>
      <c r="AO39" s="59">
        <f t="shared" si="36"/>
        <v>123.46226548411437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5.4</v>
      </c>
      <c r="BD39" s="12">
        <f>IF('Données projet'!$A$88&gt;35,BD38+BC39-BL38,IF(A39&lt;'Données projet'!$A$88,$BA$205^A39,IF(A39='Données projet'!$A$88,'Données projet'!$B$88,BD38+BC39-BL38)))</f>
        <v>71.400000000000006</v>
      </c>
      <c r="BE39" s="13">
        <f>BD39*VLOOKUP('Données projet'!$B$11,Paramètres!$A$1:$I$89,3,0)*VLOOKUP('Données projet'!$B$11,Paramètres!$A$1:$I$89,5,0)</f>
        <v>64.602720000000005</v>
      </c>
      <c r="BF39" s="13">
        <f t="shared" si="37"/>
        <v>18.326928056848999</v>
      </c>
      <c r="BG39" s="20">
        <f t="shared" si="7"/>
        <v>144.43580369901201</v>
      </c>
      <c r="BH39" s="59">
        <f t="shared" si="8"/>
        <v>437.76913703234533</v>
      </c>
      <c r="BI39" s="59">
        <f ca="1">AVERAGE(OFFSET($BH$3,0,0,'Données projet'!$E$11+1,1))-AVERAGE(OFFSET($H$3,0,0,'Données projet'!$E$11+1,1))</f>
        <v>242.89078317348179</v>
      </c>
      <c r="BJ39" s="59">
        <f t="shared" si="38"/>
        <v>123.46226548411437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8.0083333333333311</v>
      </c>
      <c r="N40" s="13">
        <f>IF('Données projet'!$A$36&gt;35,N39+M40-V39,IF(A40&lt;'Données projet'!$A$36,$K$205^A40,IF(A40='Données projet'!$A$36,'Données projet'!$B$36,N39+M40-V39)))</f>
        <v>155.92500000000007</v>
      </c>
      <c r="O40" s="13">
        <f>N40*VLOOKUP('Données projet'!$B$9,Paramètres!$A$1:$I$89,3,0)*VLOOKUP('Données projet'!$B$9,Paramètres!$A$1:$I$89,5,0)</f>
        <v>93.243150000000057</v>
      </c>
      <c r="P40" s="13">
        <f t="shared" si="33"/>
        <v>25.345775871019683</v>
      </c>
      <c r="Q40" s="20">
        <f t="shared" si="53"/>
        <v>206.54237922535935</v>
      </c>
      <c r="R40" s="59">
        <f t="shared" si="0"/>
        <v>499.87571255869267</v>
      </c>
      <c r="S40" s="59">
        <f ca="1">AVERAGE(OFFSET($R$3,0,0,'Données projet'!$E$9+1,1))-AVERAGE(OFFSET($H$3,0,0,'Données projet'!$E$9+1,1))</f>
        <v>194.59898508144084</v>
      </c>
      <c r="T40" s="59">
        <f t="shared" si="34"/>
        <v>237.00037875392565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0.12636758301261153</v>
      </c>
      <c r="AC40" s="22">
        <f t="shared" si="3"/>
        <v>0.12636758301261153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5.4</v>
      </c>
      <c r="AI40" s="13">
        <f>IF('Données projet'!$A$62&gt;35,AI39+AH40-AQ39,IF(A40&lt;'Données projet'!$A$62,$AF$205^A40,IF(A40='Données projet'!$A$62,'Données projet'!$B$62,AI39+AH40-AQ39)))</f>
        <v>76.800000000000011</v>
      </c>
      <c r="AJ40" s="13">
        <f>AI40*VLOOKUP('Données projet'!$B$10,Paramètres!$A$1:$I$89,3,0)*VLOOKUP('Données projet'!$B$10,Paramètres!$A$1:$I$89,5,0)</f>
        <v>69.488640000000004</v>
      </c>
      <c r="AK40" s="13">
        <f t="shared" si="35"/>
        <v>19.546414723012209</v>
      </c>
      <c r="AL40" s="20">
        <f t="shared" si="4"/>
        <v>155.06938697591292</v>
      </c>
      <c r="AM40" s="59">
        <f t="shared" si="5"/>
        <v>448.40272030924621</v>
      </c>
      <c r="AN40" s="59">
        <f ca="1">AVERAGE(OFFSET($AM$3,0,0,'Données projet'!$E$10+1,1))-AVERAGE(OFFSET($H$3,0,0,'Données projet'!$E$10+1,1))</f>
        <v>242.89078317348179</v>
      </c>
      <c r="AO40" s="59">
        <f t="shared" si="36"/>
        <v>123.46226548411437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5.4</v>
      </c>
      <c r="BD40" s="12">
        <f>IF('Données projet'!$A$88&gt;35,BD39+BC40-BL39,IF(A40&lt;'Données projet'!$A$88,$BA$205^A40,IF(A40='Données projet'!$A$88,'Données projet'!$B$88,BD39+BC40-BL39)))</f>
        <v>76.800000000000011</v>
      </c>
      <c r="BE40" s="13">
        <f>BD40*VLOOKUP('Données projet'!$B$11,Paramètres!$A$1:$I$89,3,0)*VLOOKUP('Données projet'!$B$11,Paramètres!$A$1:$I$89,5,0)</f>
        <v>69.488640000000004</v>
      </c>
      <c r="BF40" s="13">
        <f t="shared" si="37"/>
        <v>19.546414723012209</v>
      </c>
      <c r="BG40" s="20">
        <f t="shared" si="7"/>
        <v>155.06938697591292</v>
      </c>
      <c r="BH40" s="59">
        <f t="shared" si="8"/>
        <v>448.40272030924621</v>
      </c>
      <c r="BI40" s="59">
        <f ca="1">AVERAGE(OFFSET($BH$3,0,0,'Données projet'!$E$11+1,1))-AVERAGE(OFFSET($H$3,0,0,'Données projet'!$E$11+1,1))</f>
        <v>242.89078317348179</v>
      </c>
      <c r="BJ40" s="59">
        <f t="shared" si="38"/>
        <v>123.46226548411437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8.0083333333333311</v>
      </c>
      <c r="N41" s="13">
        <f>IF('Données projet'!$A$36&gt;35,N40+M41-V40,IF(A41&lt;'Données projet'!$A$36,$K$205^A41,IF(A41='Données projet'!$A$36,'Données projet'!$B$36,N40+M41-V40)))</f>
        <v>163.93333333333339</v>
      </c>
      <c r="O41" s="13">
        <f>N41*VLOOKUP('Données projet'!$B$9,Paramètres!$A$1:$I$89,3,0)*VLOOKUP('Données projet'!$B$9,Paramètres!$A$1:$I$89,5,0)</f>
        <v>98.032133333333377</v>
      </c>
      <c r="P41" s="13">
        <f t="shared" si="33"/>
        <v>26.49263954228935</v>
      </c>
      <c r="Q41" s="20">
        <f t="shared" si="53"/>
        <v>216.88064609170956</v>
      </c>
      <c r="R41" s="59">
        <f t="shared" si="0"/>
        <v>510.21397942504291</v>
      </c>
      <c r="S41" s="59">
        <f ca="1">AVERAGE(OFFSET($R$3,0,0,'Données projet'!$E$9+1,1))-AVERAGE(OFFSET($H$3,0,0,'Données projet'!$E$9+1,1))</f>
        <v>194.59898508144084</v>
      </c>
      <c r="T41" s="59">
        <f t="shared" si="34"/>
        <v>237.00037875392565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8.9355374870371582E-2</v>
      </c>
      <c r="AC41" s="22">
        <f t="shared" si="3"/>
        <v>8.9355374870371582E-2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5.4</v>
      </c>
      <c r="AI41" s="13">
        <f>IF('Données projet'!$A$62&gt;35,AI40+AH41-AQ40,IF(A41&lt;'Données projet'!$A$62,$AF$205^A41,IF(A41='Données projet'!$A$62,'Données projet'!$B$62,AI40+AH41-AQ40)))</f>
        <v>82.200000000000017</v>
      </c>
      <c r="AJ41" s="13">
        <f>AI41*VLOOKUP('Données projet'!$B$10,Paramètres!$A$1:$I$89,3,0)*VLOOKUP('Données projet'!$B$10,Paramètres!$A$1:$I$89,5,0)</f>
        <v>74.374560000000017</v>
      </c>
      <c r="AK41" s="13">
        <f t="shared" si="35"/>
        <v>20.755952735382312</v>
      </c>
      <c r="AL41" s="20">
        <f t="shared" si="4"/>
        <v>165.6856430141242</v>
      </c>
      <c r="AM41" s="59">
        <f t="shared" si="5"/>
        <v>459.01897634745751</v>
      </c>
      <c r="AN41" s="59">
        <f ca="1">AVERAGE(OFFSET($AM$3,0,0,'Données projet'!$E$10+1,1))-AVERAGE(OFFSET($H$3,0,0,'Données projet'!$E$10+1,1))</f>
        <v>242.89078317348179</v>
      </c>
      <c r="AO41" s="59">
        <f t="shared" si="36"/>
        <v>123.46226548411437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5.4</v>
      </c>
      <c r="BD41" s="12">
        <f>IF('Données projet'!$A$88&gt;35,BD40+BC41-BL40,IF(A41&lt;'Données projet'!$A$88,$BA$205^A41,IF(A41='Données projet'!$A$88,'Données projet'!$B$88,BD40+BC41-BL40)))</f>
        <v>82.200000000000017</v>
      </c>
      <c r="BE41" s="13">
        <f>BD41*VLOOKUP('Données projet'!$B$11,Paramètres!$A$1:$I$89,3,0)*VLOOKUP('Données projet'!$B$11,Paramètres!$A$1:$I$89,5,0)</f>
        <v>74.374560000000017</v>
      </c>
      <c r="BF41" s="13">
        <f t="shared" si="37"/>
        <v>20.755952735382312</v>
      </c>
      <c r="BG41" s="20">
        <f t="shared" si="7"/>
        <v>165.6856430141242</v>
      </c>
      <c r="BH41" s="59">
        <f t="shared" si="8"/>
        <v>459.01897634745751</v>
      </c>
      <c r="BI41" s="59">
        <f ca="1">AVERAGE(OFFSET($BH$3,0,0,'Données projet'!$E$11+1,1))-AVERAGE(OFFSET($H$3,0,0,'Données projet'!$E$11+1,1))</f>
        <v>242.89078317348179</v>
      </c>
      <c r="BJ41" s="59">
        <f t="shared" si="38"/>
        <v>123.46226548411437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8.0083333333333311</v>
      </c>
      <c r="N42" s="13">
        <f>IF('Données projet'!$A$36&gt;35,N41+M42-V41,IF(A42&lt;'Données projet'!$A$36,$K$205^A42,IF(A42='Données projet'!$A$36,'Données projet'!$B$36,N41+M42-V41)))</f>
        <v>171.94166666666672</v>
      </c>
      <c r="O42" s="13">
        <f>N42*VLOOKUP('Données projet'!$B$9,Paramètres!$A$1:$I$89,3,0)*VLOOKUP('Données projet'!$B$9,Paramètres!$A$1:$I$89,5,0)</f>
        <v>102.8211166666667</v>
      </c>
      <c r="P42" s="13">
        <f t="shared" si="33"/>
        <v>27.632997605599737</v>
      </c>
      <c r="Q42" s="20">
        <f t="shared" si="53"/>
        <v>227.20758235753067</v>
      </c>
      <c r="R42" s="59">
        <f t="shared" si="0"/>
        <v>520.54091569086404</v>
      </c>
      <c r="S42" s="59">
        <f ca="1">AVERAGE(OFFSET($R$3,0,0,'Données projet'!$E$9+1,1))-AVERAGE(OFFSET($H$3,0,0,'Données projet'!$E$9+1,1))</f>
        <v>194.59898508144084</v>
      </c>
      <c r="T42" s="59">
        <f t="shared" si="34"/>
        <v>237.00037875392565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6.3183791506305764E-2</v>
      </c>
      <c r="AC42" s="22">
        <f t="shared" si="3"/>
        <v>6.3183791506305764E-2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5.4</v>
      </c>
      <c r="AI42" s="13">
        <f>IF('Données projet'!$A$62&gt;35,AI41+AH42-AQ41,IF(A42&lt;'Données projet'!$A$62,$AF$205^A42,IF(A42='Données projet'!$A$62,'Données projet'!$B$62,AI41+AH42-AQ41)))</f>
        <v>87.600000000000023</v>
      </c>
      <c r="AJ42" s="13">
        <f>AI42*VLOOKUP('Données projet'!$B$10,Paramètres!$A$1:$I$89,3,0)*VLOOKUP('Données projet'!$B$10,Paramètres!$A$1:$I$89,5,0)</f>
        <v>79.260480000000015</v>
      </c>
      <c r="AK42" s="13">
        <f t="shared" si="35"/>
        <v>21.956270028417133</v>
      </c>
      <c r="AL42" s="20">
        <f t="shared" si="4"/>
        <v>176.28583963282654</v>
      </c>
      <c r="AM42" s="59">
        <f t="shared" si="5"/>
        <v>469.61917296615985</v>
      </c>
      <c r="AN42" s="59">
        <f ca="1">AVERAGE(OFFSET($AM$3,0,0,'Données projet'!$E$10+1,1))-AVERAGE(OFFSET($H$3,0,0,'Données projet'!$E$10+1,1))</f>
        <v>242.89078317348179</v>
      </c>
      <c r="AO42" s="59">
        <f t="shared" si="36"/>
        <v>123.46226548411437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5.4</v>
      </c>
      <c r="BD42" s="12">
        <f>IF('Données projet'!$A$88&gt;35,BD41+BC42-BL41,IF(A42&lt;'Données projet'!$A$88,$BA$205^A42,IF(A42='Données projet'!$A$88,'Données projet'!$B$88,BD41+BC42-BL41)))</f>
        <v>87.600000000000023</v>
      </c>
      <c r="BE42" s="13">
        <f>BD42*VLOOKUP('Données projet'!$B$11,Paramètres!$A$1:$I$89,3,0)*VLOOKUP('Données projet'!$B$11,Paramètres!$A$1:$I$89,5,0)</f>
        <v>79.260480000000015</v>
      </c>
      <c r="BF42" s="13">
        <f t="shared" si="37"/>
        <v>21.956270028417133</v>
      </c>
      <c r="BG42" s="20">
        <f t="shared" si="7"/>
        <v>176.28583963282654</v>
      </c>
      <c r="BH42" s="59">
        <f t="shared" si="8"/>
        <v>469.61917296615985</v>
      </c>
      <c r="BI42" s="59">
        <f ca="1">AVERAGE(OFFSET($BH$3,0,0,'Données projet'!$E$11+1,1))-AVERAGE(OFFSET($H$3,0,0,'Données projet'!$E$11+1,1))</f>
        <v>242.89078317348179</v>
      </c>
      <c r="BJ42" s="59">
        <f t="shared" si="38"/>
        <v>123.46226548411437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8.0083333333333311</v>
      </c>
      <c r="N43" s="13">
        <f>IF('Données projet'!$A$36&gt;35,N42+M43-V42,IF(A43&lt;'Données projet'!$A$36,$K$205^A43,IF(A43='Données projet'!$A$36,'Données projet'!$B$36,N42+M43-V42)))</f>
        <v>179.95000000000005</v>
      </c>
      <c r="O43" s="13">
        <f>N43*VLOOKUP('Données projet'!$B$9,Paramètres!$A$1:$I$89,3,0)*VLOOKUP('Données projet'!$B$9,Paramètres!$A$1:$I$89,5,0)</f>
        <v>107.61010000000005</v>
      </c>
      <c r="P43" s="13">
        <f t="shared" si="33"/>
        <v>28.767187669294852</v>
      </c>
      <c r="Q43" s="20">
        <f t="shared" si="53"/>
        <v>237.52377602402194</v>
      </c>
      <c r="R43" s="59">
        <f t="shared" si="0"/>
        <v>530.85710935735528</v>
      </c>
      <c r="S43" s="59">
        <f ca="1">AVERAGE(OFFSET($R$3,0,0,'Données projet'!$E$9+1,1))-AVERAGE(OFFSET($H$3,0,0,'Données projet'!$E$9+1,1))</f>
        <v>194.59898508144084</v>
      </c>
      <c r="T43" s="59">
        <f t="shared" si="34"/>
        <v>237.00037875392565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4.4677687435185791E-2</v>
      </c>
      <c r="AC43" s="22">
        <f t="shared" si="3"/>
        <v>4.4677687435185791E-2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93</v>
      </c>
      <c r="AG43" s="12">
        <f>VLOOKUP(A43,'Données projet'!$A$61:$I$81,9,0)</f>
        <v>5.4</v>
      </c>
      <c r="AH43" s="12">
        <f t="array" ref="AH43">INDEX(AG:AG,MIN(IF(ISNUMBER(AG43:AG239),ROW(AG43:AG239),"")))</f>
        <v>5.4</v>
      </c>
      <c r="AI43" s="13">
        <f>IF('Données projet'!$A$62&gt;35,AI42+AH43-AQ42,IF(A43&lt;'Données projet'!$A$62,$AF$205^A43,IF(A43='Données projet'!$A$62,'Données projet'!$B$62,AI42+AH43-AQ42)))</f>
        <v>93.000000000000028</v>
      </c>
      <c r="AJ43" s="13">
        <f>AI43*VLOOKUP('Données projet'!$B$10,Paramètres!$A$1:$I$89,3,0)*VLOOKUP('Données projet'!$B$10,Paramètres!$A$1:$I$89,5,0)</f>
        <v>84.146400000000028</v>
      </c>
      <c r="AK43" s="13">
        <f t="shared" si="35"/>
        <v>23.14799971956144</v>
      </c>
      <c r="AL43" s="20">
        <f t="shared" si="4"/>
        <v>186.87107951156955</v>
      </c>
      <c r="AM43" s="59">
        <f t="shared" si="5"/>
        <v>480.20441284490289</v>
      </c>
      <c r="AN43" s="59">
        <f ca="1">AVERAGE(OFFSET($AM$3,0,0,'Données projet'!$E$10+1,1))-AVERAGE(OFFSET($H$3,0,0,'Données projet'!$E$10+1,1))</f>
        <v>242.89078317348179</v>
      </c>
      <c r="AO43" s="59">
        <f t="shared" si="36"/>
        <v>123.46226548411437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14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93</v>
      </c>
      <c r="BB43" s="12">
        <f>VLOOKUP(A43,'Données projet'!$A$87:$I$107,9,0)</f>
        <v>5.4</v>
      </c>
      <c r="BC43" s="12">
        <f t="array" ref="BC43">INDEX(BB:BB,MIN(IF(ISNUMBER(BB43:BB239),ROW(BB43:BB239),"")))</f>
        <v>5.4</v>
      </c>
      <c r="BD43" s="12">
        <f>IF('Données projet'!$A$88&gt;35,BD42+BC43-BL42,IF(A43&lt;'Données projet'!$A$88,$BA$205^A43,IF(A43='Données projet'!$A$88,'Données projet'!$B$88,BD42+BC43-BL42)))</f>
        <v>93.000000000000028</v>
      </c>
      <c r="BE43" s="13">
        <f>BD43*VLOOKUP('Données projet'!$B$11,Paramètres!$A$1:$I$89,3,0)*VLOOKUP('Données projet'!$B$11,Paramètres!$A$1:$I$89,5,0)</f>
        <v>84.146400000000028</v>
      </c>
      <c r="BF43" s="13">
        <f t="shared" si="37"/>
        <v>23.14799971956144</v>
      </c>
      <c r="BG43" s="20">
        <f t="shared" si="7"/>
        <v>186.87107951156955</v>
      </c>
      <c r="BH43" s="59">
        <f t="shared" si="8"/>
        <v>480.20441284490289</v>
      </c>
      <c r="BI43" s="59">
        <f ca="1">AVERAGE(OFFSET($BH$3,0,0,'Données projet'!$E$11+1,1))-AVERAGE(OFFSET($H$3,0,0,'Données projet'!$E$11+1,1))</f>
        <v>242.89078317348179</v>
      </c>
      <c r="BJ43" s="59">
        <f t="shared" si="38"/>
        <v>123.46226548411437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14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8.0083333333333311</v>
      </c>
      <c r="N44" s="13">
        <f>IF('Données projet'!$A$36&gt;35,N43+M44-V43,IF(A44&lt;'Données projet'!$A$36,$K$205^A44,IF(A44='Données projet'!$A$36,'Données projet'!$B$36,N43+M44-V43)))</f>
        <v>187.95833333333337</v>
      </c>
      <c r="O44" s="13">
        <f>N44*VLOOKUP('Données projet'!$B$9,Paramètres!$A$1:$I$89,3,0)*VLOOKUP('Données projet'!$B$9,Paramètres!$A$1:$I$89,5,0)</f>
        <v>112.39908333333337</v>
      </c>
      <c r="P44" s="13">
        <f t="shared" si="33"/>
        <v>29.895515593583255</v>
      </c>
      <c r="Q44" s="20">
        <f t="shared" si="53"/>
        <v>247.82975979771308</v>
      </c>
      <c r="R44" s="59">
        <f t="shared" si="0"/>
        <v>541.16309313104637</v>
      </c>
      <c r="S44" s="59">
        <f ca="1">AVERAGE(OFFSET($R$3,0,0,'Données projet'!$E$9+1,1))-AVERAGE(OFFSET($H$3,0,0,'Données projet'!$E$9+1,1))</f>
        <v>194.59898508144084</v>
      </c>
      <c r="T44" s="59">
        <f t="shared" si="34"/>
        <v>237.00037875392565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3.1591895753152882E-2</v>
      </c>
      <c r="AC44" s="22">
        <f t="shared" si="3"/>
        <v>3.1591895753152882E-2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5.6</v>
      </c>
      <c r="AI44" s="13">
        <f>IF('Données projet'!$A$62&gt;35,AI43+AH44-AQ43,IF(A44&lt;'Données projet'!$A$62,$AF$205^A44,IF(A44='Données projet'!$A$62,'Données projet'!$B$62,AI43+AH44-AQ43)))</f>
        <v>84.600000000000023</v>
      </c>
      <c r="AJ44" s="13">
        <f>AI44*VLOOKUP('Données projet'!$B$10,Paramètres!$A$1:$I$89,3,0)*VLOOKUP('Données projet'!$B$10,Paramètres!$A$1:$I$89,5,0)</f>
        <v>76.546080000000018</v>
      </c>
      <c r="AK44" s="13">
        <f t="shared" si="35"/>
        <v>21.290525837973497</v>
      </c>
      <c r="AL44" s="20">
        <f t="shared" si="4"/>
        <v>170.39875516780384</v>
      </c>
      <c r="AM44" s="59">
        <f t="shared" si="5"/>
        <v>463.73208850113713</v>
      </c>
      <c r="AN44" s="59">
        <f ca="1">AVERAGE(OFFSET($AM$3,0,0,'Données projet'!$E$10+1,1))-AVERAGE(OFFSET($H$3,0,0,'Données projet'!$E$10+1,1))</f>
        <v>242.89078317348179</v>
      </c>
      <c r="AO44" s="59">
        <f t="shared" si="36"/>
        <v>123.46226548411437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</v>
      </c>
      <c r="BD44" s="12">
        <f>IF('Données projet'!$A$88&gt;35,BD43+BC44-BL43,IF(A44&lt;'Données projet'!$A$88,$BA$205^A44,IF(A44='Données projet'!$A$88,'Données projet'!$B$88,BD43+BC44-BL43)))</f>
        <v>84.600000000000023</v>
      </c>
      <c r="BE44" s="13">
        <f>BD44*VLOOKUP('Données projet'!$B$11,Paramètres!$A$1:$I$89,3,0)*VLOOKUP('Données projet'!$B$11,Paramètres!$A$1:$I$89,5,0)</f>
        <v>76.546080000000018</v>
      </c>
      <c r="BF44" s="13">
        <f t="shared" si="37"/>
        <v>21.290525837973497</v>
      </c>
      <c r="BG44" s="20">
        <f t="shared" si="7"/>
        <v>170.39875516780384</v>
      </c>
      <c r="BH44" s="59">
        <f t="shared" si="8"/>
        <v>463.73208850113713</v>
      </c>
      <c r="BI44" s="59">
        <f ca="1">AVERAGE(OFFSET($BH$3,0,0,'Données projet'!$E$11+1,1))-AVERAGE(OFFSET($H$3,0,0,'Données projet'!$E$11+1,1))</f>
        <v>242.89078317348179</v>
      </c>
      <c r="BJ44" s="59">
        <f t="shared" si="38"/>
        <v>123.46226548411437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8.0083333333333311</v>
      </c>
      <c r="N45" s="13">
        <f>IF('Données projet'!$A$36&gt;35,N44+M45-V44,IF(A45&lt;'Données projet'!$A$36,$K$205^A45,IF(A45='Données projet'!$A$36,'Données projet'!$B$36,N44+M45-V44)))</f>
        <v>195.9666666666667</v>
      </c>
      <c r="O45" s="13">
        <f>N45*VLOOKUP('Données projet'!$B$9,Paramètres!$A$1:$I$89,3,0)*VLOOKUP('Données projet'!$B$9,Paramètres!$A$1:$I$89,5,0)</f>
        <v>117.18806666666669</v>
      </c>
      <c r="P45" s="13">
        <f t="shared" si="33"/>
        <v>31.018259700919156</v>
      </c>
      <c r="Q45" s="20">
        <f t="shared" si="53"/>
        <v>258.1260184235453</v>
      </c>
      <c r="R45" s="59">
        <f t="shared" si="0"/>
        <v>551.45935175687862</v>
      </c>
      <c r="S45" s="59">
        <f ca="1">AVERAGE(OFFSET($R$3,0,0,'Données projet'!$E$9+1,1))-AVERAGE(OFFSET($H$3,0,0,'Données projet'!$E$9+1,1))</f>
        <v>194.59898508144084</v>
      </c>
      <c r="T45" s="59">
        <f t="shared" si="34"/>
        <v>237.00037875392565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2.2338843717592895E-2</v>
      </c>
      <c r="AC45" s="22">
        <f t="shared" si="3"/>
        <v>2.2338843717592895E-2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5.6</v>
      </c>
      <c r="AI45" s="13">
        <f>IF('Données projet'!$A$62&gt;35,AI44+AH45-AQ44,IF(A45&lt;'Données projet'!$A$62,$AF$205^A45,IF(A45='Données projet'!$A$62,'Données projet'!$B$62,AI44+AH45-AQ44)))</f>
        <v>90.200000000000017</v>
      </c>
      <c r="AJ45" s="13">
        <f>AI45*VLOOKUP('Données projet'!$B$10,Paramètres!$A$1:$I$89,3,0)*VLOOKUP('Données projet'!$B$10,Paramètres!$A$1:$I$89,5,0)</f>
        <v>81.612960000000015</v>
      </c>
      <c r="AK45" s="13">
        <f t="shared" si="35"/>
        <v>22.531101896247538</v>
      </c>
      <c r="AL45" s="20">
        <f t="shared" si="4"/>
        <v>181.38424113596446</v>
      </c>
      <c r="AM45" s="59">
        <f t="shared" si="5"/>
        <v>474.7175744692978</v>
      </c>
      <c r="AN45" s="59">
        <f ca="1">AVERAGE(OFFSET($AM$3,0,0,'Données projet'!$E$10+1,1))-AVERAGE(OFFSET($H$3,0,0,'Données projet'!$E$10+1,1))</f>
        <v>242.89078317348179</v>
      </c>
      <c r="AO45" s="59">
        <f t="shared" si="36"/>
        <v>123.46226548411437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</v>
      </c>
      <c r="BD45" s="12">
        <f>IF('Données projet'!$A$88&gt;35,BD44+BC45-BL44,IF(A45&lt;'Données projet'!$A$88,$BA$205^A45,IF(A45='Données projet'!$A$88,'Données projet'!$B$88,BD44+BC45-BL44)))</f>
        <v>90.200000000000017</v>
      </c>
      <c r="BE45" s="13">
        <f>BD45*VLOOKUP('Données projet'!$B$11,Paramètres!$A$1:$I$89,3,0)*VLOOKUP('Données projet'!$B$11,Paramètres!$A$1:$I$89,5,0)</f>
        <v>81.612960000000015</v>
      </c>
      <c r="BF45" s="13">
        <f t="shared" si="37"/>
        <v>22.531101896247538</v>
      </c>
      <c r="BG45" s="20">
        <f t="shared" si="7"/>
        <v>181.38424113596446</v>
      </c>
      <c r="BH45" s="59">
        <f t="shared" si="8"/>
        <v>474.7175744692978</v>
      </c>
      <c r="BI45" s="59">
        <f ca="1">AVERAGE(OFFSET($BH$3,0,0,'Données projet'!$E$11+1,1))-AVERAGE(OFFSET($H$3,0,0,'Données projet'!$E$11+1,1))</f>
        <v>242.89078317348179</v>
      </c>
      <c r="BJ45" s="59">
        <f t="shared" si="38"/>
        <v>123.46226548411437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8.0083333333333311</v>
      </c>
      <c r="N46" s="13">
        <f>IF('Données projet'!$A$36&gt;35,N45+M46-V45,IF(A46&lt;'Données projet'!$A$36,$K$205^A46,IF(A46='Données projet'!$A$36,'Données projet'!$B$36,N45+M46-V45)))</f>
        <v>203.97500000000002</v>
      </c>
      <c r="O46" s="13">
        <f>N46*VLOOKUP('Données projet'!$B$9,Paramètres!$A$1:$I$89,3,0)*VLOOKUP('Données projet'!$B$9,Paramètres!$A$1:$I$89,5,0)</f>
        <v>121.97705000000003</v>
      </c>
      <c r="P46" s="13">
        <f t="shared" si="33"/>
        <v>32.135674278757939</v>
      </c>
      <c r="Q46" s="20">
        <f t="shared" si="53"/>
        <v>268.41299478550349</v>
      </c>
      <c r="R46" s="59">
        <f t="shared" si="0"/>
        <v>561.7463281188368</v>
      </c>
      <c r="S46" s="59">
        <f ca="1">AVERAGE(OFFSET($R$3,0,0,'Données projet'!$E$9+1,1))-AVERAGE(OFFSET($H$3,0,0,'Données projet'!$E$9+1,1))</f>
        <v>194.59898508144084</v>
      </c>
      <c r="T46" s="59">
        <f t="shared" si="34"/>
        <v>237.00037875392565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1.5795947876576441E-2</v>
      </c>
      <c r="AC46" s="22">
        <f t="shared" si="3"/>
        <v>1.5795947876576441E-2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5.6</v>
      </c>
      <c r="AI46" s="13">
        <f>IF('Données projet'!$A$62&gt;35,AI45+AH46-AQ45,IF(A46&lt;'Données projet'!$A$62,$AF$205^A46,IF(A46='Données projet'!$A$62,'Données projet'!$B$62,AI45+AH46-AQ45)))</f>
        <v>95.800000000000011</v>
      </c>
      <c r="AJ46" s="13">
        <f>AI46*VLOOKUP('Données projet'!$B$10,Paramètres!$A$1:$I$89,3,0)*VLOOKUP('Données projet'!$B$10,Paramètres!$A$1:$I$89,5,0)</f>
        <v>86.679839999999999</v>
      </c>
      <c r="AK46" s="13">
        <f t="shared" si="35"/>
        <v>23.762739053789723</v>
      </c>
      <c r="AL46" s="20">
        <f t="shared" si="4"/>
        <v>192.35415851868379</v>
      </c>
      <c r="AM46" s="59">
        <f t="shared" si="5"/>
        <v>485.6874918520171</v>
      </c>
      <c r="AN46" s="59">
        <f ca="1">AVERAGE(OFFSET($AM$3,0,0,'Données projet'!$E$10+1,1))-AVERAGE(OFFSET($H$3,0,0,'Données projet'!$E$10+1,1))</f>
        <v>242.89078317348179</v>
      </c>
      <c r="AO46" s="59">
        <f t="shared" si="36"/>
        <v>123.46226548411437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</v>
      </c>
      <c r="BD46" s="12">
        <f>IF('Données projet'!$A$88&gt;35,BD45+BC46-BL45,IF(A46&lt;'Données projet'!$A$88,$BA$205^A46,IF(A46='Données projet'!$A$88,'Données projet'!$B$88,BD45+BC46-BL45)))</f>
        <v>95.800000000000011</v>
      </c>
      <c r="BE46" s="13">
        <f>BD46*VLOOKUP('Données projet'!$B$11,Paramètres!$A$1:$I$89,3,0)*VLOOKUP('Données projet'!$B$11,Paramètres!$A$1:$I$89,5,0)</f>
        <v>86.679839999999999</v>
      </c>
      <c r="BF46" s="13">
        <f t="shared" si="37"/>
        <v>23.762739053789723</v>
      </c>
      <c r="BG46" s="20">
        <f t="shared" si="7"/>
        <v>192.35415851868379</v>
      </c>
      <c r="BH46" s="59">
        <f t="shared" si="8"/>
        <v>485.6874918520171</v>
      </c>
      <c r="BI46" s="59">
        <f ca="1">AVERAGE(OFFSET($BH$3,0,0,'Données projet'!$E$11+1,1))-AVERAGE(OFFSET($H$3,0,0,'Données projet'!$E$11+1,1))</f>
        <v>242.89078317348179</v>
      </c>
      <c r="BJ46" s="59">
        <f t="shared" si="38"/>
        <v>123.46226548411437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8.0083333333333311</v>
      </c>
      <c r="N47" s="13">
        <f>IF('Données projet'!$A$36&gt;35,N46+M47-V46,IF(A47&lt;'Données projet'!$A$36,$K$205^A47,IF(A47='Données projet'!$A$36,'Données projet'!$B$36,N46+M47-V46)))</f>
        <v>211.98333333333335</v>
      </c>
      <c r="O47" s="13">
        <f>N47*VLOOKUP('Données projet'!$B$9,Paramètres!$A$1:$I$89,3,0)*VLOOKUP('Données projet'!$B$9,Paramètres!$A$1:$I$89,5,0)</f>
        <v>126.76603333333335</v>
      </c>
      <c r="P47" s="13">
        <f t="shared" si="33"/>
        <v>33.247992516741448</v>
      </c>
      <c r="Q47" s="20">
        <f t="shared" si="53"/>
        <v>278.69109502221357</v>
      </c>
      <c r="R47" s="59">
        <f t="shared" si="0"/>
        <v>572.02442835554689</v>
      </c>
      <c r="S47" s="59">
        <f ca="1">AVERAGE(OFFSET($R$3,0,0,'Données projet'!$E$9+1,1))-AVERAGE(OFFSET($H$3,0,0,'Données projet'!$E$9+1,1))</f>
        <v>194.59898508144084</v>
      </c>
      <c r="T47" s="59">
        <f t="shared" si="34"/>
        <v>237.00037875392565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1.1169421858796448E-2</v>
      </c>
      <c r="AC47" s="22">
        <f t="shared" si="3"/>
        <v>1.1169421858796448E-2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5.6</v>
      </c>
      <c r="AI47" s="13">
        <f>IF('Données projet'!$A$62&gt;35,AI46+AH47-AQ46,IF(A47&lt;'Données projet'!$A$62,$AF$205^A47,IF(A47='Données projet'!$A$62,'Données projet'!$B$62,AI46+AH47-AQ46)))</f>
        <v>101.4</v>
      </c>
      <c r="AJ47" s="13">
        <f>AI47*VLOOKUP('Données projet'!$B$10,Paramètres!$A$1:$I$89,3,0)*VLOOKUP('Données projet'!$B$10,Paramètres!$A$1:$I$89,5,0)</f>
        <v>91.746719999999996</v>
      </c>
      <c r="AK47" s="13">
        <f t="shared" si="35"/>
        <v>24.986019358738364</v>
      </c>
      <c r="AL47" s="20">
        <f t="shared" si="4"/>
        <v>203.30952104980261</v>
      </c>
      <c r="AM47" s="59">
        <f t="shared" si="5"/>
        <v>496.64285438313595</v>
      </c>
      <c r="AN47" s="59">
        <f ca="1">AVERAGE(OFFSET($AM$3,0,0,'Données projet'!$E$10+1,1))-AVERAGE(OFFSET($H$3,0,0,'Données projet'!$E$10+1,1))</f>
        <v>242.89078317348179</v>
      </c>
      <c r="AO47" s="59">
        <f t="shared" si="36"/>
        <v>123.46226548411437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</v>
      </c>
      <c r="BD47" s="12">
        <f>IF('Données projet'!$A$88&gt;35,BD46+BC47-BL46,IF(A47&lt;'Données projet'!$A$88,$BA$205^A47,IF(A47='Données projet'!$A$88,'Données projet'!$B$88,BD46+BC47-BL46)))</f>
        <v>101.4</v>
      </c>
      <c r="BE47" s="13">
        <f>BD47*VLOOKUP('Données projet'!$B$11,Paramètres!$A$1:$I$89,3,0)*VLOOKUP('Données projet'!$B$11,Paramètres!$A$1:$I$89,5,0)</f>
        <v>91.746719999999996</v>
      </c>
      <c r="BF47" s="13">
        <f t="shared" si="37"/>
        <v>24.986019358738364</v>
      </c>
      <c r="BG47" s="20">
        <f t="shared" si="7"/>
        <v>203.30952104980261</v>
      </c>
      <c r="BH47" s="59">
        <f t="shared" si="8"/>
        <v>496.64285438313595</v>
      </c>
      <c r="BI47" s="59">
        <f ca="1">AVERAGE(OFFSET($BH$3,0,0,'Données projet'!$E$11+1,1))-AVERAGE(OFFSET($H$3,0,0,'Données projet'!$E$11+1,1))</f>
        <v>242.89078317348179</v>
      </c>
      <c r="BJ47" s="59">
        <f t="shared" si="38"/>
        <v>123.46226548411437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8.0083333333333311</v>
      </c>
      <c r="N48" s="13">
        <f>IF('Données projet'!$A$36&gt;35,N47+M48-V47,IF(A48&lt;'Données projet'!$A$36,$K$205^A48,IF(A48='Données projet'!$A$36,'Données projet'!$B$36,N47+M48-V47)))</f>
        <v>219.99166666666667</v>
      </c>
      <c r="O48" s="13">
        <f>N48*VLOOKUP('Données projet'!$B$9,Paramètres!$A$1:$I$89,3,0)*VLOOKUP('Données projet'!$B$9,Paramètres!$A$1:$I$89,5,0)</f>
        <v>131.55501666666669</v>
      </c>
      <c r="P48" s="13">
        <f t="shared" si="33"/>
        <v>34.35542898755768</v>
      </c>
      <c r="Q48" s="20">
        <f t="shared" si="53"/>
        <v>288.96069284777406</v>
      </c>
      <c r="R48" s="59">
        <f t="shared" si="0"/>
        <v>582.29402618110737</v>
      </c>
      <c r="S48" s="59">
        <f ca="1">AVERAGE(OFFSET($R$3,0,0,'Données projet'!$E$9+1,1))-AVERAGE(OFFSET($H$3,0,0,'Données projet'!$E$9+1,1))</f>
        <v>194.59898508144084</v>
      </c>
      <c r="T48" s="59">
        <f t="shared" si="34"/>
        <v>237.00037875392565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7.8979739382882205E-3</v>
      </c>
      <c r="AC48" s="22">
        <f t="shared" si="3"/>
        <v>7.8979739382882205E-3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107</v>
      </c>
      <c r="AG48" s="12">
        <f>VLOOKUP(A48,'Données projet'!$A$61:$I$81,9,0)</f>
        <v>5.6</v>
      </c>
      <c r="AH48" s="12">
        <f t="array" ref="AH48">INDEX(AG:AG,MIN(IF(ISNUMBER(AG48:AG244),ROW(AG48:AG244),"")))</f>
        <v>5.6</v>
      </c>
      <c r="AI48" s="13">
        <f>IF('Données projet'!$A$62&gt;35,AI47+AH48-AQ47,IF(A48&lt;'Données projet'!$A$62,$AF$205^A48,IF(A48='Données projet'!$A$62,'Données projet'!$B$62,AI47+AH48-AQ47)))</f>
        <v>107</v>
      </c>
      <c r="AJ48" s="13">
        <f>AI48*VLOOKUP('Données projet'!$B$10,Paramètres!$A$1:$I$89,3,0)*VLOOKUP('Données projet'!$B$10,Paramètres!$A$1:$I$89,5,0)</f>
        <v>96.813599999999994</v>
      </c>
      <c r="AK48" s="13">
        <f t="shared" si="35"/>
        <v>26.201456938925336</v>
      </c>
      <c r="AL48" s="20">
        <f t="shared" si="4"/>
        <v>214.25122416862826</v>
      </c>
      <c r="AM48" s="59">
        <f t="shared" si="5"/>
        <v>507.58455750196157</v>
      </c>
      <c r="AN48" s="59">
        <f ca="1">AVERAGE(OFFSET($AM$3,0,0,'Données projet'!$E$10+1,1))-AVERAGE(OFFSET($H$3,0,0,'Données projet'!$E$10+1,1))</f>
        <v>242.89078317348179</v>
      </c>
      <c r="AO48" s="59">
        <f t="shared" si="36"/>
        <v>123.46226548411437</v>
      </c>
      <c r="AP48" s="15">
        <f>IF(ISNA(VLOOKUP(A48,'Données projet'!$A$61:$I$81,3,0)),0,VLOOKUP(A48,'Données projet'!$A$61:$I$81,3,0))</f>
        <v>3</v>
      </c>
      <c r="AQ48" s="15">
        <f>IF(ISNA(VLOOKUP(A48,'Données projet'!$A$61:$I$81,4,0)),0,VLOOKUP(A48,'Données projet'!$A$61:$I$81,4,0))</f>
        <v>14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107</v>
      </c>
      <c r="BB48" s="12">
        <f>VLOOKUP(A48,'Données projet'!$A$87:$I$107,9,0)</f>
        <v>5.6</v>
      </c>
      <c r="BC48" s="12">
        <f t="array" ref="BC48">INDEX(BB:BB,MIN(IF(ISNUMBER(BB48:BB244),ROW(BB48:BB244),"")))</f>
        <v>5.6</v>
      </c>
      <c r="BD48" s="12">
        <f>IF('Données projet'!$A$88&gt;35,BD47+BC48-BL47,IF(A48&lt;'Données projet'!$A$88,$BA$205^A48,IF(A48='Données projet'!$A$88,'Données projet'!$B$88,BD47+BC48-BL47)))</f>
        <v>107</v>
      </c>
      <c r="BE48" s="13">
        <f>BD48*VLOOKUP('Données projet'!$B$11,Paramètres!$A$1:$I$89,3,0)*VLOOKUP('Données projet'!$B$11,Paramètres!$A$1:$I$89,5,0)</f>
        <v>96.813599999999994</v>
      </c>
      <c r="BF48" s="13">
        <f t="shared" si="37"/>
        <v>26.201456938925336</v>
      </c>
      <c r="BG48" s="20">
        <f t="shared" si="7"/>
        <v>214.25122416862826</v>
      </c>
      <c r="BH48" s="59">
        <f t="shared" si="8"/>
        <v>507.58455750196157</v>
      </c>
      <c r="BI48" s="59">
        <f ca="1">AVERAGE(OFFSET($BH$3,0,0,'Données projet'!$E$11+1,1))-AVERAGE(OFFSET($H$3,0,0,'Données projet'!$E$11+1,1))</f>
        <v>242.89078317348179</v>
      </c>
      <c r="BJ48" s="59">
        <f t="shared" si="38"/>
        <v>123.46226548411437</v>
      </c>
      <c r="BK48" s="15">
        <f>IF(ISNA(VLOOKUP(A48,'Données projet'!$A$87:$I$107,3,0)),0,VLOOKUP(A48,'Données projet'!$A$87:$I$107,3,0))</f>
        <v>3</v>
      </c>
      <c r="BL48" s="15">
        <f>IF(ISNA(VLOOKUP(A48,'Données projet'!$A$87:$I$107,4,0)),0,VLOOKUP(A48,'Données projet'!$A$87:$I$107,4,0))</f>
        <v>14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228</v>
      </c>
      <c r="L49" s="12">
        <f>VLOOKUP(A49,'Données projet'!$A$35:$I$55,9,0)</f>
        <v>8.0083333333333311</v>
      </c>
      <c r="M49" s="12">
        <f t="array" ref="M49">INDEX(L:L,MIN(IF(ISNUMBER(L49:L245),ROW(L49:L245),"")))</f>
        <v>8.0083333333333311</v>
      </c>
      <c r="N49" s="13">
        <f>IF('Données projet'!$A$36&gt;35,N48+M49-V48,IF(A49&lt;'Données projet'!$A$36,$K$205^A49,IF(A49='Données projet'!$A$36,'Données projet'!$B$36,N48+M49-V48)))</f>
        <v>228</v>
      </c>
      <c r="O49" s="13">
        <f>N49*VLOOKUP('Données projet'!$B$9,Paramètres!$A$1:$I$89,3,0)*VLOOKUP('Données projet'!$B$9,Paramètres!$A$1:$I$89,5,0)</f>
        <v>136.34400000000002</v>
      </c>
      <c r="P49" s="13">
        <f t="shared" si="33"/>
        <v>35.458181756405082</v>
      </c>
      <c r="Q49" s="20">
        <f t="shared" si="53"/>
        <v>299.2221332257389</v>
      </c>
      <c r="R49" s="59">
        <f t="shared" si="0"/>
        <v>592.55546655907222</v>
      </c>
      <c r="S49" s="59">
        <f ca="1">AVERAGE(OFFSET($R$3,0,0,'Données projet'!$E$9+1,1))-AVERAGE(OFFSET($H$3,0,0,'Données projet'!$E$9+1,1))</f>
        <v>194.59898508144084</v>
      </c>
      <c r="T49" s="59">
        <f t="shared" si="34"/>
        <v>237.00037875392565</v>
      </c>
      <c r="U49" s="15">
        <f>IF(ISNA(VLOOKUP(A49,'Données projet'!$A$35:$I$55,3,0)),0,VLOOKUP(A49,'Données projet'!$A$35:$I$55,3,0))</f>
        <v>4</v>
      </c>
      <c r="V49" s="15">
        <f>IF(ISNA(VLOOKUP(A49,'Données projet'!$A$35:$I$55,4,0)),0,VLOOKUP(A49,'Données projet'!$A$35:$I$55,4,0))</f>
        <v>53.8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5.5847109293982239E-3</v>
      </c>
      <c r="AC49" s="22">
        <f t="shared" si="3"/>
        <v>5.5847109293982239E-3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5.6</v>
      </c>
      <c r="AI49" s="13">
        <f>IF('Données projet'!$A$62&gt;35,AI48+AH49-AQ48,IF(A49&lt;'Données projet'!$A$62,$AF$205^A49,IF(A49='Données projet'!$A$62,'Données projet'!$B$62,AI48+AH49-AQ48)))</f>
        <v>98.6</v>
      </c>
      <c r="AJ49" s="13">
        <f>AI49*VLOOKUP('Données projet'!$B$10,Paramètres!$A$1:$I$89,3,0)*VLOOKUP('Données projet'!$B$10,Paramètres!$A$1:$I$89,5,0)</f>
        <v>89.213279999999997</v>
      </c>
      <c r="AK49" s="13">
        <f t="shared" si="35"/>
        <v>24.375390230293569</v>
      </c>
      <c r="AL49" s="20">
        <f t="shared" si="4"/>
        <v>197.8336006510946</v>
      </c>
      <c r="AM49" s="59">
        <f t="shared" si="5"/>
        <v>491.16693398442794</v>
      </c>
      <c r="AN49" s="59">
        <f ca="1">AVERAGE(OFFSET($AM$3,0,0,'Données projet'!$E$10+1,1))-AVERAGE(OFFSET($H$3,0,0,'Données projet'!$E$10+1,1))</f>
        <v>242.89078317348179</v>
      </c>
      <c r="AO49" s="59">
        <f t="shared" si="36"/>
        <v>123.46226548411437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98.6</v>
      </c>
      <c r="BE49" s="13">
        <f>BD49*VLOOKUP('Données projet'!$B$11,Paramètres!$A$1:$I$89,3,0)*VLOOKUP('Données projet'!$B$11,Paramètres!$A$1:$I$89,5,0)</f>
        <v>89.213279999999997</v>
      </c>
      <c r="BF49" s="13">
        <f t="shared" si="37"/>
        <v>24.375390230293569</v>
      </c>
      <c r="BG49" s="20">
        <f t="shared" si="7"/>
        <v>197.8336006510946</v>
      </c>
      <c r="BH49" s="59">
        <f t="shared" si="8"/>
        <v>491.16693398442794</v>
      </c>
      <c r="BI49" s="59">
        <f ca="1">AVERAGE(OFFSET($BH$3,0,0,'Données projet'!$E$11+1,1))-AVERAGE(OFFSET($H$3,0,0,'Données projet'!$E$11+1,1))</f>
        <v>242.89078317348179</v>
      </c>
      <c r="BJ49" s="59">
        <f t="shared" si="38"/>
        <v>123.46226548411437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4.2187500000000018</v>
      </c>
      <c r="N50" s="13">
        <f>IF('Données projet'!$A$36&gt;35,N49+M50-V49,IF(A50&lt;'Données projet'!$A$36,$K$205^A50,IF(A50='Données projet'!$A$36,'Données projet'!$B$36,N49+M50-V49)))</f>
        <v>178.41874999999999</v>
      </c>
      <c r="O50" s="13">
        <f>N50*VLOOKUP('Données projet'!$B$9,Paramètres!$A$1:$I$89,3,0)*VLOOKUP('Données projet'!$B$9,Paramètres!$A$1:$I$89,5,0)</f>
        <v>106.69441250000001</v>
      </c>
      <c r="P50" s="13">
        <f t="shared" si="33"/>
        <v>28.550784769593665</v>
      </c>
      <c r="Q50" s="20">
        <f t="shared" si="53"/>
        <v>235.55205191120899</v>
      </c>
      <c r="R50" s="59">
        <f t="shared" si="0"/>
        <v>528.88538524454225</v>
      </c>
      <c r="S50" s="59">
        <f ca="1">AVERAGE(OFFSET($R$3,0,0,'Données projet'!$E$9+1,1))-AVERAGE(OFFSET($H$3,0,0,'Données projet'!$E$9+1,1))</f>
        <v>194.59898508144084</v>
      </c>
      <c r="T50" s="59">
        <f t="shared" si="34"/>
        <v>237.00037875392565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3.9489869691441103E-3</v>
      </c>
      <c r="AC50" s="22">
        <f t="shared" si="3"/>
        <v>3.9489869691441103E-3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5.6</v>
      </c>
      <c r="AI50" s="13">
        <f>IF('Données projet'!$A$62&gt;35,AI49+AH50-AQ49,IF(A50&lt;'Données projet'!$A$62,$AF$205^A50,IF(A50='Données projet'!$A$62,'Données projet'!$B$62,AI49+AH50-AQ49)))</f>
        <v>104.19999999999999</v>
      </c>
      <c r="AJ50" s="13">
        <f>AI50*VLOOKUP('Données projet'!$B$10,Paramètres!$A$1:$I$89,3,0)*VLOOKUP('Données projet'!$B$10,Paramètres!$A$1:$I$89,5,0)</f>
        <v>94.280159999999981</v>
      </c>
      <c r="AK50" s="13">
        <f t="shared" si="35"/>
        <v>25.594688689992932</v>
      </c>
      <c r="AL50" s="20">
        <f t="shared" si="4"/>
        <v>208.78202813507099</v>
      </c>
      <c r="AM50" s="59">
        <f t="shared" si="5"/>
        <v>502.11536146840433</v>
      </c>
      <c r="AN50" s="59">
        <f ca="1">AVERAGE(OFFSET($AM$3,0,0,'Données projet'!$E$10+1,1))-AVERAGE(OFFSET($H$3,0,0,'Données projet'!$E$10+1,1))</f>
        <v>242.89078317348179</v>
      </c>
      <c r="AO50" s="59">
        <f t="shared" si="36"/>
        <v>123.46226548411437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104.19999999999999</v>
      </c>
      <c r="BE50" s="13">
        <f>BD50*VLOOKUP('Données projet'!$B$11,Paramètres!$A$1:$I$89,3,0)*VLOOKUP('Données projet'!$B$11,Paramètres!$A$1:$I$89,5,0)</f>
        <v>94.280159999999981</v>
      </c>
      <c r="BF50" s="13">
        <f t="shared" si="37"/>
        <v>25.594688689992932</v>
      </c>
      <c r="BG50" s="20">
        <f t="shared" si="7"/>
        <v>208.78202813507099</v>
      </c>
      <c r="BH50" s="59">
        <f t="shared" si="8"/>
        <v>502.11536146840433</v>
      </c>
      <c r="BI50" s="59">
        <f ca="1">AVERAGE(OFFSET($BH$3,0,0,'Données projet'!$E$11+1,1))-AVERAGE(OFFSET($H$3,0,0,'Données projet'!$E$11+1,1))</f>
        <v>242.89078317348179</v>
      </c>
      <c r="BJ50" s="59">
        <f t="shared" si="38"/>
        <v>123.46226548411437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4.2187500000000018</v>
      </c>
      <c r="N51" s="13">
        <f>IF('Données projet'!$A$36&gt;35,N50+M51-V50,IF(A51&lt;'Données projet'!$A$36,$K$205^A51,IF(A51='Données projet'!$A$36,'Données projet'!$B$36,N50+M51-V50)))</f>
        <v>182.63749999999999</v>
      </c>
      <c r="O51" s="13">
        <f>N51*VLOOKUP('Données projet'!$B$9,Paramètres!$A$1:$I$89,3,0)*VLOOKUP('Données projet'!$B$9,Paramètres!$A$1:$I$89,5,0)</f>
        <v>109.217225</v>
      </c>
      <c r="P51" s="13">
        <f t="shared" si="33"/>
        <v>29.146480091604204</v>
      </c>
      <c r="Q51" s="20">
        <f t="shared" si="53"/>
        <v>240.983453034544</v>
      </c>
      <c r="R51" s="59">
        <f t="shared" si="0"/>
        <v>534.31678636787728</v>
      </c>
      <c r="S51" s="59">
        <f ca="1">AVERAGE(OFFSET($R$3,0,0,'Données projet'!$E$9+1,1))-AVERAGE(OFFSET($H$3,0,0,'Données projet'!$E$9+1,1))</f>
        <v>194.59898508144084</v>
      </c>
      <c r="T51" s="59">
        <f t="shared" si="34"/>
        <v>237.00037875392565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2.7923554646991119E-3</v>
      </c>
      <c r="AC51" s="22">
        <f t="shared" si="3"/>
        <v>2.7923554646991119E-3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5.6</v>
      </c>
      <c r="AI51" s="13">
        <f>IF('Données projet'!$A$62&gt;35,AI50+AH51-AQ50,IF(A51&lt;'Données projet'!$A$62,$AF$205^A51,IF(A51='Données projet'!$A$62,'Données projet'!$B$62,AI50+AH51-AQ50)))</f>
        <v>109.79999999999998</v>
      </c>
      <c r="AJ51" s="13">
        <f>AI51*VLOOKUP('Données projet'!$B$10,Paramètres!$A$1:$I$89,3,0)*VLOOKUP('Données projet'!$B$10,Paramètres!$A$1:$I$89,5,0)</f>
        <v>99.347039999999978</v>
      </c>
      <c r="AK51" s="13">
        <f t="shared" si="35"/>
        <v>26.806379572460035</v>
      </c>
      <c r="AL51" s="20">
        <f t="shared" si="4"/>
        <v>219.71720575536781</v>
      </c>
      <c r="AM51" s="59">
        <f t="shared" si="5"/>
        <v>513.05053908870116</v>
      </c>
      <c r="AN51" s="59">
        <f ca="1">AVERAGE(OFFSET($AM$3,0,0,'Données projet'!$E$10+1,1))-AVERAGE(OFFSET($H$3,0,0,'Données projet'!$E$10+1,1))</f>
        <v>242.89078317348179</v>
      </c>
      <c r="AO51" s="59">
        <f t="shared" si="36"/>
        <v>123.46226548411437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109.79999999999998</v>
      </c>
      <c r="BE51" s="13">
        <f>BD51*VLOOKUP('Données projet'!$B$11,Paramètres!$A$1:$I$89,3,0)*VLOOKUP('Données projet'!$B$11,Paramètres!$A$1:$I$89,5,0)</f>
        <v>99.347039999999978</v>
      </c>
      <c r="BF51" s="13">
        <f t="shared" si="37"/>
        <v>26.806379572460035</v>
      </c>
      <c r="BG51" s="20">
        <f t="shared" si="7"/>
        <v>219.71720575536781</v>
      </c>
      <c r="BH51" s="59">
        <f t="shared" si="8"/>
        <v>513.05053908870116</v>
      </c>
      <c r="BI51" s="59">
        <f ca="1">AVERAGE(OFFSET($BH$3,0,0,'Données projet'!$E$11+1,1))-AVERAGE(OFFSET($H$3,0,0,'Données projet'!$E$11+1,1))</f>
        <v>242.89078317348179</v>
      </c>
      <c r="BJ51" s="59">
        <f t="shared" si="38"/>
        <v>123.46226548411437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4.2187500000000018</v>
      </c>
      <c r="N52" s="13">
        <f>IF('Données projet'!$A$36&gt;35,N51+M52-V51,IF(A52&lt;'Données projet'!$A$36,$K$205^A52,IF(A52='Données projet'!$A$36,'Données projet'!$B$36,N51+M52-V51)))</f>
        <v>186.85624999999999</v>
      </c>
      <c r="O52" s="13">
        <f>N52*VLOOKUP('Données projet'!$B$9,Paramètres!$A$1:$I$89,3,0)*VLOOKUP('Données projet'!$B$9,Paramètres!$A$1:$I$89,5,0)</f>
        <v>111.7400375</v>
      </c>
      <c r="P52" s="13">
        <f t="shared" si="33"/>
        <v>29.740575752057332</v>
      </c>
      <c r="Q52" s="20">
        <f t="shared" si="53"/>
        <v>246.41206808066656</v>
      </c>
      <c r="R52" s="59">
        <f t="shared" si="0"/>
        <v>539.74540141399984</v>
      </c>
      <c r="S52" s="59">
        <f ca="1">AVERAGE(OFFSET($R$3,0,0,'Données projet'!$E$9+1,1))-AVERAGE(OFFSET($H$3,0,0,'Données projet'!$E$9+1,1))</f>
        <v>194.59898508144084</v>
      </c>
      <c r="T52" s="59">
        <f t="shared" si="34"/>
        <v>237.00037875392565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1.9744934845720551E-3</v>
      </c>
      <c r="AC52" s="22">
        <f t="shared" si="3"/>
        <v>1.9744934845720551E-3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5.6</v>
      </c>
      <c r="AI52" s="13">
        <f>IF('Données projet'!$A$62&gt;35,AI51+AH52-AQ51,IF(A52&lt;'Données projet'!$A$62,$AF$205^A52,IF(A52='Données projet'!$A$62,'Données projet'!$B$62,AI51+AH52-AQ51)))</f>
        <v>115.39999999999998</v>
      </c>
      <c r="AJ52" s="13">
        <f>AI52*VLOOKUP('Données projet'!$B$10,Paramètres!$A$1:$I$89,3,0)*VLOOKUP('Données projet'!$B$10,Paramètres!$A$1:$I$89,5,0)</f>
        <v>104.41391999999999</v>
      </c>
      <c r="AK52" s="13">
        <f t="shared" si="35"/>
        <v>28.010895142032854</v>
      </c>
      <c r="AL52" s="20">
        <f t="shared" si="4"/>
        <v>230.63988637237389</v>
      </c>
      <c r="AM52" s="59">
        <f t="shared" si="5"/>
        <v>523.97321970570715</v>
      </c>
      <c r="AN52" s="59">
        <f ca="1">AVERAGE(OFFSET($AM$3,0,0,'Données projet'!$E$10+1,1))-AVERAGE(OFFSET($H$3,0,0,'Données projet'!$E$10+1,1))</f>
        <v>242.89078317348179</v>
      </c>
      <c r="AO52" s="59">
        <f t="shared" si="36"/>
        <v>123.46226548411437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115.39999999999998</v>
      </c>
      <c r="BE52" s="13">
        <f>BD52*VLOOKUP('Données projet'!$B$11,Paramètres!$A$1:$I$89,3,0)*VLOOKUP('Données projet'!$B$11,Paramètres!$A$1:$I$89,5,0)</f>
        <v>104.41391999999999</v>
      </c>
      <c r="BF52" s="13">
        <f t="shared" si="37"/>
        <v>28.010895142032854</v>
      </c>
      <c r="BG52" s="20">
        <f t="shared" si="7"/>
        <v>230.63988637237389</v>
      </c>
      <c r="BH52" s="59">
        <f t="shared" si="8"/>
        <v>523.97321970570715</v>
      </c>
      <c r="BI52" s="59">
        <f ca="1">AVERAGE(OFFSET($BH$3,0,0,'Données projet'!$E$11+1,1))-AVERAGE(OFFSET($H$3,0,0,'Données projet'!$E$11+1,1))</f>
        <v>242.89078317348179</v>
      </c>
      <c r="BJ52" s="59">
        <f t="shared" si="38"/>
        <v>123.46226548411437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4.2187500000000018</v>
      </c>
      <c r="N53" s="13">
        <f>IF('Données projet'!$A$36&gt;35,N52+M53-V52,IF(A53&lt;'Données projet'!$A$36,$K$205^A53,IF(A53='Données projet'!$A$36,'Données projet'!$B$36,N52+M53-V52)))</f>
        <v>191.07499999999999</v>
      </c>
      <c r="O53" s="13">
        <f>N53*VLOOKUP('Données projet'!$B$9,Paramètres!$A$1:$I$89,3,0)*VLOOKUP('Données projet'!$B$9,Paramètres!$A$1:$I$89,5,0)</f>
        <v>114.26285</v>
      </c>
      <c r="P53" s="13">
        <f t="shared" si="33"/>
        <v>30.333112025263773</v>
      </c>
      <c r="Q53" s="20">
        <f t="shared" si="53"/>
        <v>251.83796719400107</v>
      </c>
      <c r="R53" s="59">
        <f t="shared" si="0"/>
        <v>545.17130052733432</v>
      </c>
      <c r="S53" s="59">
        <f ca="1">AVERAGE(OFFSET($R$3,0,0,'Données projet'!$E$9+1,1))-AVERAGE(OFFSET($H$3,0,0,'Données projet'!$E$9+1,1))</f>
        <v>194.59898508144084</v>
      </c>
      <c r="T53" s="59">
        <f t="shared" si="34"/>
        <v>237.00037875392565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1.396177732349556E-3</v>
      </c>
      <c r="AC53" s="22">
        <f t="shared" si="3"/>
        <v>1.396177732349556E-3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121</v>
      </c>
      <c r="AG53" s="12">
        <f>VLOOKUP(A53,'Données projet'!$A$61:$I$81,9,0)</f>
        <v>5.6</v>
      </c>
      <c r="AH53" s="12">
        <f t="array" ref="AH53">INDEX(AG:AG,MIN(IF(ISNUMBER(AG53:AG249),ROW(AG53:AG249),"")))</f>
        <v>5.6</v>
      </c>
      <c r="AI53" s="13">
        <f>IF('Données projet'!$A$62&gt;35,AI52+AH53-AQ52,IF(A53&lt;'Données projet'!$A$62,$AF$205^A53,IF(A53='Données projet'!$A$62,'Données projet'!$B$62,AI52+AH53-AQ52)))</f>
        <v>120.99999999999997</v>
      </c>
      <c r="AJ53" s="13">
        <f>AI53*VLOOKUP('Données projet'!$B$10,Paramètres!$A$1:$I$89,3,0)*VLOOKUP('Données projet'!$B$10,Paramètres!$A$1:$I$89,5,0)</f>
        <v>109.48079999999997</v>
      </c>
      <c r="AK53" s="13">
        <f t="shared" si="35"/>
        <v>29.208623339903898</v>
      </c>
      <c r="AL53" s="20">
        <f t="shared" si="4"/>
        <v>241.55074565033257</v>
      </c>
      <c r="AM53" s="59">
        <f t="shared" si="5"/>
        <v>534.88407898366586</v>
      </c>
      <c r="AN53" s="59">
        <f ca="1">AVERAGE(OFFSET($AM$3,0,0,'Données projet'!$E$10+1,1))-AVERAGE(OFFSET($H$3,0,0,'Données projet'!$E$10+1,1))</f>
        <v>242.89078317348179</v>
      </c>
      <c r="AO53" s="59">
        <f t="shared" si="36"/>
        <v>123.46226548411437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14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121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120.99999999999997</v>
      </c>
      <c r="BE53" s="13">
        <f>BD53*VLOOKUP('Données projet'!$B$11,Paramètres!$A$1:$I$89,3,0)*VLOOKUP('Données projet'!$B$11,Paramètres!$A$1:$I$89,5,0)</f>
        <v>109.48079999999997</v>
      </c>
      <c r="BF53" s="13">
        <f t="shared" si="37"/>
        <v>29.208623339903898</v>
      </c>
      <c r="BG53" s="20">
        <f t="shared" si="7"/>
        <v>241.55074565033257</v>
      </c>
      <c r="BH53" s="59">
        <f t="shared" si="8"/>
        <v>534.88407898366586</v>
      </c>
      <c r="BI53" s="59">
        <f ca="1">AVERAGE(OFFSET($BH$3,0,0,'Données projet'!$E$11+1,1))-AVERAGE(OFFSET($H$3,0,0,'Données projet'!$E$11+1,1))</f>
        <v>242.89078317348179</v>
      </c>
      <c r="BJ53" s="59">
        <f t="shared" si="38"/>
        <v>123.46226548411437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4.2187500000000018</v>
      </c>
      <c r="N54" s="13">
        <f>IF('Données projet'!$A$36&gt;35,N53+M54-V53,IF(A54&lt;'Données projet'!$A$36,$K$205^A54,IF(A54='Données projet'!$A$36,'Données projet'!$B$36,N53+M54-V53)))</f>
        <v>195.29374999999999</v>
      </c>
      <c r="O54" s="13">
        <f>N54*VLOOKUP('Données projet'!$B$9,Paramètres!$A$1:$I$89,3,0)*VLOOKUP('Données projet'!$B$9,Paramètres!$A$1:$I$89,5,0)</f>
        <v>116.78566250000002</v>
      </c>
      <c r="P54" s="13">
        <f t="shared" si="33"/>
        <v>30.924127305551419</v>
      </c>
      <c r="Q54" s="20">
        <f t="shared" si="53"/>
        <v>257.26121724466873</v>
      </c>
      <c r="R54" s="59">
        <f t="shared" si="0"/>
        <v>550.5945505780021</v>
      </c>
      <c r="S54" s="59">
        <f ca="1">AVERAGE(OFFSET($R$3,0,0,'Données projet'!$E$9+1,1))-AVERAGE(OFFSET($H$3,0,0,'Données projet'!$E$9+1,1))</f>
        <v>194.59898508144084</v>
      </c>
      <c r="T54" s="59">
        <f t="shared" si="34"/>
        <v>237.00037875392565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9.8724674228602757E-4</v>
      </c>
      <c r="AC54" s="22">
        <f t="shared" si="3"/>
        <v>9.8724674228602757E-4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112.59999999999997</v>
      </c>
      <c r="AJ54" s="13">
        <f>AI54*VLOOKUP('Données projet'!$B$10,Paramètres!$A$1:$I$89,3,0)*VLOOKUP('Données projet'!$B$10,Paramètres!$A$1:$I$89,5,0)</f>
        <v>101.88047999999996</v>
      </c>
      <c r="AK54" s="13">
        <f t="shared" si="35"/>
        <v>27.409509067425631</v>
      </c>
      <c r="AL54" s="20">
        <f t="shared" si="4"/>
        <v>225.18006429243292</v>
      </c>
      <c r="AM54" s="59">
        <f t="shared" si="5"/>
        <v>518.51339762576617</v>
      </c>
      <c r="AN54" s="59">
        <f ca="1">AVERAGE(OFFSET($AM$3,0,0,'Données projet'!$E$10+1,1))-AVERAGE(OFFSET($H$3,0,0,'Données projet'!$E$10+1,1))</f>
        <v>242.89078317348179</v>
      </c>
      <c r="AO54" s="59">
        <f t="shared" si="36"/>
        <v>123.46226548411437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5.6</v>
      </c>
      <c r="BD54" s="12">
        <f>IF('Données projet'!$A$88&gt;35,BD53+BC54-BL53,IF(A54&lt;'Données projet'!$A$88,$BA$205^A54,IF(A54='Données projet'!$A$88,'Données projet'!$B$88,BD53+BC54-BL53)))</f>
        <v>112.59999999999997</v>
      </c>
      <c r="BE54" s="13">
        <f>BD54*VLOOKUP('Données projet'!$B$11,Paramètres!$A$1:$I$89,3,0)*VLOOKUP('Données projet'!$B$11,Paramètres!$A$1:$I$89,5,0)</f>
        <v>101.88047999999996</v>
      </c>
      <c r="BF54" s="13">
        <f t="shared" si="37"/>
        <v>27.409509067425631</v>
      </c>
      <c r="BG54" s="20">
        <f t="shared" si="7"/>
        <v>225.18006429243292</v>
      </c>
      <c r="BH54" s="59">
        <f t="shared" si="8"/>
        <v>518.51339762576617</v>
      </c>
      <c r="BI54" s="59">
        <f ca="1">AVERAGE(OFFSET($BH$3,0,0,'Données projet'!$E$11+1,1))-AVERAGE(OFFSET($H$3,0,0,'Données projet'!$E$11+1,1))</f>
        <v>242.89078317348179</v>
      </c>
      <c r="BJ54" s="59">
        <f t="shared" si="38"/>
        <v>123.46226548411437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4.2187500000000018</v>
      </c>
      <c r="N55" s="13">
        <f>IF('Données projet'!$A$36&gt;35,N54+M55-V54,IF(A55&lt;'Données projet'!$A$36,$K$205^A55,IF(A55='Données projet'!$A$36,'Données projet'!$B$36,N54+M55-V54)))</f>
        <v>199.51249999999999</v>
      </c>
      <c r="O55" s="13">
        <f>N55*VLOOKUP('Données projet'!$B$9,Paramètres!$A$1:$I$89,3,0)*VLOOKUP('Données projet'!$B$9,Paramètres!$A$1:$I$89,5,0)</f>
        <v>119.308475</v>
      </c>
      <c r="P55" s="13">
        <f t="shared" si="33"/>
        <v>31.513658233707382</v>
      </c>
      <c r="Q55" s="20">
        <f t="shared" si="53"/>
        <v>262.681882048707</v>
      </c>
      <c r="R55" s="59">
        <f t="shared" si="0"/>
        <v>556.01521538204031</v>
      </c>
      <c r="S55" s="59">
        <f ca="1">AVERAGE(OFFSET($R$3,0,0,'Données projet'!$E$9+1,1))-AVERAGE(OFFSET($H$3,0,0,'Données projet'!$E$9+1,1))</f>
        <v>194.59898508144084</v>
      </c>
      <c r="T55" s="59">
        <f t="shared" si="34"/>
        <v>237.00037875392565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6.9808886617477798E-4</v>
      </c>
      <c r="AC55" s="22">
        <f t="shared" si="3"/>
        <v>6.9808886617477798E-4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118.19999999999996</v>
      </c>
      <c r="AJ55" s="13">
        <f>AI55*VLOOKUP('Données projet'!$B$10,Paramètres!$A$1:$I$89,3,0)*VLOOKUP('Données projet'!$B$10,Paramètres!$A$1:$I$89,5,0)</f>
        <v>106.94735999999996</v>
      </c>
      <c r="AK55" s="13">
        <f t="shared" si="35"/>
        <v>28.61058496425451</v>
      </c>
      <c r="AL55" s="20">
        <f t="shared" si="4"/>
        <v>236.09675414607651</v>
      </c>
      <c r="AM55" s="59">
        <f t="shared" si="5"/>
        <v>529.43008747940985</v>
      </c>
      <c r="AN55" s="59">
        <f ca="1">AVERAGE(OFFSET($AM$3,0,0,'Données projet'!$E$10+1,1))-AVERAGE(OFFSET($H$3,0,0,'Données projet'!$E$10+1,1))</f>
        <v>242.89078317348179</v>
      </c>
      <c r="AO55" s="59">
        <f t="shared" si="36"/>
        <v>123.46226548411437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5.6</v>
      </c>
      <c r="BD55" s="12">
        <f>IF('Données projet'!$A$88&gt;35,BD54+BC55-BL54,IF(A55&lt;'Données projet'!$A$88,$BA$205^A55,IF(A55='Données projet'!$A$88,'Données projet'!$B$88,BD54+BC55-BL54)))</f>
        <v>118.19999999999996</v>
      </c>
      <c r="BE55" s="13">
        <f>BD55*VLOOKUP('Données projet'!$B$11,Paramètres!$A$1:$I$89,3,0)*VLOOKUP('Données projet'!$B$11,Paramètres!$A$1:$I$89,5,0)</f>
        <v>106.94735999999996</v>
      </c>
      <c r="BF55" s="13">
        <f t="shared" si="37"/>
        <v>28.61058496425451</v>
      </c>
      <c r="BG55" s="20">
        <f t="shared" si="7"/>
        <v>236.09675414607651</v>
      </c>
      <c r="BH55" s="59">
        <f t="shared" si="8"/>
        <v>529.43008747940985</v>
      </c>
      <c r="BI55" s="59">
        <f ca="1">AVERAGE(OFFSET($BH$3,0,0,'Données projet'!$E$11+1,1))-AVERAGE(OFFSET($H$3,0,0,'Données projet'!$E$11+1,1))</f>
        <v>242.89078317348179</v>
      </c>
      <c r="BJ55" s="59">
        <f t="shared" si="38"/>
        <v>123.46226548411437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4.2187500000000018</v>
      </c>
      <c r="N56" s="13">
        <f>IF('Données projet'!$A$36&gt;35,N55+M56-V55,IF(A56&lt;'Données projet'!$A$36,$K$205^A56,IF(A56='Données projet'!$A$36,'Données projet'!$B$36,N55+M56-V55)))</f>
        <v>203.73124999999999</v>
      </c>
      <c r="O56" s="13">
        <f>N56*VLOOKUP('Données projet'!$B$9,Paramètres!$A$1:$I$89,3,0)*VLOOKUP('Données projet'!$B$9,Paramètres!$A$1:$I$89,5,0)</f>
        <v>121.8312875</v>
      </c>
      <c r="P56" s="13">
        <f t="shared" si="33"/>
        <v>32.101739812423808</v>
      </c>
      <c r="Q56" s="20">
        <f t="shared" si="53"/>
        <v>268.1000225691381</v>
      </c>
      <c r="R56" s="59">
        <f t="shared" si="0"/>
        <v>561.43335590247148</v>
      </c>
      <c r="S56" s="59">
        <f ca="1">AVERAGE(OFFSET($R$3,0,0,'Données projet'!$E$9+1,1))-AVERAGE(OFFSET($H$3,0,0,'Données projet'!$E$9+1,1))</f>
        <v>194.59898508144084</v>
      </c>
      <c r="T56" s="59">
        <f t="shared" si="34"/>
        <v>237.00037875392565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4.9362337114301378E-4</v>
      </c>
      <c r="AC56" s="22">
        <f t="shared" si="3"/>
        <v>4.9362337114301378E-4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123.79999999999995</v>
      </c>
      <c r="AJ56" s="13">
        <f>AI56*VLOOKUP('Données projet'!$B$10,Paramètres!$A$1:$I$89,3,0)*VLOOKUP('Données projet'!$B$10,Paramètres!$A$1:$I$89,5,0)</f>
        <v>112.01423999999996</v>
      </c>
      <c r="AK56" s="13">
        <f t="shared" si="35"/>
        <v>29.805052882814007</v>
      </c>
      <c r="AL56" s="20">
        <f t="shared" si="4"/>
        <v>247.00193510423426</v>
      </c>
      <c r="AM56" s="59">
        <f t="shared" si="5"/>
        <v>540.33526843756761</v>
      </c>
      <c r="AN56" s="59">
        <f ca="1">AVERAGE(OFFSET($AM$3,0,0,'Données projet'!$E$10+1,1))-AVERAGE(OFFSET($H$3,0,0,'Données projet'!$E$10+1,1))</f>
        <v>242.89078317348179</v>
      </c>
      <c r="AO56" s="59">
        <f t="shared" si="36"/>
        <v>123.46226548411437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5.6</v>
      </c>
      <c r="BD56" s="12">
        <f>IF('Données projet'!$A$88&gt;35,BD55+BC56-BL55,IF(A56&lt;'Données projet'!$A$88,$BA$205^A56,IF(A56='Données projet'!$A$88,'Données projet'!$B$88,BD55+BC56-BL55)))</f>
        <v>123.79999999999995</v>
      </c>
      <c r="BE56" s="13">
        <f>BD56*VLOOKUP('Données projet'!$B$11,Paramètres!$A$1:$I$89,3,0)*VLOOKUP('Données projet'!$B$11,Paramètres!$A$1:$I$89,5,0)</f>
        <v>112.01423999999996</v>
      </c>
      <c r="BF56" s="13">
        <f t="shared" si="37"/>
        <v>29.805052882814007</v>
      </c>
      <c r="BG56" s="20">
        <f t="shared" si="7"/>
        <v>247.00193510423426</v>
      </c>
      <c r="BH56" s="59">
        <f t="shared" si="8"/>
        <v>540.33526843756761</v>
      </c>
      <c r="BI56" s="59">
        <f ca="1">AVERAGE(OFFSET($BH$3,0,0,'Données projet'!$E$11+1,1))-AVERAGE(OFFSET($H$3,0,0,'Données projet'!$E$11+1,1))</f>
        <v>242.89078317348179</v>
      </c>
      <c r="BJ56" s="59">
        <f t="shared" si="38"/>
        <v>123.46226548411437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4.2187500000000018</v>
      </c>
      <c r="N57" s="13">
        <f>IF('Données projet'!$A$36&gt;35,N56+M57-V56,IF(A57&lt;'Données projet'!$A$36,$K$205^A57,IF(A57='Données projet'!$A$36,'Données projet'!$B$36,N56+M57-V56)))</f>
        <v>207.95</v>
      </c>
      <c r="O57" s="13">
        <f>N57*VLOOKUP('Données projet'!$B$9,Paramètres!$A$1:$I$89,3,0)*VLOOKUP('Données projet'!$B$9,Paramètres!$A$1:$I$89,5,0)</f>
        <v>124.3541</v>
      </c>
      <c r="P57" s="13">
        <f t="shared" si="33"/>
        <v>32.688405511911483</v>
      </c>
      <c r="Q57" s="20">
        <f t="shared" si="53"/>
        <v>273.51569709991253</v>
      </c>
      <c r="R57" s="59">
        <f t="shared" si="0"/>
        <v>566.84903043324584</v>
      </c>
      <c r="S57" s="59">
        <f ca="1">AVERAGE(OFFSET($R$3,0,0,'Données projet'!$E$9+1,1))-AVERAGE(OFFSET($H$3,0,0,'Données projet'!$E$9+1,1))</f>
        <v>194.59898508144084</v>
      </c>
      <c r="T57" s="59">
        <f t="shared" si="34"/>
        <v>237.00037875392565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3.4904443308738899E-4</v>
      </c>
      <c r="AC57" s="22">
        <f t="shared" si="3"/>
        <v>3.4904443308738899E-4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129.39999999999995</v>
      </c>
      <c r="AJ57" s="13">
        <f>AI57*VLOOKUP('Données projet'!$B$10,Paramètres!$A$1:$I$89,3,0)*VLOOKUP('Données projet'!$B$10,Paramètres!$A$1:$I$89,5,0)</f>
        <v>117.08111999999994</v>
      </c>
      <c r="AK57" s="13">
        <f t="shared" si="35"/>
        <v>30.993245877902066</v>
      </c>
      <c r="AL57" s="20">
        <f t="shared" si="4"/>
        <v>257.896187237346</v>
      </c>
      <c r="AM57" s="59">
        <f t="shared" si="5"/>
        <v>551.22952057067937</v>
      </c>
      <c r="AN57" s="59">
        <f ca="1">AVERAGE(OFFSET($AM$3,0,0,'Données projet'!$E$10+1,1))-AVERAGE(OFFSET($H$3,0,0,'Données projet'!$E$10+1,1))</f>
        <v>242.89078317348179</v>
      </c>
      <c r="AO57" s="59">
        <f t="shared" si="36"/>
        <v>123.46226548411437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5.6</v>
      </c>
      <c r="BD57" s="12">
        <f>IF('Données projet'!$A$88&gt;35,BD56+BC57-BL56,IF(A57&lt;'Données projet'!$A$88,$BA$205^A57,IF(A57='Données projet'!$A$88,'Données projet'!$B$88,BD56+BC57-BL56)))</f>
        <v>129.39999999999995</v>
      </c>
      <c r="BE57" s="13">
        <f>BD57*VLOOKUP('Données projet'!$B$11,Paramètres!$A$1:$I$89,3,0)*VLOOKUP('Données projet'!$B$11,Paramètres!$A$1:$I$89,5,0)</f>
        <v>117.08111999999994</v>
      </c>
      <c r="BF57" s="13">
        <f t="shared" si="37"/>
        <v>30.993245877902066</v>
      </c>
      <c r="BG57" s="20">
        <f t="shared" si="7"/>
        <v>257.896187237346</v>
      </c>
      <c r="BH57" s="59">
        <f t="shared" si="8"/>
        <v>551.22952057067937</v>
      </c>
      <c r="BI57" s="59">
        <f ca="1">AVERAGE(OFFSET($BH$3,0,0,'Données projet'!$E$11+1,1))-AVERAGE(OFFSET($H$3,0,0,'Données projet'!$E$11+1,1))</f>
        <v>242.89078317348179</v>
      </c>
      <c r="BJ57" s="59">
        <f t="shared" si="38"/>
        <v>123.46226548411437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4.2187500000000018</v>
      </c>
      <c r="N58" s="13">
        <f>IF('Données projet'!$A$36&gt;35,N57+M58-V57,IF(A58&lt;'Données projet'!$A$36,$K$205^A58,IF(A58='Données projet'!$A$36,'Données projet'!$B$36,N57+M58-V57)))</f>
        <v>212.16874999999999</v>
      </c>
      <c r="O58" s="13">
        <f>N58*VLOOKUP('Données projet'!$B$9,Paramètres!$A$1:$I$89,3,0)*VLOOKUP('Données projet'!$B$9,Paramètres!$A$1:$I$89,5,0)</f>
        <v>126.8769125</v>
      </c>
      <c r="P58" s="13">
        <f t="shared" si="33"/>
        <v>33.27368736670077</v>
      </c>
      <c r="Q58" s="20">
        <f t="shared" si="53"/>
        <v>278.92896143450378</v>
      </c>
      <c r="R58" s="59">
        <f t="shared" si="0"/>
        <v>572.26229476783715</v>
      </c>
      <c r="S58" s="59">
        <f ca="1">AVERAGE(OFFSET($R$3,0,0,'Données projet'!$E$9+1,1))-AVERAGE(OFFSET($H$3,0,0,'Données projet'!$E$9+1,1))</f>
        <v>194.59898508144084</v>
      </c>
      <c r="T58" s="59">
        <f t="shared" si="34"/>
        <v>237.00037875392565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2.4681168557150689E-4</v>
      </c>
      <c r="AC58" s="22">
        <f t="shared" si="3"/>
        <v>2.4681168557150689E-4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135</v>
      </c>
      <c r="AG58" s="12">
        <f>VLOOKUP(A58,'Données projet'!$A$61:$I$81,9,0)</f>
        <v>5.6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134.99999999999994</v>
      </c>
      <c r="AJ58" s="13">
        <f>AI58*VLOOKUP('Données projet'!$B$10,Paramètres!$A$1:$I$89,3,0)*VLOOKUP('Données projet'!$B$10,Paramètres!$A$1:$I$89,5,0)</f>
        <v>122.14799999999995</v>
      </c>
      <c r="AK58" s="13">
        <f t="shared" si="35"/>
        <v>32.175466547071615</v>
      </c>
      <c r="AL58" s="20">
        <f t="shared" si="4"/>
        <v>268.780037569483</v>
      </c>
      <c r="AM58" s="59">
        <f t="shared" si="5"/>
        <v>562.11337090281631</v>
      </c>
      <c r="AN58" s="59">
        <f ca="1">AVERAGE(OFFSET($AM$3,0,0,'Données projet'!$E$10+1,1))-AVERAGE(OFFSET($H$3,0,0,'Données projet'!$E$10+1,1))</f>
        <v>242.89078317348179</v>
      </c>
      <c r="AO58" s="59">
        <f t="shared" si="36"/>
        <v>123.46226548411437</v>
      </c>
      <c r="AP58" s="15">
        <f>IF(ISNA(VLOOKUP(A58,'Données projet'!$A$61:$I$81,3,0)),0,VLOOKUP(A58,'Données projet'!$A$61:$I$81,3,0))</f>
        <v>5</v>
      </c>
      <c r="AQ58" s="15">
        <f>IF(ISNA(VLOOKUP(A58,'Données projet'!$A$61:$I$81,4,0)),0,VLOOKUP(A58,'Données projet'!$A$61:$I$81,4,0))</f>
        <v>14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135</v>
      </c>
      <c r="BB58" s="12">
        <f>VLOOKUP(A58,'Données projet'!$A$87:$I$107,9,0)</f>
        <v>5.6</v>
      </c>
      <c r="BC58" s="12">
        <f t="array" ref="BC58">INDEX(BB:BB,MIN(IF(ISNUMBER(BB58:BB254),ROW(BB58:BB254),"")))</f>
        <v>5.6</v>
      </c>
      <c r="BD58" s="12">
        <f>IF('Données projet'!$A$88&gt;35,BD57+BC58-BL57,IF(A58&lt;'Données projet'!$A$88,$BA$205^A58,IF(A58='Données projet'!$A$88,'Données projet'!$B$88,BD57+BC58-BL57)))</f>
        <v>134.99999999999994</v>
      </c>
      <c r="BE58" s="13">
        <f>BD58*VLOOKUP('Données projet'!$B$11,Paramètres!$A$1:$I$89,3,0)*VLOOKUP('Données projet'!$B$11,Paramètres!$A$1:$I$89,5,0)</f>
        <v>122.14799999999995</v>
      </c>
      <c r="BF58" s="13">
        <f t="shared" si="37"/>
        <v>32.175466547071615</v>
      </c>
      <c r="BG58" s="20">
        <f t="shared" si="7"/>
        <v>268.780037569483</v>
      </c>
      <c r="BH58" s="59">
        <f t="shared" si="8"/>
        <v>562.11337090281631</v>
      </c>
      <c r="BI58" s="59">
        <f ca="1">AVERAGE(OFFSET($BH$3,0,0,'Données projet'!$E$11+1,1))-AVERAGE(OFFSET($H$3,0,0,'Données projet'!$E$11+1,1))</f>
        <v>242.89078317348179</v>
      </c>
      <c r="BJ58" s="59">
        <f t="shared" si="38"/>
        <v>123.46226548411437</v>
      </c>
      <c r="BK58" s="15">
        <f>IF(ISNA(VLOOKUP(A58,'Données projet'!$A$87:$I$107,3,0)),0,VLOOKUP(A58,'Données projet'!$A$87:$I$107,3,0))</f>
        <v>5</v>
      </c>
      <c r="BL58" s="15">
        <f>IF(ISNA(VLOOKUP(A58,'Données projet'!$A$87:$I$107,4,0)),0,VLOOKUP(A58,'Données projet'!$A$87:$I$107,4,0))</f>
        <v>14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4.2187500000000018</v>
      </c>
      <c r="N59" s="13">
        <f>IF('Données projet'!$A$36&gt;35,N58+M59-V58,IF(A59&lt;'Données projet'!$A$36,$K$205^A59,IF(A59='Données projet'!$A$36,'Données projet'!$B$36,N58+M59-V58)))</f>
        <v>216.38749999999999</v>
      </c>
      <c r="O59" s="13">
        <f>N59*VLOOKUP('Données projet'!$B$9,Paramètres!$A$1:$I$89,3,0)*VLOOKUP('Données projet'!$B$9,Paramètres!$A$1:$I$89,5,0)</f>
        <v>129.39972500000002</v>
      </c>
      <c r="P59" s="13">
        <f t="shared" si="33"/>
        <v>33.857616064525871</v>
      </c>
      <c r="Q59" s="20">
        <f t="shared" si="53"/>
        <v>284.33986902071587</v>
      </c>
      <c r="R59" s="59">
        <f t="shared" si="0"/>
        <v>577.67320235404918</v>
      </c>
      <c r="S59" s="59">
        <f ca="1">AVERAGE(OFFSET($R$3,0,0,'Données projet'!$E$9+1,1))-AVERAGE(OFFSET($H$3,0,0,'Données projet'!$E$9+1,1))</f>
        <v>194.59898508144084</v>
      </c>
      <c r="T59" s="59">
        <f t="shared" si="34"/>
        <v>237.00037875392565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1.745222165436945E-4</v>
      </c>
      <c r="AC59" s="22">
        <f t="shared" si="3"/>
        <v>1.745222165436945E-4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5.4</v>
      </c>
      <c r="AI59" s="13">
        <f>IF('Données projet'!$A$62&gt;35,AI58+AH59-AQ58,IF(A59&lt;'Données projet'!$A$62,$AF$205^A59,IF(A59='Données projet'!$A$62,'Données projet'!$B$62,AI58+AH59-AQ58)))</f>
        <v>126.39999999999995</v>
      </c>
      <c r="AJ59" s="13">
        <f>AI59*VLOOKUP('Données projet'!$B$10,Paramètres!$A$1:$I$89,3,0)*VLOOKUP('Données projet'!$B$10,Paramètres!$A$1:$I$89,5,0)</f>
        <v>114.36671999999996</v>
      </c>
      <c r="AK59" s="13">
        <f t="shared" si="35"/>
        <v>30.357475250812541</v>
      </c>
      <c r="AL59" s="20">
        <f t="shared" si="4"/>
        <v>252.06130672849841</v>
      </c>
      <c r="AM59" s="59">
        <f t="shared" si="5"/>
        <v>545.39464006183175</v>
      </c>
      <c r="AN59" s="59">
        <f ca="1">AVERAGE(OFFSET($AM$3,0,0,'Données projet'!$E$10+1,1))-AVERAGE(OFFSET($H$3,0,0,'Données projet'!$E$10+1,1))</f>
        <v>242.89078317348179</v>
      </c>
      <c r="AO59" s="59">
        <f t="shared" si="36"/>
        <v>123.46226548411437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5.4</v>
      </c>
      <c r="BD59" s="12">
        <f>IF('Données projet'!$A$88&gt;35,BD58+BC59-BL58,IF(A59&lt;'Données projet'!$A$88,$BA$205^A59,IF(A59='Données projet'!$A$88,'Données projet'!$B$88,BD58+BC59-BL58)))</f>
        <v>126.39999999999995</v>
      </c>
      <c r="BE59" s="13">
        <f>BD59*VLOOKUP('Données projet'!$B$11,Paramètres!$A$1:$I$89,3,0)*VLOOKUP('Données projet'!$B$11,Paramètres!$A$1:$I$89,5,0)</f>
        <v>114.36671999999996</v>
      </c>
      <c r="BF59" s="13">
        <f t="shared" si="37"/>
        <v>30.357475250812541</v>
      </c>
      <c r="BG59" s="20">
        <f t="shared" si="7"/>
        <v>252.06130672849841</v>
      </c>
      <c r="BH59" s="59">
        <f t="shared" si="8"/>
        <v>545.39464006183175</v>
      </c>
      <c r="BI59" s="59">
        <f ca="1">AVERAGE(OFFSET($BH$3,0,0,'Données projet'!$E$11+1,1))-AVERAGE(OFFSET($H$3,0,0,'Données projet'!$E$11+1,1))</f>
        <v>242.89078317348179</v>
      </c>
      <c r="BJ59" s="59">
        <f t="shared" si="38"/>
        <v>123.46226548411437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4.2187500000000018</v>
      </c>
      <c r="N60" s="13">
        <f>IF('Données projet'!$A$36&gt;35,N59+M60-V59,IF(A60&lt;'Données projet'!$A$36,$K$205^A60,IF(A60='Données projet'!$A$36,'Données projet'!$B$36,N59+M60-V59)))</f>
        <v>220.60624999999999</v>
      </c>
      <c r="O60" s="13">
        <f>N60*VLOOKUP('Données projet'!$B$9,Paramètres!$A$1:$I$89,3,0)*VLOOKUP('Données projet'!$B$9,Paramètres!$A$1:$I$89,5,0)</f>
        <v>131.9225375</v>
      </c>
      <c r="P60" s="13">
        <f t="shared" si="33"/>
        <v>34.440221028081908</v>
      </c>
      <c r="Q60" s="20">
        <f t="shared" si="53"/>
        <v>289.74847110307604</v>
      </c>
      <c r="R60" s="59">
        <f t="shared" si="0"/>
        <v>583.08180443640936</v>
      </c>
      <c r="S60" s="59">
        <f ca="1">AVERAGE(OFFSET($R$3,0,0,'Données projet'!$E$9+1,1))-AVERAGE(OFFSET($H$3,0,0,'Données projet'!$E$9+1,1))</f>
        <v>194.59898508144084</v>
      </c>
      <c r="T60" s="59">
        <f t="shared" si="34"/>
        <v>237.00037875392565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1.2340584278575345E-4</v>
      </c>
      <c r="AC60" s="22">
        <f t="shared" si="3"/>
        <v>1.2340584278575345E-4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5.4</v>
      </c>
      <c r="AI60" s="13">
        <f>IF('Données projet'!$A$62&gt;35,AI59+AH60-AQ59,IF(A60&lt;'Données projet'!$A$62,$AF$205^A60,IF(A60='Données projet'!$A$62,'Données projet'!$B$62,AI59+AH60-AQ59)))</f>
        <v>131.79999999999995</v>
      </c>
      <c r="AJ60" s="13">
        <f>AI60*VLOOKUP('Données projet'!$B$10,Paramètres!$A$1:$I$89,3,0)*VLOOKUP('Données projet'!$B$10,Paramètres!$A$1:$I$89,5,0)</f>
        <v>119.25263999999996</v>
      </c>
      <c r="AK60" s="13">
        <f t="shared" si="35"/>
        <v>31.500626518374347</v>
      </c>
      <c r="AL60" s="20">
        <f t="shared" si="4"/>
        <v>262.56193918616856</v>
      </c>
      <c r="AM60" s="59">
        <f t="shared" si="5"/>
        <v>555.89527251950187</v>
      </c>
      <c r="AN60" s="59">
        <f ca="1">AVERAGE(OFFSET($AM$3,0,0,'Données projet'!$E$10+1,1))-AVERAGE(OFFSET($H$3,0,0,'Données projet'!$E$10+1,1))</f>
        <v>242.89078317348179</v>
      </c>
      <c r="AO60" s="59">
        <f t="shared" si="36"/>
        <v>123.46226548411437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5.4</v>
      </c>
      <c r="BD60" s="12">
        <f>IF('Données projet'!$A$88&gt;35,BD59+BC60-BL59,IF(A60&lt;'Données projet'!$A$88,$BA$205^A60,IF(A60='Données projet'!$A$88,'Données projet'!$B$88,BD59+BC60-BL59)))</f>
        <v>131.79999999999995</v>
      </c>
      <c r="BE60" s="13">
        <f>BD60*VLOOKUP('Données projet'!$B$11,Paramètres!$A$1:$I$89,3,0)*VLOOKUP('Données projet'!$B$11,Paramètres!$A$1:$I$89,5,0)</f>
        <v>119.25263999999996</v>
      </c>
      <c r="BF60" s="13">
        <f t="shared" si="37"/>
        <v>31.500626518374347</v>
      </c>
      <c r="BG60" s="20">
        <f t="shared" si="7"/>
        <v>262.56193918616856</v>
      </c>
      <c r="BH60" s="59">
        <f t="shared" si="8"/>
        <v>555.89527251950187</v>
      </c>
      <c r="BI60" s="59">
        <f ca="1">AVERAGE(OFFSET($BH$3,0,0,'Données projet'!$E$11+1,1))-AVERAGE(OFFSET($H$3,0,0,'Données projet'!$E$11+1,1))</f>
        <v>242.89078317348179</v>
      </c>
      <c r="BJ60" s="59">
        <f t="shared" si="38"/>
        <v>123.46226548411437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4.2187500000000018</v>
      </c>
      <c r="N61" s="13">
        <f>IF('Données projet'!$A$36&gt;35,N60+M61-V60,IF(A61&lt;'Données projet'!$A$36,$K$205^A61,IF(A61='Données projet'!$A$36,'Données projet'!$B$36,N60+M61-V60)))</f>
        <v>224.82499999999999</v>
      </c>
      <c r="O61" s="13">
        <f>N61*VLOOKUP('Données projet'!$B$9,Paramètres!$A$1:$I$89,3,0)*VLOOKUP('Données projet'!$B$9,Paramètres!$A$1:$I$89,5,0)</f>
        <v>134.44534999999999</v>
      </c>
      <c r="P61" s="13">
        <f t="shared" si="33"/>
        <v>35.021530490350791</v>
      </c>
      <c r="Q61" s="20">
        <f t="shared" si="53"/>
        <v>295.15481685402756</v>
      </c>
      <c r="R61" s="59">
        <f t="shared" si="0"/>
        <v>588.48815018736082</v>
      </c>
      <c r="S61" s="59">
        <f ca="1">AVERAGE(OFFSET($R$3,0,0,'Données projet'!$E$9+1,1))-AVERAGE(OFFSET($H$3,0,0,'Données projet'!$E$9+1,1))</f>
        <v>194.59898508144084</v>
      </c>
      <c r="T61" s="59">
        <f t="shared" si="34"/>
        <v>237.00037875392565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8.7261108271847248E-5</v>
      </c>
      <c r="AC61" s="22">
        <f t="shared" si="3"/>
        <v>8.7261108271847248E-5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5.4</v>
      </c>
      <c r="AI61" s="13">
        <f>IF('Données projet'!$A$62&gt;35,AI60+AH61-AQ60,IF(A61&lt;'Données projet'!$A$62,$AF$205^A61,IF(A61='Données projet'!$A$62,'Données projet'!$B$62,AI60+AH61-AQ60)))</f>
        <v>137.19999999999996</v>
      </c>
      <c r="AJ61" s="13">
        <f>AI61*VLOOKUP('Données projet'!$B$10,Paramètres!$A$1:$I$89,3,0)*VLOOKUP('Données projet'!$B$10,Paramètres!$A$1:$I$89,5,0)</f>
        <v>124.13855999999996</v>
      </c>
      <c r="AK61" s="13">
        <f t="shared" si="35"/>
        <v>32.638337418917978</v>
      </c>
      <c r="AL61" s="20">
        <f t="shared" si="4"/>
        <v>273.05309633794872</v>
      </c>
      <c r="AM61" s="59">
        <f t="shared" si="5"/>
        <v>566.38642967128203</v>
      </c>
      <c r="AN61" s="59">
        <f ca="1">AVERAGE(OFFSET($AM$3,0,0,'Données projet'!$E$10+1,1))-AVERAGE(OFFSET($H$3,0,0,'Données projet'!$E$10+1,1))</f>
        <v>242.89078317348179</v>
      </c>
      <c r="AO61" s="59">
        <f t="shared" si="36"/>
        <v>123.46226548411437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5.4</v>
      </c>
      <c r="BD61" s="12">
        <f>IF('Données projet'!$A$88&gt;35,BD60+BC61-BL60,IF(A61&lt;'Données projet'!$A$88,$BA$205^A61,IF(A61='Données projet'!$A$88,'Données projet'!$B$88,BD60+BC61-BL60)))</f>
        <v>137.19999999999996</v>
      </c>
      <c r="BE61" s="13">
        <f>BD61*VLOOKUP('Données projet'!$B$11,Paramètres!$A$1:$I$89,3,0)*VLOOKUP('Données projet'!$B$11,Paramètres!$A$1:$I$89,5,0)</f>
        <v>124.13855999999996</v>
      </c>
      <c r="BF61" s="13">
        <f t="shared" si="37"/>
        <v>32.638337418917978</v>
      </c>
      <c r="BG61" s="20">
        <f t="shared" si="7"/>
        <v>273.05309633794872</v>
      </c>
      <c r="BH61" s="59">
        <f t="shared" si="8"/>
        <v>566.38642967128203</v>
      </c>
      <c r="BI61" s="59">
        <f ca="1">AVERAGE(OFFSET($BH$3,0,0,'Données projet'!$E$11+1,1))-AVERAGE(OFFSET($H$3,0,0,'Données projet'!$E$11+1,1))</f>
        <v>242.89078317348179</v>
      </c>
      <c r="BJ61" s="59">
        <f t="shared" si="38"/>
        <v>123.46226548411437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4.2187500000000018</v>
      </c>
      <c r="N62" s="13">
        <f>IF('Données projet'!$A$36&gt;35,N61+M62-V61,IF(A62&lt;'Données projet'!$A$36,$K$205^A62,IF(A62='Données projet'!$A$36,'Données projet'!$B$36,N61+M62-V61)))</f>
        <v>229.04374999999999</v>
      </c>
      <c r="O62" s="13">
        <f>N62*VLOOKUP('Données projet'!$B$9,Paramètres!$A$1:$I$89,3,0)*VLOOKUP('Données projet'!$B$9,Paramètres!$A$1:$I$89,5,0)</f>
        <v>136.96816250000001</v>
      </c>
      <c r="P62" s="13">
        <f t="shared" si="33"/>
        <v>35.601571564113776</v>
      </c>
      <c r="Q62" s="20">
        <f t="shared" si="53"/>
        <v>300.55895349499815</v>
      </c>
      <c r="R62" s="59">
        <f t="shared" si="0"/>
        <v>593.89228682833141</v>
      </c>
      <c r="S62" s="59">
        <f ca="1">AVERAGE(OFFSET($R$3,0,0,'Données projet'!$E$9+1,1))-AVERAGE(OFFSET($H$3,0,0,'Données projet'!$E$9+1,1))</f>
        <v>194.59898508144084</v>
      </c>
      <c r="T62" s="59">
        <f t="shared" si="34"/>
        <v>237.00037875392565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6.1702921392876723E-5</v>
      </c>
      <c r="AC62" s="22">
        <f t="shared" si="3"/>
        <v>6.1702921392876723E-5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5.4</v>
      </c>
      <c r="AI62" s="13">
        <f>IF('Données projet'!$A$62&gt;35,AI61+AH62-AQ61,IF(A62&lt;'Données projet'!$A$62,$AF$205^A62,IF(A62='Données projet'!$A$62,'Données projet'!$B$62,AI61+AH62-AQ61)))</f>
        <v>142.59999999999997</v>
      </c>
      <c r="AJ62" s="13">
        <f>AI62*VLOOKUP('Données projet'!$B$10,Paramètres!$A$1:$I$89,3,0)*VLOOKUP('Données projet'!$B$10,Paramètres!$A$1:$I$89,5,0)</f>
        <v>129.02447999999995</v>
      </c>
      <c r="AK62" s="13">
        <f t="shared" si="35"/>
        <v>33.770846580616251</v>
      </c>
      <c r="AL62" s="20">
        <f t="shared" si="4"/>
        <v>283.53519379457322</v>
      </c>
      <c r="AM62" s="59">
        <f t="shared" si="5"/>
        <v>576.86852712790653</v>
      </c>
      <c r="AN62" s="59">
        <f ca="1">AVERAGE(OFFSET($AM$3,0,0,'Données projet'!$E$10+1,1))-AVERAGE(OFFSET($H$3,0,0,'Données projet'!$E$10+1,1))</f>
        <v>242.89078317348179</v>
      </c>
      <c r="AO62" s="59">
        <f t="shared" si="36"/>
        <v>123.46226548411437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5.4</v>
      </c>
      <c r="BD62" s="12">
        <f>IF('Données projet'!$A$88&gt;35,BD61+BC62-BL61,IF(A62&lt;'Données projet'!$A$88,$BA$205^A62,IF(A62='Données projet'!$A$88,'Données projet'!$B$88,BD61+BC62-BL61)))</f>
        <v>142.59999999999997</v>
      </c>
      <c r="BE62" s="13">
        <f>BD62*VLOOKUP('Données projet'!$B$11,Paramètres!$A$1:$I$89,3,0)*VLOOKUP('Données projet'!$B$11,Paramètres!$A$1:$I$89,5,0)</f>
        <v>129.02447999999995</v>
      </c>
      <c r="BF62" s="13">
        <f t="shared" si="37"/>
        <v>33.770846580616251</v>
      </c>
      <c r="BG62" s="20">
        <f t="shared" si="7"/>
        <v>283.53519379457322</v>
      </c>
      <c r="BH62" s="59">
        <f t="shared" si="8"/>
        <v>576.86852712790653</v>
      </c>
      <c r="BI62" s="59">
        <f ca="1">AVERAGE(OFFSET($BH$3,0,0,'Données projet'!$E$11+1,1))-AVERAGE(OFFSET($H$3,0,0,'Données projet'!$E$11+1,1))</f>
        <v>242.89078317348179</v>
      </c>
      <c r="BJ62" s="59">
        <f t="shared" si="38"/>
        <v>123.46226548411437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4.2187500000000018</v>
      </c>
      <c r="N63" s="13">
        <f>IF('Données projet'!$A$36&gt;35,N62+M63-V62,IF(A63&lt;'Données projet'!$A$36,$K$205^A63,IF(A63='Données projet'!$A$36,'Données projet'!$B$36,N62+M63-V62)))</f>
        <v>233.26249999999999</v>
      </c>
      <c r="O63" s="13">
        <f>N63*VLOOKUP('Données projet'!$B$9,Paramètres!$A$1:$I$89,3,0)*VLOOKUP('Données projet'!$B$9,Paramètres!$A$1:$I$89,5,0)</f>
        <v>139.49097499999999</v>
      </c>
      <c r="P63" s="13">
        <f t="shared" si="33"/>
        <v>36.180370306197489</v>
      </c>
      <c r="Q63" s="20">
        <f t="shared" si="53"/>
        <v>305.96092640829397</v>
      </c>
      <c r="R63" s="59">
        <f t="shared" si="0"/>
        <v>599.29425974162723</v>
      </c>
      <c r="S63" s="59">
        <f ca="1">AVERAGE(OFFSET($R$3,0,0,'Données projet'!$E$9+1,1))-AVERAGE(OFFSET($H$3,0,0,'Données projet'!$E$9+1,1))</f>
        <v>194.59898508144084</v>
      </c>
      <c r="T63" s="59">
        <f t="shared" si="34"/>
        <v>237.00037875392565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4.3630554135923624E-5</v>
      </c>
      <c r="AC63" s="22">
        <f t="shared" si="3"/>
        <v>4.3630554135923624E-5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148</v>
      </c>
      <c r="AG63" s="12">
        <f>VLOOKUP(A63,'Données projet'!$A$61:$I$81,9,0)</f>
        <v>5.4</v>
      </c>
      <c r="AH63" s="12">
        <f t="array" ref="AH63">INDEX(AG:AG,MIN(IF(ISNUMBER(AG63:AG259),ROW(AG63:AG259),"")))</f>
        <v>5.4</v>
      </c>
      <c r="AI63" s="13">
        <f>IF('Données projet'!$A$62&gt;35,AI62+AH63-AQ62,IF(A63&lt;'Données projet'!$A$62,$AF$205^A63,IF(A63='Données projet'!$A$62,'Données projet'!$B$62,AI62+AH63-AQ62)))</f>
        <v>147.99999999999997</v>
      </c>
      <c r="AJ63" s="13">
        <f>AI63*VLOOKUP('Données projet'!$B$10,Paramètres!$A$1:$I$89,3,0)*VLOOKUP('Données projet'!$B$10,Paramètres!$A$1:$I$89,5,0)</f>
        <v>133.91039999999995</v>
      </c>
      <c r="AK63" s="13">
        <f t="shared" si="35"/>
        <v>34.898373535125089</v>
      </c>
      <c r="AL63" s="20">
        <f t="shared" si="4"/>
        <v>294.00861390700948</v>
      </c>
      <c r="AM63" s="59">
        <f t="shared" si="5"/>
        <v>587.34194724034273</v>
      </c>
      <c r="AN63" s="59">
        <f ca="1">AVERAGE(OFFSET($AM$3,0,0,'Données projet'!$E$10+1,1))-AVERAGE(OFFSET($H$3,0,0,'Données projet'!$E$10+1,1))</f>
        <v>242.89078317348179</v>
      </c>
      <c r="AO63" s="59">
        <f t="shared" si="36"/>
        <v>123.46226548411437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14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148</v>
      </c>
      <c r="BB63" s="12">
        <f>VLOOKUP(A63,'Données projet'!$A$87:$I$107,9,0)</f>
        <v>5.4</v>
      </c>
      <c r="BC63" s="12">
        <f t="array" ref="BC63">INDEX(BB:BB,MIN(IF(ISNUMBER(BB63:BB259),ROW(BB63:BB259),"")))</f>
        <v>5.4</v>
      </c>
      <c r="BD63" s="12">
        <f>IF('Données projet'!$A$88&gt;35,BD62+BC63-BL62,IF(A63&lt;'Données projet'!$A$88,$BA$205^A63,IF(A63='Données projet'!$A$88,'Données projet'!$B$88,BD62+BC63-BL62)))</f>
        <v>147.99999999999997</v>
      </c>
      <c r="BE63" s="13">
        <f>BD63*VLOOKUP('Données projet'!$B$11,Paramètres!$A$1:$I$89,3,0)*VLOOKUP('Données projet'!$B$11,Paramètres!$A$1:$I$89,5,0)</f>
        <v>133.91039999999995</v>
      </c>
      <c r="BF63" s="13">
        <f t="shared" si="37"/>
        <v>34.898373535125089</v>
      </c>
      <c r="BG63" s="20">
        <f t="shared" si="7"/>
        <v>294.00861390700948</v>
      </c>
      <c r="BH63" s="59">
        <f t="shared" si="8"/>
        <v>587.34194724034273</v>
      </c>
      <c r="BI63" s="59">
        <f ca="1">AVERAGE(OFFSET($BH$3,0,0,'Données projet'!$E$11+1,1))-AVERAGE(OFFSET($H$3,0,0,'Données projet'!$E$11+1,1))</f>
        <v>242.89078317348179</v>
      </c>
      <c r="BJ63" s="59">
        <f t="shared" si="38"/>
        <v>123.46226548411437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4.2187500000000018</v>
      </c>
      <c r="N64" s="13">
        <f>IF('Données projet'!$A$36&gt;35,N63+M64-V63,IF(A64&lt;'Données projet'!$A$36,$K$205^A64,IF(A64='Données projet'!$A$36,'Données projet'!$B$36,N63+M64-V63)))</f>
        <v>237.48124999999999</v>
      </c>
      <c r="O64" s="13">
        <f>N64*VLOOKUP('Données projet'!$B$9,Paramètres!$A$1:$I$89,3,0)*VLOOKUP('Données projet'!$B$9,Paramètres!$A$1:$I$89,5,0)</f>
        <v>142.01378750000001</v>
      </c>
      <c r="P64" s="13">
        <f t="shared" si="33"/>
        <v>36.757951776940814</v>
      </c>
      <c r="Q64" s="20">
        <f t="shared" si="53"/>
        <v>311.36077924067189</v>
      </c>
      <c r="R64" s="59">
        <f t="shared" si="0"/>
        <v>604.6941125740052</v>
      </c>
      <c r="S64" s="59">
        <f ca="1">AVERAGE(OFFSET($R$3,0,0,'Données projet'!$E$9+1,1))-AVERAGE(OFFSET($H$3,0,0,'Données projet'!$E$9+1,1))</f>
        <v>194.59898508144084</v>
      </c>
      <c r="T64" s="59">
        <f t="shared" si="34"/>
        <v>237.00037875392565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3.0851460696438361E-5</v>
      </c>
      <c r="AC64" s="22">
        <f t="shared" si="3"/>
        <v>3.0851460696438361E-5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5.4</v>
      </c>
      <c r="AI64" s="13">
        <f>IF('Données projet'!$A$62&gt;35,AI63+AH64-AQ63,IF(A64&lt;'Données projet'!$A$62,$AF$205^A64,IF(A64='Données projet'!$A$62,'Données projet'!$B$62,AI63+AH64-AQ63)))</f>
        <v>139.39999999999998</v>
      </c>
      <c r="AJ64" s="13">
        <f>AI64*VLOOKUP('Données projet'!$B$10,Paramètres!$A$1:$I$89,3,0)*VLOOKUP('Données projet'!$B$10,Paramètres!$A$1:$I$89,5,0)</f>
        <v>126.12911999999997</v>
      </c>
      <c r="AK64" s="13">
        <f t="shared" si="35"/>
        <v>33.100345121748241</v>
      </c>
      <c r="AL64" s="20">
        <f t="shared" si="4"/>
        <v>277.32465175371141</v>
      </c>
      <c r="AM64" s="59">
        <f t="shared" si="5"/>
        <v>570.65798508704472</v>
      </c>
      <c r="AN64" s="59">
        <f ca="1">AVERAGE(OFFSET($AM$3,0,0,'Données projet'!$E$10+1,1))-AVERAGE(OFFSET($H$3,0,0,'Données projet'!$E$10+1,1))</f>
        <v>242.89078317348179</v>
      </c>
      <c r="AO64" s="59">
        <f t="shared" si="36"/>
        <v>123.46226548411437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5.4</v>
      </c>
      <c r="BD64" s="12">
        <f>IF('Données projet'!$A$88&gt;35,BD63+BC64-BL63,IF(A64&lt;'Données projet'!$A$88,$BA$205^A64,IF(A64='Données projet'!$A$88,'Données projet'!$B$88,BD63+BC64-BL63)))</f>
        <v>139.39999999999998</v>
      </c>
      <c r="BE64" s="13">
        <f>BD64*VLOOKUP('Données projet'!$B$11,Paramètres!$A$1:$I$89,3,0)*VLOOKUP('Données projet'!$B$11,Paramètres!$A$1:$I$89,5,0)</f>
        <v>126.12911999999997</v>
      </c>
      <c r="BF64" s="13">
        <f t="shared" si="37"/>
        <v>33.100345121748241</v>
      </c>
      <c r="BG64" s="20">
        <f t="shared" si="7"/>
        <v>277.32465175371141</v>
      </c>
      <c r="BH64" s="59">
        <f t="shared" si="8"/>
        <v>570.65798508704472</v>
      </c>
      <c r="BI64" s="59">
        <f ca="1">AVERAGE(OFFSET($BH$3,0,0,'Données projet'!$E$11+1,1))-AVERAGE(OFFSET($H$3,0,0,'Données projet'!$E$11+1,1))</f>
        <v>242.89078317348179</v>
      </c>
      <c r="BJ64" s="59">
        <f t="shared" si="38"/>
        <v>123.46226548411437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241.70000000000002</v>
      </c>
      <c r="L65" s="12">
        <f>VLOOKUP(A65,'Données projet'!$A$35:$I$55,9,0)</f>
        <v>4.2187500000000018</v>
      </c>
      <c r="M65" s="12">
        <f t="array" ref="M65">INDEX(L:L,MIN(IF(ISNUMBER(L65:L261),ROW(L65:L261),"")))</f>
        <v>4.2187500000000018</v>
      </c>
      <c r="N65" s="13">
        <f>IF('Données projet'!$A$36&gt;35,N64+M65-V64,IF(A65&lt;'Données projet'!$A$36,$K$205^A65,IF(A65='Données projet'!$A$36,'Données projet'!$B$36,N64+M65-V64)))</f>
        <v>241.7</v>
      </c>
      <c r="O65" s="13">
        <f>N65*VLOOKUP('Données projet'!$B$9,Paramètres!$A$1:$I$89,3,0)*VLOOKUP('Données projet'!$B$9,Paramètres!$A$1:$I$89,5,0)</f>
        <v>144.53660000000002</v>
      </c>
      <c r="P65" s="13">
        <f t="shared" si="33"/>
        <v>37.334340095316499</v>
      </c>
      <c r="Q65" s="20">
        <f t="shared" si="53"/>
        <v>316.75855399934289</v>
      </c>
      <c r="R65" s="59">
        <f t="shared" si="0"/>
        <v>610.09188733267615</v>
      </c>
      <c r="S65" s="59">
        <f ca="1">AVERAGE(OFFSET($R$3,0,0,'Données projet'!$E$9+1,1))-AVERAGE(OFFSET($H$3,0,0,'Données projet'!$E$9+1,1))</f>
        <v>194.59898508144084</v>
      </c>
      <c r="T65" s="59">
        <f t="shared" si="34"/>
        <v>237.00037875392565</v>
      </c>
      <c r="U65" s="15" t="str">
        <f>IF(ISNA(VLOOKUP(A65,'Données projet'!$A$35:$I$55,3,0)),0,VLOOKUP(A65,'Données projet'!$A$35:$I$55,3,0))</f>
        <v>CR</v>
      </c>
      <c r="V65" s="15">
        <f>IF(ISNA(VLOOKUP(A65,'Données projet'!$A$35:$I$55,4,0)),0,VLOOKUP(A65,'Données projet'!$A$35:$I$55,4,0))</f>
        <v>241.7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2.1815277067961812E-5</v>
      </c>
      <c r="AC65" s="22">
        <f t="shared" si="3"/>
        <v>2.1815277067961812E-5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5.4</v>
      </c>
      <c r="AI65" s="13">
        <f>IF('Données projet'!$A$62&gt;35,AI64+AH65-AQ64,IF(A65&lt;'Données projet'!$A$62,$AF$205^A65,IF(A65='Données projet'!$A$62,'Données projet'!$B$62,AI64+AH65-AQ64)))</f>
        <v>144.79999999999998</v>
      </c>
      <c r="AJ65" s="13">
        <f>AI65*VLOOKUP('Données projet'!$B$10,Paramètres!$A$1:$I$89,3,0)*VLOOKUP('Données projet'!$B$10,Paramètres!$A$1:$I$89,5,0)</f>
        <v>131.01503999999997</v>
      </c>
      <c r="AK65" s="13">
        <f t="shared" si="35"/>
        <v>34.230798998779804</v>
      </c>
      <c r="AL65" s="20">
        <f t="shared" si="4"/>
        <v>287.80316958954148</v>
      </c>
      <c r="AM65" s="59">
        <f t="shared" si="5"/>
        <v>581.1365029228748</v>
      </c>
      <c r="AN65" s="59">
        <f ca="1">AVERAGE(OFFSET($AM$3,0,0,'Données projet'!$E$10+1,1))-AVERAGE(OFFSET($H$3,0,0,'Données projet'!$E$10+1,1))</f>
        <v>242.89078317348179</v>
      </c>
      <c r="AO65" s="59">
        <f t="shared" si="36"/>
        <v>123.46226548411437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5.4</v>
      </c>
      <c r="BD65" s="12">
        <f>IF('Données projet'!$A$88&gt;35,BD64+BC65-BL64,IF(A65&lt;'Données projet'!$A$88,$BA$205^A65,IF(A65='Données projet'!$A$88,'Données projet'!$B$88,BD64+BC65-BL64)))</f>
        <v>144.79999999999998</v>
      </c>
      <c r="BE65" s="13">
        <f>BD65*VLOOKUP('Données projet'!$B$11,Paramètres!$A$1:$I$89,3,0)*VLOOKUP('Données projet'!$B$11,Paramètres!$A$1:$I$89,5,0)</f>
        <v>131.01503999999997</v>
      </c>
      <c r="BF65" s="13">
        <f t="shared" si="37"/>
        <v>34.230798998779804</v>
      </c>
      <c r="BG65" s="20">
        <f t="shared" si="7"/>
        <v>287.80316958954148</v>
      </c>
      <c r="BH65" s="59">
        <f t="shared" si="8"/>
        <v>581.1365029228748</v>
      </c>
      <c r="BI65" s="59">
        <f ca="1">AVERAGE(OFFSET($BH$3,0,0,'Données projet'!$E$11+1,1))-AVERAGE(OFFSET($H$3,0,0,'Données projet'!$E$11+1,1))</f>
        <v>242.89078317348179</v>
      </c>
      <c r="BJ65" s="59">
        <f t="shared" si="38"/>
        <v>123.46226548411437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194.59898508144084</v>
      </c>
      <c r="T66" s="59">
        <f t="shared" si="34"/>
        <v>237.00037875392565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1.5425730348219181E-5</v>
      </c>
      <c r="AC66" s="22">
        <f t="shared" si="3"/>
        <v>1.5425730348219181E-5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5.4</v>
      </c>
      <c r="AI66" s="13">
        <f>IF('Données projet'!$A$62&gt;35,AI65+AH66-AQ65,IF(A66&lt;'Données projet'!$A$62,$AF$205^A66,IF(A66='Données projet'!$A$62,'Données projet'!$B$62,AI65+AH66-AQ65)))</f>
        <v>150.19999999999999</v>
      </c>
      <c r="AJ66" s="13">
        <f>AI66*VLOOKUP('Données projet'!$B$10,Paramètres!$A$1:$I$89,3,0)*VLOOKUP('Données projet'!$B$10,Paramètres!$A$1:$I$89,5,0)</f>
        <v>135.90095999999997</v>
      </c>
      <c r="AK66" s="13">
        <f t="shared" si="35"/>
        <v>35.356355142892255</v>
      </c>
      <c r="AL66" s="20">
        <f t="shared" si="4"/>
        <v>298.27315720720395</v>
      </c>
      <c r="AM66" s="59">
        <f t="shared" si="5"/>
        <v>591.60649054053727</v>
      </c>
      <c r="AN66" s="59">
        <f ca="1">AVERAGE(OFFSET($AM$3,0,0,'Données projet'!$E$10+1,1))-AVERAGE(OFFSET($H$3,0,0,'Données projet'!$E$10+1,1))</f>
        <v>242.89078317348179</v>
      </c>
      <c r="AO66" s="59">
        <f t="shared" si="36"/>
        <v>123.46226548411437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5.4</v>
      </c>
      <c r="BD66" s="12">
        <f>IF('Données projet'!$A$88&gt;35,BD65+BC66-BL65,IF(A66&lt;'Données projet'!$A$88,$BA$205^A66,IF(A66='Données projet'!$A$88,'Données projet'!$B$88,BD65+BC66-BL65)))</f>
        <v>150.19999999999999</v>
      </c>
      <c r="BE66" s="13">
        <f>BD66*VLOOKUP('Données projet'!$B$11,Paramètres!$A$1:$I$89,3,0)*VLOOKUP('Données projet'!$B$11,Paramètres!$A$1:$I$89,5,0)</f>
        <v>135.90095999999997</v>
      </c>
      <c r="BF66" s="13">
        <f t="shared" si="37"/>
        <v>35.356355142892255</v>
      </c>
      <c r="BG66" s="20">
        <f t="shared" si="7"/>
        <v>298.27315720720395</v>
      </c>
      <c r="BH66" s="59">
        <f t="shared" si="8"/>
        <v>591.60649054053727</v>
      </c>
      <c r="BI66" s="59">
        <f ca="1">AVERAGE(OFFSET($BH$3,0,0,'Données projet'!$E$11+1,1))-AVERAGE(OFFSET($H$3,0,0,'Données projet'!$E$11+1,1))</f>
        <v>242.89078317348179</v>
      </c>
      <c r="BJ66" s="59">
        <f t="shared" si="38"/>
        <v>123.46226548411437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194.59898508144084</v>
      </c>
      <c r="T67" s="59">
        <f t="shared" si="34"/>
        <v>237.00037875392565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1.0907638533980906E-5</v>
      </c>
      <c r="AC67" s="22">
        <f t="shared" si="3"/>
        <v>1.0907638533980906E-5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5.4</v>
      </c>
      <c r="AI67" s="13">
        <f>IF('Données projet'!$A$62&gt;35,AI66+AH67-AQ66,IF(A67&lt;'Données projet'!$A$62,$AF$205^A67,IF(A67='Données projet'!$A$62,'Données projet'!$B$62,AI66+AH67-AQ66)))</f>
        <v>155.6</v>
      </c>
      <c r="AJ67" s="13">
        <f>AI67*VLOOKUP('Données projet'!$B$10,Paramètres!$A$1:$I$89,3,0)*VLOOKUP('Données projet'!$B$10,Paramètres!$A$1:$I$89,5,0)</f>
        <v>140.78688</v>
      </c>
      <c r="AK67" s="13">
        <f t="shared" si="35"/>
        <v>36.47720980905639</v>
      </c>
      <c r="AL67" s="20">
        <f t="shared" si="4"/>
        <v>308.73495641743983</v>
      </c>
      <c r="AM67" s="59">
        <f t="shared" si="5"/>
        <v>602.06828975077315</v>
      </c>
      <c r="AN67" s="59">
        <f ca="1">AVERAGE(OFFSET($AM$3,0,0,'Données projet'!$E$10+1,1))-AVERAGE(OFFSET($H$3,0,0,'Données projet'!$E$10+1,1))</f>
        <v>242.89078317348179</v>
      </c>
      <c r="AO67" s="59">
        <f t="shared" si="36"/>
        <v>123.46226548411437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5.4</v>
      </c>
      <c r="BD67" s="12">
        <f>IF('Données projet'!$A$88&gt;35,BD66+BC67-BL66,IF(A67&lt;'Données projet'!$A$88,$BA$205^A67,IF(A67='Données projet'!$A$88,'Données projet'!$B$88,BD66+BC67-BL66)))</f>
        <v>155.6</v>
      </c>
      <c r="BE67" s="13">
        <f>BD67*VLOOKUP('Données projet'!$B$11,Paramètres!$A$1:$I$89,3,0)*VLOOKUP('Données projet'!$B$11,Paramètres!$A$1:$I$89,5,0)</f>
        <v>140.78688</v>
      </c>
      <c r="BF67" s="13">
        <f t="shared" si="37"/>
        <v>36.47720980905639</v>
      </c>
      <c r="BG67" s="20">
        <f t="shared" si="7"/>
        <v>308.73495641743983</v>
      </c>
      <c r="BH67" s="59">
        <f t="shared" si="8"/>
        <v>602.06828975077315</v>
      </c>
      <c r="BI67" s="59">
        <f ca="1">AVERAGE(OFFSET($BH$3,0,0,'Données projet'!$E$11+1,1))-AVERAGE(OFFSET($H$3,0,0,'Données projet'!$E$11+1,1))</f>
        <v>242.89078317348179</v>
      </c>
      <c r="BJ67" s="59">
        <f t="shared" si="38"/>
        <v>123.46226548411437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194.59898508144084</v>
      </c>
      <c r="T68" s="59">
        <f t="shared" si="34"/>
        <v>237.00037875392565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7.7128651741095904E-6</v>
      </c>
      <c r="AC68" s="22">
        <f t="shared" ref="AC68:AC131" si="57">SUM(Z68:AB68)</f>
        <v>7.7128651741095904E-6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161</v>
      </c>
      <c r="AG68" s="12">
        <f>VLOOKUP(A68,'Données projet'!$A$61:$I$81,9,0)</f>
        <v>5.4</v>
      </c>
      <c r="AH68" s="12">
        <f t="array" ref="AH68">INDEX(AG:AG,MIN(IF(ISNUMBER(AG68:AG264),ROW(AG68:AG264),"")))</f>
        <v>5.4</v>
      </c>
      <c r="AI68" s="13">
        <f>IF('Données projet'!$A$62&gt;35,AI67+AH68-AQ67,IF(A68&lt;'Données projet'!$A$62,$AF$205^A68,IF(A68='Données projet'!$A$62,'Données projet'!$B$62,AI67+AH68-AQ67)))</f>
        <v>161</v>
      </c>
      <c r="AJ68" s="13">
        <f>AI68*VLOOKUP('Données projet'!$B$10,Paramètres!$A$1:$I$89,3,0)*VLOOKUP('Données projet'!$B$10,Paramètres!$A$1:$I$89,5,0)</f>
        <v>145.6728</v>
      </c>
      <c r="AK68" s="13">
        <f t="shared" si="35"/>
        <v>37.593544857919731</v>
      </c>
      <c r="AL68" s="20">
        <f t="shared" ref="AL68:AL131" si="58">(AJ68+AK68)*0.475*44/12</f>
        <v>319.18888396087686</v>
      </c>
      <c r="AM68" s="59">
        <f t="shared" ref="AM68:AM131" si="59">AL68+(AD68+AE68)*44/12</f>
        <v>612.52221729421012</v>
      </c>
      <c r="AN68" s="59">
        <f ca="1">AVERAGE(OFFSET($AM$3,0,0,'Données projet'!$E$10+1,1))-AVERAGE(OFFSET($H$3,0,0,'Données projet'!$E$10+1,1))</f>
        <v>242.89078317348179</v>
      </c>
      <c r="AO68" s="59">
        <f t="shared" si="36"/>
        <v>123.46226548411437</v>
      </c>
      <c r="AP68" s="15">
        <f>IF(ISNA(VLOOKUP(A68,'Données projet'!$A$61:$I$81,3,0)),0,VLOOKUP(A68,'Données projet'!$A$61:$I$81,3,0))</f>
        <v>7</v>
      </c>
      <c r="AQ68" s="15">
        <f>IF(ISNA(VLOOKUP(A68,'Données projet'!$A$61:$I$81,4,0)),0,VLOOKUP(A68,'Données projet'!$A$61:$I$81,4,0))</f>
        <v>14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161</v>
      </c>
      <c r="BB68" s="12">
        <f>VLOOKUP(A68,'Données projet'!$A$87:$I$107,9,0)</f>
        <v>5.4</v>
      </c>
      <c r="BC68" s="12">
        <f t="array" ref="BC68">INDEX(BB:BB,MIN(IF(ISNUMBER(BB68:BB264),ROW(BB68:BB264),"")))</f>
        <v>5.4</v>
      </c>
      <c r="BD68" s="12">
        <f>IF('Données projet'!$A$88&gt;35,BD67+BC68-BL67,IF(A68&lt;'Données projet'!$A$88,$BA$205^A68,IF(A68='Données projet'!$A$88,'Données projet'!$B$88,BD67+BC68-BL67)))</f>
        <v>161</v>
      </c>
      <c r="BE68" s="13">
        <f>BD68*VLOOKUP('Données projet'!$B$11,Paramètres!$A$1:$I$89,3,0)*VLOOKUP('Données projet'!$B$11,Paramètres!$A$1:$I$89,5,0)</f>
        <v>145.6728</v>
      </c>
      <c r="BF68" s="13">
        <f t="shared" si="37"/>
        <v>37.593544857919731</v>
      </c>
      <c r="BG68" s="20">
        <f t="shared" ref="BG68:BG131" si="61">(BE68+BF68)*0.475*44/12</f>
        <v>319.18888396087686</v>
      </c>
      <c r="BH68" s="59">
        <f t="shared" ref="BH68:BH131" si="62">BG68+(AY68+AZ68)*44/12</f>
        <v>612.52221729421012</v>
      </c>
      <c r="BI68" s="59">
        <f ca="1">AVERAGE(OFFSET($BH$3,0,0,'Données projet'!$E$11+1,1))-AVERAGE(OFFSET($H$3,0,0,'Données projet'!$E$11+1,1))</f>
        <v>242.89078317348179</v>
      </c>
      <c r="BJ68" s="59">
        <f t="shared" si="38"/>
        <v>123.46226548411437</v>
      </c>
      <c r="BK68" s="15">
        <f>IF(ISNA(VLOOKUP(A68,'Données projet'!$A$87:$I$107,3,0)),0,VLOOKUP(A68,'Données projet'!$A$87:$I$107,3,0))</f>
        <v>7</v>
      </c>
      <c r="BL68" s="15">
        <f>IF(ISNA(VLOOKUP(A68,'Données projet'!$A$87:$I$107,4,0)),0,VLOOKUP(A68,'Données projet'!$A$87:$I$107,4,0))</f>
        <v>14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194.59898508144084</v>
      </c>
      <c r="T69" s="59">
        <f t="shared" ref="T69:T132" si="88">$T$3</f>
        <v>237.00037875392565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5.453819266990453E-6</v>
      </c>
      <c r="AC69" s="22">
        <f t="shared" si="57"/>
        <v>5.453819266990453E-6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</v>
      </c>
      <c r="AI69" s="13">
        <f>IF('Données projet'!$A$62&gt;35,AI68+AH69-AQ68,IF(A69&lt;'Données projet'!$A$62,$AF$205^A69,IF(A69='Données projet'!$A$62,'Données projet'!$B$62,AI68+AH69-AQ68)))</f>
        <v>152</v>
      </c>
      <c r="AJ69" s="13">
        <f>AI69*VLOOKUP('Données projet'!$B$10,Paramètres!$A$1:$I$89,3,0)*VLOOKUP('Données projet'!$B$10,Paramètres!$A$1:$I$89,5,0)</f>
        <v>137.52959999999999</v>
      </c>
      <c r="AK69" s="13">
        <f t="shared" ref="AK69:AK132" si="89">EXP(-1.0587+0.8836*LN(AJ69)+0.284)</f>
        <v>35.730486489800548</v>
      </c>
      <c r="AL69" s="20">
        <f t="shared" si="58"/>
        <v>301.76131730306923</v>
      </c>
      <c r="AM69" s="59">
        <f t="shared" si="59"/>
        <v>595.09465063640255</v>
      </c>
      <c r="AN69" s="59">
        <f ca="1">AVERAGE(OFFSET($AM$3,0,0,'Données projet'!$E$10+1,1))-AVERAGE(OFFSET($H$3,0,0,'Données projet'!$E$10+1,1))</f>
        <v>242.89078317348179</v>
      </c>
      <c r="AO69" s="59">
        <f t="shared" ref="AO69:AO132" si="90">$AO$3</f>
        <v>123.46226548411437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152</v>
      </c>
      <c r="BE69" s="13">
        <f>BD69*VLOOKUP('Données projet'!$B$11,Paramètres!$A$1:$I$89,3,0)*VLOOKUP('Données projet'!$B$11,Paramètres!$A$1:$I$89,5,0)</f>
        <v>137.52959999999999</v>
      </c>
      <c r="BF69" s="13">
        <f t="shared" ref="BF69:BF132" si="91">EXP(-1.0587+0.8836*LN(BE69)+0.284)</f>
        <v>35.730486489800548</v>
      </c>
      <c r="BG69" s="20">
        <f t="shared" si="61"/>
        <v>301.76131730306923</v>
      </c>
      <c r="BH69" s="59">
        <f t="shared" si="62"/>
        <v>595.09465063640255</v>
      </c>
      <c r="BI69" s="59">
        <f ca="1">AVERAGE(OFFSET($BH$3,0,0,'Données projet'!$E$11+1,1))-AVERAGE(OFFSET($H$3,0,0,'Données projet'!$E$11+1,1))</f>
        <v>242.89078317348179</v>
      </c>
      <c r="BJ69" s="59">
        <f t="shared" ref="BJ69:BJ132" si="92">$BJ$3</f>
        <v>123.46226548411437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194.59898508144084</v>
      </c>
      <c r="T70" s="59">
        <f t="shared" si="88"/>
        <v>237.00037875392565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3.8564325870547952E-6</v>
      </c>
      <c r="AC70" s="22">
        <f t="shared" si="57"/>
        <v>3.8564325870547952E-6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</v>
      </c>
      <c r="AI70" s="13">
        <f>IF('Données projet'!$A$62&gt;35,AI69+AH70-AQ69,IF(A70&lt;'Données projet'!$A$62,$AF$205^A70,IF(A70='Données projet'!$A$62,'Données projet'!$B$62,AI69+AH70-AQ69)))</f>
        <v>157</v>
      </c>
      <c r="AJ70" s="13">
        <f>AI70*VLOOKUP('Données projet'!$B$10,Paramètres!$A$1:$I$89,3,0)*VLOOKUP('Données projet'!$B$10,Paramètres!$A$1:$I$89,5,0)</f>
        <v>142.05359999999999</v>
      </c>
      <c r="AK70" s="13">
        <f t="shared" si="89"/>
        <v>36.767056963845924</v>
      </c>
      <c r="AL70" s="20">
        <f t="shared" si="58"/>
        <v>311.445977545365</v>
      </c>
      <c r="AM70" s="59">
        <f t="shared" si="59"/>
        <v>604.77931087869831</v>
      </c>
      <c r="AN70" s="59">
        <f ca="1">AVERAGE(OFFSET($AM$3,0,0,'Données projet'!$E$10+1,1))-AVERAGE(OFFSET($H$3,0,0,'Données projet'!$E$10+1,1))</f>
        <v>242.89078317348179</v>
      </c>
      <c r="AO70" s="59">
        <f t="shared" si="90"/>
        <v>123.46226548411437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157</v>
      </c>
      <c r="BE70" s="13">
        <f>BD70*VLOOKUP('Données projet'!$B$11,Paramètres!$A$1:$I$89,3,0)*VLOOKUP('Données projet'!$B$11,Paramètres!$A$1:$I$89,5,0)</f>
        <v>142.05359999999999</v>
      </c>
      <c r="BF70" s="13">
        <f t="shared" si="91"/>
        <v>36.767056963845924</v>
      </c>
      <c r="BG70" s="20">
        <f t="shared" si="61"/>
        <v>311.445977545365</v>
      </c>
      <c r="BH70" s="59">
        <f t="shared" si="62"/>
        <v>604.77931087869831</v>
      </c>
      <c r="BI70" s="59">
        <f ca="1">AVERAGE(OFFSET($BH$3,0,0,'Données projet'!$E$11+1,1))-AVERAGE(OFFSET($H$3,0,0,'Données projet'!$E$11+1,1))</f>
        <v>242.89078317348179</v>
      </c>
      <c r="BJ70" s="59">
        <f t="shared" si="92"/>
        <v>123.46226548411437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194.59898508144084</v>
      </c>
      <c r="T71" s="59">
        <f t="shared" si="88"/>
        <v>237.00037875392565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2.7269096334952265E-6</v>
      </c>
      <c r="AC71" s="22">
        <f t="shared" si="57"/>
        <v>2.7269096334952265E-6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</v>
      </c>
      <c r="AI71" s="13">
        <f>IF('Données projet'!$A$62&gt;35,AI70+AH71-AQ70,IF(A71&lt;'Données projet'!$A$62,$AF$205^A71,IF(A71='Données projet'!$A$62,'Données projet'!$B$62,AI70+AH71-AQ70)))</f>
        <v>162</v>
      </c>
      <c r="AJ71" s="13">
        <f>AI71*VLOOKUP('Données projet'!$B$10,Paramètres!$A$1:$I$89,3,0)*VLOOKUP('Données projet'!$B$10,Paramètres!$A$1:$I$89,5,0)</f>
        <v>146.57759999999999</v>
      </c>
      <c r="AK71" s="13">
        <f t="shared" si="89"/>
        <v>37.799791292871248</v>
      </c>
      <c r="AL71" s="20">
        <f t="shared" si="58"/>
        <v>321.12395650175074</v>
      </c>
      <c r="AM71" s="59">
        <f t="shared" si="59"/>
        <v>614.45728983508411</v>
      </c>
      <c r="AN71" s="59">
        <f ca="1">AVERAGE(OFFSET($AM$3,0,0,'Données projet'!$E$10+1,1))-AVERAGE(OFFSET($H$3,0,0,'Données projet'!$E$10+1,1))</f>
        <v>242.89078317348179</v>
      </c>
      <c r="AO71" s="59">
        <f t="shared" si="90"/>
        <v>123.46226548411437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162</v>
      </c>
      <c r="BE71" s="13">
        <f>BD71*VLOOKUP('Données projet'!$B$11,Paramètres!$A$1:$I$89,3,0)*VLOOKUP('Données projet'!$B$11,Paramètres!$A$1:$I$89,5,0)</f>
        <v>146.57759999999999</v>
      </c>
      <c r="BF71" s="13">
        <f t="shared" si="91"/>
        <v>37.799791292871248</v>
      </c>
      <c r="BG71" s="20">
        <f t="shared" si="61"/>
        <v>321.12395650175074</v>
      </c>
      <c r="BH71" s="59">
        <f t="shared" si="62"/>
        <v>614.45728983508411</v>
      </c>
      <c r="BI71" s="59">
        <f ca="1">AVERAGE(OFFSET($BH$3,0,0,'Données projet'!$E$11+1,1))-AVERAGE(OFFSET($H$3,0,0,'Données projet'!$E$11+1,1))</f>
        <v>242.89078317348179</v>
      </c>
      <c r="BJ71" s="59">
        <f t="shared" si="92"/>
        <v>123.46226548411437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194.59898508144084</v>
      </c>
      <c r="T72" s="59">
        <f t="shared" si="88"/>
        <v>237.00037875392565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1.9282162935273976E-6</v>
      </c>
      <c r="AC72" s="22">
        <f t="shared" si="57"/>
        <v>1.9282162935273976E-6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</v>
      </c>
      <c r="AI72" s="13">
        <f>IF('Données projet'!$A$62&gt;35,AI71+AH72-AQ71,IF(A72&lt;'Données projet'!$A$62,$AF$205^A72,IF(A72='Données projet'!$A$62,'Données projet'!$B$62,AI71+AH72-AQ71)))</f>
        <v>167</v>
      </c>
      <c r="AJ72" s="13">
        <f>AI72*VLOOKUP('Données projet'!$B$10,Paramètres!$A$1:$I$89,3,0)*VLOOKUP('Données projet'!$B$10,Paramètres!$A$1:$I$89,5,0)</f>
        <v>151.10159999999999</v>
      </c>
      <c r="AK72" s="13">
        <f t="shared" si="89"/>
        <v>38.82882146347977</v>
      </c>
      <c r="AL72" s="20">
        <f t="shared" si="58"/>
        <v>330.79548404889391</v>
      </c>
      <c r="AM72" s="59">
        <f t="shared" si="59"/>
        <v>624.12881738222723</v>
      </c>
      <c r="AN72" s="59">
        <f ca="1">AVERAGE(OFFSET($AM$3,0,0,'Données projet'!$E$10+1,1))-AVERAGE(OFFSET($H$3,0,0,'Données projet'!$E$10+1,1))</f>
        <v>242.89078317348179</v>
      </c>
      <c r="AO72" s="59">
        <f t="shared" si="90"/>
        <v>123.46226548411437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167</v>
      </c>
      <c r="BE72" s="13">
        <f>BD72*VLOOKUP('Données projet'!$B$11,Paramètres!$A$1:$I$89,3,0)*VLOOKUP('Données projet'!$B$11,Paramètres!$A$1:$I$89,5,0)</f>
        <v>151.10159999999999</v>
      </c>
      <c r="BF72" s="13">
        <f t="shared" si="91"/>
        <v>38.82882146347977</v>
      </c>
      <c r="BG72" s="20">
        <f t="shared" si="61"/>
        <v>330.79548404889391</v>
      </c>
      <c r="BH72" s="59">
        <f t="shared" si="62"/>
        <v>624.12881738222723</v>
      </c>
      <c r="BI72" s="59">
        <f ca="1">AVERAGE(OFFSET($BH$3,0,0,'Données projet'!$E$11+1,1))-AVERAGE(OFFSET($H$3,0,0,'Données projet'!$E$11+1,1))</f>
        <v>242.89078317348179</v>
      </c>
      <c r="BJ72" s="59">
        <f t="shared" si="92"/>
        <v>123.46226548411437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194.59898508144084</v>
      </c>
      <c r="T73" s="59">
        <f t="shared" si="88"/>
        <v>237.00037875392565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1.3634548167476132E-6</v>
      </c>
      <c r="AC73" s="22">
        <f t="shared" si="57"/>
        <v>1.3634548167476132E-6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172</v>
      </c>
      <c r="AG73" s="12">
        <f>VLOOKUP(A73,'Données projet'!$A$61:$I$81,9,0)</f>
        <v>5</v>
      </c>
      <c r="AH73" s="12">
        <f t="array" ref="AH73">INDEX(AG:AG,MIN(IF(ISNUMBER(AG73:AG269),ROW(AG73:AG269),"")))</f>
        <v>5</v>
      </c>
      <c r="AI73" s="13">
        <f>IF('Données projet'!$A$62&gt;35,AI72+AH73-AQ72,IF(A73&lt;'Données projet'!$A$62,$AF$205^A73,IF(A73='Données projet'!$A$62,'Données projet'!$B$62,AI72+AH73-AQ72)))</f>
        <v>172</v>
      </c>
      <c r="AJ73" s="13">
        <f>AI73*VLOOKUP('Données projet'!$B$10,Paramètres!$A$1:$I$89,3,0)*VLOOKUP('Données projet'!$B$10,Paramètres!$A$1:$I$89,5,0)</f>
        <v>155.62559999999999</v>
      </c>
      <c r="AK73" s="13">
        <f t="shared" si="89"/>
        <v>39.854271109683118</v>
      </c>
      <c r="AL73" s="20">
        <f t="shared" si="58"/>
        <v>340.46077551603139</v>
      </c>
      <c r="AM73" s="59">
        <f t="shared" si="59"/>
        <v>633.79410884936465</v>
      </c>
      <c r="AN73" s="59">
        <f ca="1">AVERAGE(OFFSET($AM$3,0,0,'Données projet'!$E$10+1,1))-AVERAGE(OFFSET($H$3,0,0,'Données projet'!$E$10+1,1))</f>
        <v>242.89078317348179</v>
      </c>
      <c r="AO73" s="59">
        <f t="shared" si="90"/>
        <v>123.46226548411437</v>
      </c>
      <c r="AP73" s="15">
        <f>IF(ISNA(VLOOKUP(A73,'Données projet'!$A$61:$I$81,3,0)),0,VLOOKUP(A73,'Données projet'!$A$61:$I$81,3,0))</f>
        <v>8</v>
      </c>
      <c r="AQ73" s="15">
        <f>IF(ISNA(VLOOKUP(A73,'Données projet'!$A$61:$I$81,4,0)),0,VLOOKUP(A73,'Données projet'!$A$61:$I$81,4,0))</f>
        <v>14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172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172</v>
      </c>
      <c r="BE73" s="13">
        <f>BD73*VLOOKUP('Données projet'!$B$11,Paramètres!$A$1:$I$89,3,0)*VLOOKUP('Données projet'!$B$11,Paramètres!$A$1:$I$89,5,0)</f>
        <v>155.62559999999999</v>
      </c>
      <c r="BF73" s="13">
        <f t="shared" si="91"/>
        <v>39.854271109683118</v>
      </c>
      <c r="BG73" s="20">
        <f t="shared" si="61"/>
        <v>340.46077551603139</v>
      </c>
      <c r="BH73" s="59">
        <f t="shared" si="62"/>
        <v>633.79410884936465</v>
      </c>
      <c r="BI73" s="59">
        <f ca="1">AVERAGE(OFFSET($BH$3,0,0,'Données projet'!$E$11+1,1))-AVERAGE(OFFSET($H$3,0,0,'Données projet'!$E$11+1,1))</f>
        <v>242.89078317348179</v>
      </c>
      <c r="BJ73" s="59">
        <f t="shared" si="92"/>
        <v>123.46226548411437</v>
      </c>
      <c r="BK73" s="15">
        <f>IF(ISNA(VLOOKUP(A73,'Données projet'!$A$87:$I$107,3,0)),0,VLOOKUP(A73,'Données projet'!$A$87:$I$107,3,0))</f>
        <v>8</v>
      </c>
      <c r="BL73" s="15">
        <f>IF(ISNA(VLOOKUP(A73,'Données projet'!$A$87:$I$107,4,0)),0,VLOOKUP(A73,'Données projet'!$A$87:$I$107,4,0))</f>
        <v>14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194.59898508144084</v>
      </c>
      <c r="T74" s="59">
        <f t="shared" si="88"/>
        <v>237.00037875392565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9.641081467636988E-7</v>
      </c>
      <c r="AC74" s="22">
        <f t="shared" si="57"/>
        <v>9.641081467636988E-7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</v>
      </c>
      <c r="AI74" s="13">
        <f>IF('Données projet'!$A$62&gt;35,AI73+AH74-AQ73,IF(A74&lt;'Données projet'!$A$62,$AF$205^A74,IF(A74='Données projet'!$A$62,'Données projet'!$B$62,AI73+AH74-AQ73)))</f>
        <v>163</v>
      </c>
      <c r="AJ74" s="13">
        <f>AI74*VLOOKUP('Données projet'!$B$10,Paramètres!$A$1:$I$89,3,0)*VLOOKUP('Données projet'!$B$10,Paramètres!$A$1:$I$89,5,0)</f>
        <v>147.48239999999998</v>
      </c>
      <c r="AK74" s="13">
        <f t="shared" si="89"/>
        <v>38.005889588171215</v>
      </c>
      <c r="AL74" s="20">
        <f t="shared" si="58"/>
        <v>323.0587710327315</v>
      </c>
      <c r="AM74" s="59">
        <f t="shared" si="59"/>
        <v>616.39210436606481</v>
      </c>
      <c r="AN74" s="59">
        <f ca="1">AVERAGE(OFFSET($AM$3,0,0,'Données projet'!$E$10+1,1))-AVERAGE(OFFSET($H$3,0,0,'Données projet'!$E$10+1,1))</f>
        <v>242.89078317348179</v>
      </c>
      <c r="AO74" s="59">
        <f t="shared" si="90"/>
        <v>123.46226548411437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</v>
      </c>
      <c r="BD74" s="12">
        <f>IF('Données projet'!$A$88&gt;35,BD73+BC74-BL73,IF(A74&lt;'Données projet'!$A$88,$BA$205^A74,IF(A74='Données projet'!$A$88,'Données projet'!$B$88,BD73+BC74-BL73)))</f>
        <v>163</v>
      </c>
      <c r="BE74" s="13">
        <f>BD74*VLOOKUP('Données projet'!$B$11,Paramètres!$A$1:$I$89,3,0)*VLOOKUP('Données projet'!$B$11,Paramètres!$A$1:$I$89,5,0)</f>
        <v>147.48239999999998</v>
      </c>
      <c r="BF74" s="13">
        <f t="shared" si="91"/>
        <v>38.005889588171215</v>
      </c>
      <c r="BG74" s="20">
        <f t="shared" si="61"/>
        <v>323.0587710327315</v>
      </c>
      <c r="BH74" s="59">
        <f t="shared" si="62"/>
        <v>616.39210436606481</v>
      </c>
      <c r="BI74" s="59">
        <f ca="1">AVERAGE(OFFSET($BH$3,0,0,'Données projet'!$E$11+1,1))-AVERAGE(OFFSET($H$3,0,0,'Données projet'!$E$11+1,1))</f>
        <v>242.89078317348179</v>
      </c>
      <c r="BJ74" s="59">
        <f t="shared" si="92"/>
        <v>123.46226548411437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194.59898508144084</v>
      </c>
      <c r="T75" s="59">
        <f t="shared" si="88"/>
        <v>237.00037875392565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6.8172740837380662E-7</v>
      </c>
      <c r="AC75" s="22">
        <f t="shared" si="57"/>
        <v>6.8172740837380662E-7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</v>
      </c>
      <c r="AI75" s="13">
        <f>IF('Données projet'!$A$62&gt;35,AI74+AH75-AQ74,IF(A75&lt;'Données projet'!$A$62,$AF$205^A75,IF(A75='Données projet'!$A$62,'Données projet'!$B$62,AI74+AH75-AQ74)))</f>
        <v>168</v>
      </c>
      <c r="AJ75" s="13">
        <f>AI75*VLOOKUP('Données projet'!$B$10,Paramètres!$A$1:$I$89,3,0)*VLOOKUP('Données projet'!$B$10,Paramètres!$A$1:$I$89,5,0)</f>
        <v>152.00640000000001</v>
      </c>
      <c r="AK75" s="13">
        <f t="shared" si="89"/>
        <v>39.03419401656145</v>
      </c>
      <c r="AL75" s="20">
        <f t="shared" si="58"/>
        <v>332.72903457884451</v>
      </c>
      <c r="AM75" s="59">
        <f t="shared" si="59"/>
        <v>626.06236791217782</v>
      </c>
      <c r="AN75" s="59">
        <f ca="1">AVERAGE(OFFSET($AM$3,0,0,'Données projet'!$E$10+1,1))-AVERAGE(OFFSET($H$3,0,0,'Données projet'!$E$10+1,1))</f>
        <v>242.89078317348179</v>
      </c>
      <c r="AO75" s="59">
        <f t="shared" si="90"/>
        <v>123.46226548411437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</v>
      </c>
      <c r="BD75" s="12">
        <f>IF('Données projet'!$A$88&gt;35,BD74+BC75-BL74,IF(A75&lt;'Données projet'!$A$88,$BA$205^A75,IF(A75='Données projet'!$A$88,'Données projet'!$B$88,BD74+BC75-BL74)))</f>
        <v>168</v>
      </c>
      <c r="BE75" s="13">
        <f>BD75*VLOOKUP('Données projet'!$B$11,Paramètres!$A$1:$I$89,3,0)*VLOOKUP('Données projet'!$B$11,Paramètres!$A$1:$I$89,5,0)</f>
        <v>152.00640000000001</v>
      </c>
      <c r="BF75" s="13">
        <f t="shared" si="91"/>
        <v>39.03419401656145</v>
      </c>
      <c r="BG75" s="20">
        <f t="shared" si="61"/>
        <v>332.72903457884451</v>
      </c>
      <c r="BH75" s="59">
        <f t="shared" si="62"/>
        <v>626.06236791217782</v>
      </c>
      <c r="BI75" s="59">
        <f ca="1">AVERAGE(OFFSET($BH$3,0,0,'Données projet'!$E$11+1,1))-AVERAGE(OFFSET($H$3,0,0,'Données projet'!$E$11+1,1))</f>
        <v>242.89078317348179</v>
      </c>
      <c r="BJ75" s="59">
        <f t="shared" si="92"/>
        <v>123.46226548411437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194.59898508144084</v>
      </c>
      <c r="T76" s="59">
        <f t="shared" si="88"/>
        <v>237.00037875392565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4.820540733818494E-7</v>
      </c>
      <c r="AC76" s="22">
        <f t="shared" si="57"/>
        <v>4.820540733818494E-7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</v>
      </c>
      <c r="AI76" s="13">
        <f>IF('Données projet'!$A$62&gt;35,AI75+AH76-AQ75,IF(A76&lt;'Données projet'!$A$62,$AF$205^A76,IF(A76='Données projet'!$A$62,'Données projet'!$B$62,AI75+AH76-AQ75)))</f>
        <v>173</v>
      </c>
      <c r="AJ76" s="13">
        <f>AI76*VLOOKUP('Données projet'!$B$10,Paramètres!$A$1:$I$89,3,0)*VLOOKUP('Données projet'!$B$10,Paramètres!$A$1:$I$89,5,0)</f>
        <v>156.53039999999999</v>
      </c>
      <c r="AK76" s="13">
        <f t="shared" si="89"/>
        <v>40.058941713182037</v>
      </c>
      <c r="AL76" s="20">
        <f t="shared" si="58"/>
        <v>342.393103483792</v>
      </c>
      <c r="AM76" s="59">
        <f t="shared" si="59"/>
        <v>635.72643681712532</v>
      </c>
      <c r="AN76" s="59">
        <f ca="1">AVERAGE(OFFSET($AM$3,0,0,'Données projet'!$E$10+1,1))-AVERAGE(OFFSET($H$3,0,0,'Données projet'!$E$10+1,1))</f>
        <v>242.89078317348179</v>
      </c>
      <c r="AO76" s="59">
        <f t="shared" si="90"/>
        <v>123.46226548411437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</v>
      </c>
      <c r="BD76" s="12">
        <f>IF('Données projet'!$A$88&gt;35,BD75+BC76-BL75,IF(A76&lt;'Données projet'!$A$88,$BA$205^A76,IF(A76='Données projet'!$A$88,'Données projet'!$B$88,BD75+BC76-BL75)))</f>
        <v>173</v>
      </c>
      <c r="BE76" s="13">
        <f>BD76*VLOOKUP('Données projet'!$B$11,Paramètres!$A$1:$I$89,3,0)*VLOOKUP('Données projet'!$B$11,Paramètres!$A$1:$I$89,5,0)</f>
        <v>156.53039999999999</v>
      </c>
      <c r="BF76" s="13">
        <f t="shared" si="91"/>
        <v>40.058941713182037</v>
      </c>
      <c r="BG76" s="20">
        <f t="shared" si="61"/>
        <v>342.393103483792</v>
      </c>
      <c r="BH76" s="59">
        <f t="shared" si="62"/>
        <v>635.72643681712532</v>
      </c>
      <c r="BI76" s="59">
        <f ca="1">AVERAGE(OFFSET($BH$3,0,0,'Données projet'!$E$11+1,1))-AVERAGE(OFFSET($H$3,0,0,'Données projet'!$E$11+1,1))</f>
        <v>242.89078317348179</v>
      </c>
      <c r="BJ76" s="59">
        <f t="shared" si="92"/>
        <v>123.46226548411437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194.59898508144084</v>
      </c>
      <c r="T77" s="59">
        <f t="shared" si="88"/>
        <v>237.00037875392565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3.4086370418690331E-7</v>
      </c>
      <c r="AC77" s="22">
        <f t="shared" si="57"/>
        <v>3.4086370418690331E-7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</v>
      </c>
      <c r="AI77" s="13">
        <f>IF('Données projet'!$A$62&gt;35,AI76+AH77-AQ76,IF(A77&lt;'Données projet'!$A$62,$AF$205^A77,IF(A77='Données projet'!$A$62,'Données projet'!$B$62,AI76+AH77-AQ76)))</f>
        <v>178</v>
      </c>
      <c r="AJ77" s="13">
        <f>AI77*VLOOKUP('Données projet'!$B$10,Paramètres!$A$1:$I$89,3,0)*VLOOKUP('Données projet'!$B$10,Paramètres!$A$1:$I$89,5,0)</f>
        <v>161.05439999999999</v>
      </c>
      <c r="AK77" s="13">
        <f t="shared" si="89"/>
        <v>41.080247278685491</v>
      </c>
      <c r="AL77" s="20">
        <f t="shared" si="58"/>
        <v>352.05117734371055</v>
      </c>
      <c r="AM77" s="59">
        <f t="shared" si="59"/>
        <v>645.38451067704386</v>
      </c>
      <c r="AN77" s="59">
        <f ca="1">AVERAGE(OFFSET($AM$3,0,0,'Données projet'!$E$10+1,1))-AVERAGE(OFFSET($H$3,0,0,'Données projet'!$E$10+1,1))</f>
        <v>242.89078317348179</v>
      </c>
      <c r="AO77" s="59">
        <f t="shared" si="90"/>
        <v>123.46226548411437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</v>
      </c>
      <c r="BD77" s="12">
        <f>IF('Données projet'!$A$88&gt;35,BD76+BC77-BL76,IF(A77&lt;'Données projet'!$A$88,$BA$205^A77,IF(A77='Données projet'!$A$88,'Données projet'!$B$88,BD76+BC77-BL76)))</f>
        <v>178</v>
      </c>
      <c r="BE77" s="13">
        <f>BD77*VLOOKUP('Données projet'!$B$11,Paramètres!$A$1:$I$89,3,0)*VLOOKUP('Données projet'!$B$11,Paramètres!$A$1:$I$89,5,0)</f>
        <v>161.05439999999999</v>
      </c>
      <c r="BF77" s="13">
        <f t="shared" si="91"/>
        <v>41.080247278685491</v>
      </c>
      <c r="BG77" s="20">
        <f t="shared" si="61"/>
        <v>352.05117734371055</v>
      </c>
      <c r="BH77" s="59">
        <f t="shared" si="62"/>
        <v>645.38451067704386</v>
      </c>
      <c r="BI77" s="59">
        <f ca="1">AVERAGE(OFFSET($BH$3,0,0,'Données projet'!$E$11+1,1))-AVERAGE(OFFSET($H$3,0,0,'Données projet'!$E$11+1,1))</f>
        <v>242.89078317348179</v>
      </c>
      <c r="BJ77" s="59">
        <f t="shared" si="92"/>
        <v>123.46226548411437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194.59898508144084</v>
      </c>
      <c r="T78" s="59">
        <f t="shared" si="88"/>
        <v>237.00037875392565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2.410270366909247E-7</v>
      </c>
      <c r="AC78" s="22">
        <f t="shared" si="57"/>
        <v>2.410270366909247E-7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183</v>
      </c>
      <c r="AG78" s="12">
        <f>VLOOKUP(A78,'Données projet'!$A$61:$I$81,9,0)</f>
        <v>5</v>
      </c>
      <c r="AH78" s="12">
        <f t="array" ref="AH78">INDEX(AG:AG,MIN(IF(ISNUMBER(AG78:AG274),ROW(AG78:AG274),"")))</f>
        <v>5</v>
      </c>
      <c r="AI78" s="13">
        <f>IF('Données projet'!$A$62&gt;35,AI77+AH78-AQ77,IF(A78&lt;'Données projet'!$A$62,$AF$205^A78,IF(A78='Données projet'!$A$62,'Données projet'!$B$62,AI77+AH78-AQ77)))</f>
        <v>183</v>
      </c>
      <c r="AJ78" s="13">
        <f>AI78*VLOOKUP('Données projet'!$B$10,Paramètres!$A$1:$I$89,3,0)*VLOOKUP('Données projet'!$B$10,Paramètres!$A$1:$I$89,5,0)</f>
        <v>165.57839999999999</v>
      </c>
      <c r="AK78" s="13">
        <f t="shared" si="89"/>
        <v>42.098218509199697</v>
      </c>
      <c r="AL78" s="20">
        <f t="shared" si="58"/>
        <v>361.70344390352278</v>
      </c>
      <c r="AM78" s="59">
        <f t="shared" si="59"/>
        <v>655.0367772368561</v>
      </c>
      <c r="AN78" s="59">
        <f ca="1">AVERAGE(OFFSET($AM$3,0,0,'Données projet'!$E$10+1,1))-AVERAGE(OFFSET($H$3,0,0,'Données projet'!$E$10+1,1))</f>
        <v>242.89078317348179</v>
      </c>
      <c r="AO78" s="59">
        <f t="shared" si="90"/>
        <v>123.46226548411437</v>
      </c>
      <c r="AP78" s="15">
        <f>IF(ISNA(VLOOKUP(A78,'Données projet'!$A$61:$I$81,3,0)),0,VLOOKUP(A78,'Données projet'!$A$61:$I$81,3,0))</f>
        <v>9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183</v>
      </c>
      <c r="BB78" s="12">
        <f>VLOOKUP(A78,'Données projet'!$A$87:$I$107,9,0)</f>
        <v>5</v>
      </c>
      <c r="BC78" s="12">
        <f t="array" ref="BC78">INDEX(BB:BB,MIN(IF(ISNUMBER(BB78:BB274),ROW(BB78:BB274),"")))</f>
        <v>5</v>
      </c>
      <c r="BD78" s="12">
        <f>IF('Données projet'!$A$88&gt;35,BD77+BC78-BL77,IF(A78&lt;'Données projet'!$A$88,$BA$205^A78,IF(A78='Données projet'!$A$88,'Données projet'!$B$88,BD77+BC78-BL77)))</f>
        <v>183</v>
      </c>
      <c r="BE78" s="13">
        <f>BD78*VLOOKUP('Données projet'!$B$11,Paramètres!$A$1:$I$89,3,0)*VLOOKUP('Données projet'!$B$11,Paramètres!$A$1:$I$89,5,0)</f>
        <v>165.57839999999999</v>
      </c>
      <c r="BF78" s="13">
        <f t="shared" si="91"/>
        <v>42.098218509199697</v>
      </c>
      <c r="BG78" s="20">
        <f t="shared" si="61"/>
        <v>361.70344390352278</v>
      </c>
      <c r="BH78" s="59">
        <f t="shared" si="62"/>
        <v>655.0367772368561</v>
      </c>
      <c r="BI78" s="59">
        <f ca="1">AVERAGE(OFFSET($BH$3,0,0,'Données projet'!$E$11+1,1))-AVERAGE(OFFSET($H$3,0,0,'Données projet'!$E$11+1,1))</f>
        <v>242.89078317348179</v>
      </c>
      <c r="BJ78" s="59">
        <f t="shared" si="92"/>
        <v>123.46226548411437</v>
      </c>
      <c r="BK78" s="15">
        <f>IF(ISNA(VLOOKUP(A78,'Données projet'!$A$87:$I$107,3,0)),0,VLOOKUP(A78,'Données projet'!$A$87:$I$107,3,0))</f>
        <v>9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194.59898508144084</v>
      </c>
      <c r="T79" s="59">
        <f t="shared" si="88"/>
        <v>237.00037875392565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1.7043185209345166E-7</v>
      </c>
      <c r="AC79" s="22">
        <f t="shared" si="57"/>
        <v>1.7043185209345166E-7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4.5999999999999996</v>
      </c>
      <c r="AI79" s="13">
        <f>IF('Données projet'!$A$62&gt;35,AI78+AH79-AQ78,IF(A79&lt;'Données projet'!$A$62,$AF$205^A79,IF(A79='Données projet'!$A$62,'Données projet'!$B$62,AI78+AH79-AQ78)))</f>
        <v>173.6</v>
      </c>
      <c r="AJ79" s="13">
        <f>AI79*VLOOKUP('Données projet'!$B$10,Paramètres!$A$1:$I$89,3,0)*VLOOKUP('Données projet'!$B$10,Paramètres!$A$1:$I$89,5,0)</f>
        <v>157.07327999999998</v>
      </c>
      <c r="AK79" s="13">
        <f t="shared" si="89"/>
        <v>40.181677940049241</v>
      </c>
      <c r="AL79" s="20">
        <f t="shared" si="58"/>
        <v>343.55238507891909</v>
      </c>
      <c r="AM79" s="59">
        <f t="shared" si="59"/>
        <v>636.88571841225234</v>
      </c>
      <c r="AN79" s="59">
        <f ca="1">AVERAGE(OFFSET($AM$3,0,0,'Données projet'!$E$10+1,1))-AVERAGE(OFFSET($H$3,0,0,'Données projet'!$E$10+1,1))</f>
        <v>242.89078317348179</v>
      </c>
      <c r="AO79" s="59">
        <f t="shared" si="90"/>
        <v>123.46226548411437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4.5999999999999996</v>
      </c>
      <c r="BD79" s="12">
        <f>IF('Données projet'!$A$88&gt;35,BD78+BC79-BL78,IF(A79&lt;'Données projet'!$A$88,$BA$205^A79,IF(A79='Données projet'!$A$88,'Données projet'!$B$88,BD78+BC79-BL78)))</f>
        <v>173.6</v>
      </c>
      <c r="BE79" s="13">
        <f>BD79*VLOOKUP('Données projet'!$B$11,Paramètres!$A$1:$I$89,3,0)*VLOOKUP('Données projet'!$B$11,Paramètres!$A$1:$I$89,5,0)</f>
        <v>157.07327999999998</v>
      </c>
      <c r="BF79" s="13">
        <f t="shared" si="91"/>
        <v>40.181677940049241</v>
      </c>
      <c r="BG79" s="20">
        <f t="shared" si="61"/>
        <v>343.55238507891909</v>
      </c>
      <c r="BH79" s="59">
        <f t="shared" si="62"/>
        <v>636.88571841225234</v>
      </c>
      <c r="BI79" s="59">
        <f ca="1">AVERAGE(OFFSET($BH$3,0,0,'Données projet'!$E$11+1,1))-AVERAGE(OFFSET($H$3,0,0,'Données projet'!$E$11+1,1))</f>
        <v>242.89078317348179</v>
      </c>
      <c r="BJ79" s="59">
        <f t="shared" si="92"/>
        <v>123.46226548411437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194.59898508144084</v>
      </c>
      <c r="T80" s="59">
        <f t="shared" si="88"/>
        <v>237.00037875392565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1.2051351834546235E-7</v>
      </c>
      <c r="AC80" s="22">
        <f t="shared" si="57"/>
        <v>1.2051351834546235E-7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4.5999999999999996</v>
      </c>
      <c r="AI80" s="13">
        <f>IF('Données projet'!$A$62&gt;35,AI79+AH80-AQ79,IF(A80&lt;'Données projet'!$A$62,$AF$205^A80,IF(A80='Données projet'!$A$62,'Données projet'!$B$62,AI79+AH80-AQ79)))</f>
        <v>178.2</v>
      </c>
      <c r="AJ80" s="13">
        <f>AI80*VLOOKUP('Données projet'!$B$10,Paramètres!$A$1:$I$89,3,0)*VLOOKUP('Données projet'!$B$10,Paramètres!$A$1:$I$89,5,0)</f>
        <v>161.23535999999999</v>
      </c>
      <c r="AK80" s="13">
        <f t="shared" si="89"/>
        <v>41.121029451505414</v>
      </c>
      <c r="AL80" s="20">
        <f t="shared" si="58"/>
        <v>352.43737829470524</v>
      </c>
      <c r="AM80" s="59">
        <f t="shared" si="59"/>
        <v>645.7707116280385</v>
      </c>
      <c r="AN80" s="59">
        <f ca="1">AVERAGE(OFFSET($AM$3,0,0,'Données projet'!$E$10+1,1))-AVERAGE(OFFSET($H$3,0,0,'Données projet'!$E$10+1,1))</f>
        <v>242.89078317348179</v>
      </c>
      <c r="AO80" s="59">
        <f t="shared" si="90"/>
        <v>123.46226548411437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4.5999999999999996</v>
      </c>
      <c r="BD80" s="12">
        <f>IF('Données projet'!$A$88&gt;35,BD79+BC80-BL79,IF(A80&lt;'Données projet'!$A$88,$BA$205^A80,IF(A80='Données projet'!$A$88,'Données projet'!$B$88,BD79+BC80-BL79)))</f>
        <v>178.2</v>
      </c>
      <c r="BE80" s="13">
        <f>BD80*VLOOKUP('Données projet'!$B$11,Paramètres!$A$1:$I$89,3,0)*VLOOKUP('Données projet'!$B$11,Paramètres!$A$1:$I$89,5,0)</f>
        <v>161.23535999999999</v>
      </c>
      <c r="BF80" s="13">
        <f t="shared" si="91"/>
        <v>41.121029451505414</v>
      </c>
      <c r="BG80" s="20">
        <f t="shared" si="61"/>
        <v>352.43737829470524</v>
      </c>
      <c r="BH80" s="59">
        <f t="shared" si="62"/>
        <v>645.7707116280385</v>
      </c>
      <c r="BI80" s="59">
        <f ca="1">AVERAGE(OFFSET($BH$3,0,0,'Données projet'!$E$11+1,1))-AVERAGE(OFFSET($H$3,0,0,'Données projet'!$E$11+1,1))</f>
        <v>242.89078317348179</v>
      </c>
      <c r="BJ80" s="59">
        <f t="shared" si="92"/>
        <v>123.46226548411437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194.59898508144084</v>
      </c>
      <c r="T81" s="59">
        <f t="shared" si="88"/>
        <v>237.00037875392565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8.5215926046725828E-8</v>
      </c>
      <c r="AC81" s="22">
        <f t="shared" si="57"/>
        <v>8.5215926046725828E-8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4.5999999999999996</v>
      </c>
      <c r="AI81" s="13">
        <f>IF('Données projet'!$A$62&gt;35,AI80+AH81-AQ80,IF(A81&lt;'Données projet'!$A$62,$AF$205^A81,IF(A81='Données projet'!$A$62,'Données projet'!$B$62,AI80+AH81-AQ80)))</f>
        <v>182.79999999999998</v>
      </c>
      <c r="AJ81" s="13">
        <f>AI81*VLOOKUP('Données projet'!$B$10,Paramètres!$A$1:$I$89,3,0)*VLOOKUP('Données projet'!$B$10,Paramètres!$A$1:$I$89,5,0)</f>
        <v>165.39743999999999</v>
      </c>
      <c r="AK81" s="13">
        <f t="shared" si="89"/>
        <v>42.057562385840804</v>
      </c>
      <c r="AL81" s="20">
        <f t="shared" si="58"/>
        <v>361.31746248867267</v>
      </c>
      <c r="AM81" s="59">
        <f t="shared" si="59"/>
        <v>654.65079582200599</v>
      </c>
      <c r="AN81" s="59">
        <f ca="1">AVERAGE(OFFSET($AM$3,0,0,'Données projet'!$E$10+1,1))-AVERAGE(OFFSET($H$3,0,0,'Données projet'!$E$10+1,1))</f>
        <v>242.89078317348179</v>
      </c>
      <c r="AO81" s="59">
        <f t="shared" si="90"/>
        <v>123.46226548411437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4.5999999999999996</v>
      </c>
      <c r="BD81" s="12">
        <f>IF('Données projet'!$A$88&gt;35,BD80+BC81-BL80,IF(A81&lt;'Données projet'!$A$88,$BA$205^A81,IF(A81='Données projet'!$A$88,'Données projet'!$B$88,BD80+BC81-BL80)))</f>
        <v>182.79999999999998</v>
      </c>
      <c r="BE81" s="13">
        <f>BD81*VLOOKUP('Données projet'!$B$11,Paramètres!$A$1:$I$89,3,0)*VLOOKUP('Données projet'!$B$11,Paramètres!$A$1:$I$89,5,0)</f>
        <v>165.39743999999999</v>
      </c>
      <c r="BF81" s="13">
        <f t="shared" si="91"/>
        <v>42.057562385840804</v>
      </c>
      <c r="BG81" s="20">
        <f t="shared" si="61"/>
        <v>361.31746248867267</v>
      </c>
      <c r="BH81" s="59">
        <f t="shared" si="62"/>
        <v>654.65079582200599</v>
      </c>
      <c r="BI81" s="59">
        <f ca="1">AVERAGE(OFFSET($BH$3,0,0,'Données projet'!$E$11+1,1))-AVERAGE(OFFSET($H$3,0,0,'Données projet'!$E$11+1,1))</f>
        <v>242.89078317348179</v>
      </c>
      <c r="BJ81" s="59">
        <f t="shared" si="92"/>
        <v>123.46226548411437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194.59898508144084</v>
      </c>
      <c r="T82" s="59">
        <f t="shared" si="88"/>
        <v>237.00037875392565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6.0256759172731175E-8</v>
      </c>
      <c r="AC82" s="22">
        <f t="shared" si="57"/>
        <v>6.0256759172731175E-8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4.5999999999999996</v>
      </c>
      <c r="AI82" s="13">
        <f>IF('Données projet'!$A$62&gt;35,AI81+AH82-AQ81,IF(A82&lt;'Données projet'!$A$62,$AF$205^A82,IF(A82='Données projet'!$A$62,'Données projet'!$B$62,AI81+AH82-AQ81)))</f>
        <v>187.39999999999998</v>
      </c>
      <c r="AJ82" s="13">
        <f>AI82*VLOOKUP('Données projet'!$B$10,Paramètres!$A$1:$I$89,3,0)*VLOOKUP('Données projet'!$B$10,Paramètres!$A$1:$I$89,5,0)</f>
        <v>169.55951999999996</v>
      </c>
      <c r="AK82" s="13">
        <f t="shared" si="89"/>
        <v>42.991355826984922</v>
      </c>
      <c r="AL82" s="20">
        <f t="shared" si="58"/>
        <v>370.19277539866533</v>
      </c>
      <c r="AM82" s="59">
        <f t="shared" si="59"/>
        <v>663.52610873199865</v>
      </c>
      <c r="AN82" s="59">
        <f ca="1">AVERAGE(OFFSET($AM$3,0,0,'Données projet'!$E$10+1,1))-AVERAGE(OFFSET($H$3,0,0,'Données projet'!$E$10+1,1))</f>
        <v>242.89078317348179</v>
      </c>
      <c r="AO82" s="59">
        <f t="shared" si="90"/>
        <v>123.46226548411437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4.5999999999999996</v>
      </c>
      <c r="BD82" s="12">
        <f>IF('Données projet'!$A$88&gt;35,BD81+BC82-BL81,IF(A82&lt;'Données projet'!$A$88,$BA$205^A82,IF(A82='Données projet'!$A$88,'Données projet'!$B$88,BD81+BC82-BL81)))</f>
        <v>187.39999999999998</v>
      </c>
      <c r="BE82" s="13">
        <f>BD82*VLOOKUP('Données projet'!$B$11,Paramètres!$A$1:$I$89,3,0)*VLOOKUP('Données projet'!$B$11,Paramètres!$A$1:$I$89,5,0)</f>
        <v>169.55951999999996</v>
      </c>
      <c r="BF82" s="13">
        <f t="shared" si="91"/>
        <v>42.991355826984922</v>
      </c>
      <c r="BG82" s="20">
        <f t="shared" si="61"/>
        <v>370.19277539866533</v>
      </c>
      <c r="BH82" s="59">
        <f t="shared" si="62"/>
        <v>663.52610873199865</v>
      </c>
      <c r="BI82" s="59">
        <f ca="1">AVERAGE(OFFSET($BH$3,0,0,'Données projet'!$E$11+1,1))-AVERAGE(OFFSET($H$3,0,0,'Données projet'!$E$11+1,1))</f>
        <v>242.89078317348179</v>
      </c>
      <c r="BJ82" s="59">
        <f t="shared" si="92"/>
        <v>123.46226548411437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194.59898508144084</v>
      </c>
      <c r="T83" s="59">
        <f t="shared" si="88"/>
        <v>237.00037875392565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4.2607963023362914E-8</v>
      </c>
      <c r="AC83" s="22">
        <f t="shared" si="57"/>
        <v>4.2607963023362914E-8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192</v>
      </c>
      <c r="AG83" s="12">
        <f>VLOOKUP(A83,'Données projet'!$A$61:$I$81,9,0)</f>
        <v>4.5999999999999996</v>
      </c>
      <c r="AH83" s="12">
        <f t="array" ref="AH83">INDEX(AG:AG,MIN(IF(ISNUMBER(AG83:AG279),ROW(AG83:AG279),"")))</f>
        <v>4.5999999999999996</v>
      </c>
      <c r="AI83" s="13">
        <f>IF('Données projet'!$A$62&gt;35,AI82+AH83-AQ82,IF(A83&lt;'Données projet'!$A$62,$AF$205^A83,IF(A83='Données projet'!$A$62,'Données projet'!$B$62,AI82+AH83-AQ82)))</f>
        <v>191.99999999999997</v>
      </c>
      <c r="AJ83" s="13">
        <f>AI83*VLOOKUP('Données projet'!$B$10,Paramètres!$A$1:$I$89,3,0)*VLOOKUP('Données projet'!$B$10,Paramètres!$A$1:$I$89,5,0)</f>
        <v>173.72159999999997</v>
      </c>
      <c r="AK83" s="13">
        <f t="shared" si="89"/>
        <v>43.922484755075111</v>
      </c>
      <c r="AL83" s="20">
        <f t="shared" si="58"/>
        <v>379.06344761508905</v>
      </c>
      <c r="AM83" s="59">
        <f t="shared" si="59"/>
        <v>672.39678094842236</v>
      </c>
      <c r="AN83" s="59">
        <f ca="1">AVERAGE(OFFSET($AM$3,0,0,'Données projet'!$E$10+1,1))-AVERAGE(OFFSET($H$3,0,0,'Données projet'!$E$10+1,1))</f>
        <v>242.89078317348179</v>
      </c>
      <c r="AO83" s="59">
        <f t="shared" si="90"/>
        <v>123.46226548411437</v>
      </c>
      <c r="AP83" s="15">
        <f>IF(ISNA(VLOOKUP(A83,'Données projet'!$A$61:$I$81,3,0)),0,VLOOKUP(A83,'Données projet'!$A$61:$I$81,3,0))</f>
        <v>10</v>
      </c>
      <c r="AQ83" s="15">
        <f>IF(ISNA(VLOOKUP(A83,'Données projet'!$A$61:$I$81,4,0)),0,VLOOKUP(A83,'Données projet'!$A$61:$I$81,4,0))</f>
        <v>14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192</v>
      </c>
      <c r="BB83" s="12">
        <f>VLOOKUP(A83,'Données projet'!$A$87:$I$107,9,0)</f>
        <v>4.5999999999999996</v>
      </c>
      <c r="BC83" s="12">
        <f t="array" ref="BC83">INDEX(BB:BB,MIN(IF(ISNUMBER(BB83:BB279),ROW(BB83:BB279),"")))</f>
        <v>4.5999999999999996</v>
      </c>
      <c r="BD83" s="12">
        <f>IF('Données projet'!$A$88&gt;35,BD82+BC83-BL82,IF(A83&lt;'Données projet'!$A$88,$BA$205^A83,IF(A83='Données projet'!$A$88,'Données projet'!$B$88,BD82+BC83-BL82)))</f>
        <v>191.99999999999997</v>
      </c>
      <c r="BE83" s="13">
        <f>BD83*VLOOKUP('Données projet'!$B$11,Paramètres!$A$1:$I$89,3,0)*VLOOKUP('Données projet'!$B$11,Paramètres!$A$1:$I$89,5,0)</f>
        <v>173.72159999999997</v>
      </c>
      <c r="BF83" s="13">
        <f t="shared" si="91"/>
        <v>43.922484755075111</v>
      </c>
      <c r="BG83" s="20">
        <f t="shared" si="61"/>
        <v>379.06344761508905</v>
      </c>
      <c r="BH83" s="59">
        <f t="shared" si="62"/>
        <v>672.39678094842236</v>
      </c>
      <c r="BI83" s="59">
        <f ca="1">AVERAGE(OFFSET($BH$3,0,0,'Données projet'!$E$11+1,1))-AVERAGE(OFFSET($H$3,0,0,'Données projet'!$E$11+1,1))</f>
        <v>242.89078317348179</v>
      </c>
      <c r="BJ83" s="59">
        <f t="shared" si="92"/>
        <v>123.46226548411437</v>
      </c>
      <c r="BK83" s="15">
        <f>IF(ISNA(VLOOKUP(A83,'Données projet'!$A$87:$I$107,3,0)),0,VLOOKUP(A83,'Données projet'!$A$87:$I$107,3,0))</f>
        <v>10</v>
      </c>
      <c r="BL83" s="21">
        <f>IF(ISNA(VLOOKUP(A83,'Données projet'!$A$87:$I$107,4,0)),0,VLOOKUP(A83,'Données projet'!$A$87:$I$107,4,0))</f>
        <v>14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194.59898508144084</v>
      </c>
      <c r="T84" s="59">
        <f t="shared" si="88"/>
        <v>237.00037875392565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3.0128379586365587E-8</v>
      </c>
      <c r="AC84" s="22">
        <f t="shared" si="57"/>
        <v>3.0128379586365587E-8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4.4000000000000004</v>
      </c>
      <c r="AI84" s="13">
        <f>IF('Données projet'!$A$62&gt;35,AI83+AH84-AQ83,IF(A84&lt;'Données projet'!$A$62,$AF$205^A84,IF(A84='Données projet'!$A$62,'Données projet'!$B$62,AI83+AH84-AQ83)))</f>
        <v>182.39999999999998</v>
      </c>
      <c r="AJ84" s="13">
        <f>AI84*VLOOKUP('Données projet'!$B$10,Paramètres!$A$1:$I$89,3,0)*VLOOKUP('Données projet'!$B$10,Paramètres!$A$1:$I$89,5,0)</f>
        <v>165.03551999999996</v>
      </c>
      <c r="AK84" s="13">
        <f t="shared" si="89"/>
        <v>41.976234598846517</v>
      </c>
      <c r="AL84" s="20">
        <f t="shared" si="58"/>
        <v>360.54547259299096</v>
      </c>
      <c r="AM84" s="59">
        <f t="shared" si="59"/>
        <v>653.87880592632428</v>
      </c>
      <c r="AN84" s="59">
        <f ca="1">AVERAGE(OFFSET($AM$3,0,0,'Données projet'!$E$10+1,1))-AVERAGE(OFFSET($H$3,0,0,'Données projet'!$E$10+1,1))</f>
        <v>242.89078317348179</v>
      </c>
      <c r="AO84" s="59">
        <f t="shared" si="90"/>
        <v>123.46226548411437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4.4000000000000004</v>
      </c>
      <c r="BD84" s="12">
        <f>IF('Données projet'!$A$88&gt;35,BD83+BC84-BL83,IF(A84&lt;'Données projet'!$A$88,$BA$205^A84,IF(A84='Données projet'!$A$88,'Données projet'!$B$88,BD83+BC84-BL83)))</f>
        <v>182.39999999999998</v>
      </c>
      <c r="BE84" s="13">
        <f>BD84*VLOOKUP('Données projet'!$B$11,Paramètres!$A$1:$I$89,3,0)*VLOOKUP('Données projet'!$B$11,Paramètres!$A$1:$I$89,5,0)</f>
        <v>165.03551999999996</v>
      </c>
      <c r="BF84" s="13">
        <f t="shared" si="91"/>
        <v>41.976234598846517</v>
      </c>
      <c r="BG84" s="20">
        <f t="shared" si="61"/>
        <v>360.54547259299096</v>
      </c>
      <c r="BH84" s="59">
        <f t="shared" si="62"/>
        <v>653.87880592632428</v>
      </c>
      <c r="BI84" s="59">
        <f ca="1">AVERAGE(OFFSET($BH$3,0,0,'Données projet'!$E$11+1,1))-AVERAGE(OFFSET($H$3,0,0,'Données projet'!$E$11+1,1))</f>
        <v>242.89078317348179</v>
      </c>
      <c r="BJ84" s="59">
        <f t="shared" si="92"/>
        <v>123.46226548411437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194.59898508144084</v>
      </c>
      <c r="T85" s="59">
        <f t="shared" si="88"/>
        <v>237.00037875392565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2.1303981511681457E-8</v>
      </c>
      <c r="AC85" s="22">
        <f t="shared" si="57"/>
        <v>2.1303981511681457E-8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4.4000000000000004</v>
      </c>
      <c r="AI85" s="13">
        <f>IF('Données projet'!$A$62&gt;35,AI84+AH85-AQ84,IF(A85&lt;'Données projet'!$A$62,$AF$205^A85,IF(A85='Données projet'!$A$62,'Données projet'!$B$62,AI84+AH85-AQ84)))</f>
        <v>186.79999999999998</v>
      </c>
      <c r="AJ85" s="13">
        <f>AI85*VLOOKUP('Données projet'!$B$10,Paramètres!$A$1:$I$89,3,0)*VLOOKUP('Données projet'!$B$10,Paramètres!$A$1:$I$89,5,0)</f>
        <v>169.01663999999997</v>
      </c>
      <c r="AK85" s="13">
        <f t="shared" si="89"/>
        <v>42.869709352189666</v>
      </c>
      <c r="AL85" s="20">
        <f t="shared" si="58"/>
        <v>369.03539178839691</v>
      </c>
      <c r="AM85" s="59">
        <f t="shared" si="59"/>
        <v>662.36872512173022</v>
      </c>
      <c r="AN85" s="59">
        <f ca="1">AVERAGE(OFFSET($AM$3,0,0,'Données projet'!$E$10+1,1))-AVERAGE(OFFSET($H$3,0,0,'Données projet'!$E$10+1,1))</f>
        <v>242.89078317348179</v>
      </c>
      <c r="AO85" s="59">
        <f t="shared" si="90"/>
        <v>123.46226548411437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4.4000000000000004</v>
      </c>
      <c r="BD85" s="12">
        <f>IF('Données projet'!$A$88&gt;35,BD84+BC85-BL84,IF(A85&lt;'Données projet'!$A$88,$BA$205^A85,IF(A85='Données projet'!$A$88,'Données projet'!$B$88,BD84+BC85-BL84)))</f>
        <v>186.79999999999998</v>
      </c>
      <c r="BE85" s="13">
        <f>BD85*VLOOKUP('Données projet'!$B$11,Paramètres!$A$1:$I$89,3,0)*VLOOKUP('Données projet'!$B$11,Paramètres!$A$1:$I$89,5,0)</f>
        <v>169.01663999999997</v>
      </c>
      <c r="BF85" s="13">
        <f t="shared" si="91"/>
        <v>42.869709352189666</v>
      </c>
      <c r="BG85" s="20">
        <f t="shared" si="61"/>
        <v>369.03539178839691</v>
      </c>
      <c r="BH85" s="59">
        <f t="shared" si="62"/>
        <v>662.36872512173022</v>
      </c>
      <c r="BI85" s="59">
        <f ca="1">AVERAGE(OFFSET($BH$3,0,0,'Données projet'!$E$11+1,1))-AVERAGE(OFFSET($H$3,0,0,'Données projet'!$E$11+1,1))</f>
        <v>242.89078317348179</v>
      </c>
      <c r="BJ85" s="59">
        <f t="shared" si="92"/>
        <v>123.46226548411437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194.59898508144084</v>
      </c>
      <c r="T86" s="59">
        <f t="shared" si="88"/>
        <v>237.00037875392565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1.5064189793182794E-8</v>
      </c>
      <c r="AC86" s="22">
        <f t="shared" si="57"/>
        <v>1.5064189793182794E-8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4.4000000000000004</v>
      </c>
      <c r="AI86" s="13">
        <f>IF('Données projet'!$A$62&gt;35,AI85+AH86-AQ85,IF(A86&lt;'Données projet'!$A$62,$AF$205^A86,IF(A86='Données projet'!$A$62,'Données projet'!$B$62,AI85+AH86-AQ85)))</f>
        <v>191.2</v>
      </c>
      <c r="AJ86" s="13">
        <f>AI86*VLOOKUP('Données projet'!$B$10,Paramètres!$A$1:$I$89,3,0)*VLOOKUP('Données projet'!$B$10,Paramètres!$A$1:$I$89,5,0)</f>
        <v>172.99775999999997</v>
      </c>
      <c r="AK86" s="13">
        <f t="shared" si="89"/>
        <v>43.760737531919609</v>
      </c>
      <c r="AL86" s="20">
        <f t="shared" si="58"/>
        <v>377.52104986809326</v>
      </c>
      <c r="AM86" s="59">
        <f t="shared" si="59"/>
        <v>670.85438320142657</v>
      </c>
      <c r="AN86" s="59">
        <f ca="1">AVERAGE(OFFSET($AM$3,0,0,'Données projet'!$E$10+1,1))-AVERAGE(OFFSET($H$3,0,0,'Données projet'!$E$10+1,1))</f>
        <v>242.89078317348179</v>
      </c>
      <c r="AO86" s="59">
        <f t="shared" si="90"/>
        <v>123.46226548411437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4.4000000000000004</v>
      </c>
      <c r="BD86" s="12">
        <f>IF('Données projet'!$A$88&gt;35,BD85+BC86-BL85,IF(A86&lt;'Données projet'!$A$88,$BA$205^A86,IF(A86='Données projet'!$A$88,'Données projet'!$B$88,BD85+BC86-BL85)))</f>
        <v>191.2</v>
      </c>
      <c r="BE86" s="13">
        <f>BD86*VLOOKUP('Données projet'!$B$11,Paramètres!$A$1:$I$89,3,0)*VLOOKUP('Données projet'!$B$11,Paramètres!$A$1:$I$89,5,0)</f>
        <v>172.99775999999997</v>
      </c>
      <c r="BF86" s="13">
        <f t="shared" si="91"/>
        <v>43.760737531919609</v>
      </c>
      <c r="BG86" s="20">
        <f t="shared" si="61"/>
        <v>377.52104986809326</v>
      </c>
      <c r="BH86" s="59">
        <f t="shared" si="62"/>
        <v>670.85438320142657</v>
      </c>
      <c r="BI86" s="59">
        <f ca="1">AVERAGE(OFFSET($BH$3,0,0,'Données projet'!$E$11+1,1))-AVERAGE(OFFSET($H$3,0,0,'Données projet'!$E$11+1,1))</f>
        <v>242.89078317348179</v>
      </c>
      <c r="BJ86" s="59">
        <f t="shared" si="92"/>
        <v>123.46226548411437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194.59898508144084</v>
      </c>
      <c r="T87" s="59">
        <f t="shared" si="88"/>
        <v>237.00037875392565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1.0651990755840728E-8</v>
      </c>
      <c r="AC87" s="22">
        <f t="shared" si="57"/>
        <v>1.0651990755840728E-8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4.4000000000000004</v>
      </c>
      <c r="AI87" s="13">
        <f>IF('Données projet'!$A$62&gt;35,AI86+AH87-AQ86,IF(A87&lt;'Données projet'!$A$62,$AF$205^A87,IF(A87='Données projet'!$A$62,'Données projet'!$B$62,AI86+AH87-AQ86)))</f>
        <v>195.6</v>
      </c>
      <c r="AJ87" s="13">
        <f>AI87*VLOOKUP('Données projet'!$B$10,Paramètres!$A$1:$I$89,3,0)*VLOOKUP('Données projet'!$B$10,Paramètres!$A$1:$I$89,5,0)</f>
        <v>176.97888</v>
      </c>
      <c r="AK87" s="13">
        <f t="shared" si="89"/>
        <v>44.649381920571734</v>
      </c>
      <c r="AL87" s="20">
        <f t="shared" si="58"/>
        <v>386.00255617832909</v>
      </c>
      <c r="AM87" s="59">
        <f t="shared" si="59"/>
        <v>679.33588951166234</v>
      </c>
      <c r="AN87" s="59">
        <f ca="1">AVERAGE(OFFSET($AM$3,0,0,'Données projet'!$E$10+1,1))-AVERAGE(OFFSET($H$3,0,0,'Données projet'!$E$10+1,1))</f>
        <v>242.89078317348179</v>
      </c>
      <c r="AO87" s="59">
        <f t="shared" si="90"/>
        <v>123.46226548411437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4.4000000000000004</v>
      </c>
      <c r="BD87" s="12">
        <f>IF('Données projet'!$A$88&gt;35,BD86+BC87-BL86,IF(A87&lt;'Données projet'!$A$88,$BA$205^A87,IF(A87='Données projet'!$A$88,'Données projet'!$B$88,BD86+BC87-BL86)))</f>
        <v>195.6</v>
      </c>
      <c r="BE87" s="13">
        <f>BD87*VLOOKUP('Données projet'!$B$11,Paramètres!$A$1:$I$89,3,0)*VLOOKUP('Données projet'!$B$11,Paramètres!$A$1:$I$89,5,0)</f>
        <v>176.97888</v>
      </c>
      <c r="BF87" s="13">
        <f t="shared" si="91"/>
        <v>44.649381920571734</v>
      </c>
      <c r="BG87" s="20">
        <f t="shared" si="61"/>
        <v>386.00255617832909</v>
      </c>
      <c r="BH87" s="59">
        <f t="shared" si="62"/>
        <v>679.33588951166234</v>
      </c>
      <c r="BI87" s="59">
        <f ca="1">AVERAGE(OFFSET($BH$3,0,0,'Données projet'!$E$11+1,1))-AVERAGE(OFFSET($H$3,0,0,'Données projet'!$E$11+1,1))</f>
        <v>242.89078317348179</v>
      </c>
      <c r="BJ87" s="59">
        <f t="shared" si="92"/>
        <v>123.46226548411437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194.59898508144084</v>
      </c>
      <c r="T88" s="59">
        <f t="shared" si="88"/>
        <v>237.00037875392565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7.5320948965913968E-9</v>
      </c>
      <c r="AC88" s="22">
        <f t="shared" si="57"/>
        <v>7.5320948965913968E-9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200</v>
      </c>
      <c r="AG88" s="12">
        <f>VLOOKUP(A88,'Données projet'!$A$61:$I$81,9,0)</f>
        <v>4.4000000000000004</v>
      </c>
      <c r="AH88" s="12">
        <f t="array" ref="AH88">INDEX(AG:AG,MIN(IF(ISNUMBER(AG88:AG284),ROW(AG88:AG284),"")))</f>
        <v>4.4000000000000004</v>
      </c>
      <c r="AI88" s="13">
        <f>IF('Données projet'!$A$62&gt;35,AI87+AH88-AQ87,IF(A88&lt;'Données projet'!$A$62,$AF$205^A88,IF(A88='Données projet'!$A$62,'Données projet'!$B$62,AI87+AH88-AQ87)))</f>
        <v>200</v>
      </c>
      <c r="AJ88" s="13">
        <f>AI88*VLOOKUP('Données projet'!$B$10,Paramètres!$A$1:$I$89,3,0)*VLOOKUP('Données projet'!$B$10,Paramètres!$A$1:$I$89,5,0)</f>
        <v>180.95999999999998</v>
      </c>
      <c r="AK88" s="13">
        <f t="shared" si="89"/>
        <v>45.53570231487172</v>
      </c>
      <c r="AL88" s="20">
        <f t="shared" si="58"/>
        <v>394.4800148650682</v>
      </c>
      <c r="AM88" s="59">
        <f t="shared" si="59"/>
        <v>687.81334819840151</v>
      </c>
      <c r="AN88" s="59">
        <f ca="1">AVERAGE(OFFSET($AM$3,0,0,'Données projet'!$E$10+1,1))-AVERAGE(OFFSET($H$3,0,0,'Données projet'!$E$10+1,1))</f>
        <v>242.89078317348179</v>
      </c>
      <c r="AO88" s="59">
        <f t="shared" si="90"/>
        <v>123.46226548411437</v>
      </c>
      <c r="AP88" s="15">
        <f>IF(ISNA(VLOOKUP(A88,'Données projet'!$A$61:$I$81,3,0)),0,VLOOKUP(A88,'Données projet'!$A$61:$I$81,3,0))</f>
        <v>11</v>
      </c>
      <c r="AQ88" s="15">
        <f>IF(ISNA(VLOOKUP(A88,'Données projet'!$A$61:$I$81,4,0)),0,VLOOKUP(A88,'Données projet'!$A$61:$I$81,4,0))</f>
        <v>14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200</v>
      </c>
      <c r="BB88" s="12">
        <f>VLOOKUP(A88,'Données projet'!$A$87:$I$107,9,0)</f>
        <v>4.4000000000000004</v>
      </c>
      <c r="BC88" s="12">
        <f t="array" ref="BC88">INDEX(BB:BB,MIN(IF(ISNUMBER(BB88:BB284),ROW(BB88:BB284),"")))</f>
        <v>4.4000000000000004</v>
      </c>
      <c r="BD88" s="12">
        <f>IF('Données projet'!$A$88&gt;35,BD87+BC88-BL87,IF(A88&lt;'Données projet'!$A$88,$BA$205^A88,IF(A88='Données projet'!$A$88,'Données projet'!$B$88,BD87+BC88-BL87)))</f>
        <v>200</v>
      </c>
      <c r="BE88" s="13">
        <f>BD88*VLOOKUP('Données projet'!$B$11,Paramètres!$A$1:$I$89,3,0)*VLOOKUP('Données projet'!$B$11,Paramètres!$A$1:$I$89,5,0)</f>
        <v>180.95999999999998</v>
      </c>
      <c r="BF88" s="13">
        <f t="shared" si="91"/>
        <v>45.53570231487172</v>
      </c>
      <c r="BG88" s="20">
        <f t="shared" si="61"/>
        <v>394.4800148650682</v>
      </c>
      <c r="BH88" s="59">
        <f t="shared" si="62"/>
        <v>687.81334819840151</v>
      </c>
      <c r="BI88" s="59">
        <f ca="1">AVERAGE(OFFSET($BH$3,0,0,'Données projet'!$E$11+1,1))-AVERAGE(OFFSET($H$3,0,0,'Données projet'!$E$11+1,1))</f>
        <v>242.89078317348179</v>
      </c>
      <c r="BJ88" s="59">
        <f t="shared" si="92"/>
        <v>123.46226548411437</v>
      </c>
      <c r="BK88" s="15">
        <f>IF(ISNA(VLOOKUP(A88,'Données projet'!$A$87:$I$107,3,0)),0,VLOOKUP(A88,'Données projet'!$A$87:$I$107,3,0))</f>
        <v>11</v>
      </c>
      <c r="BL88" s="15">
        <f>IF(ISNA(VLOOKUP(A88,'Données projet'!$A$87:$I$107,4,0)),0,VLOOKUP(A88,'Données projet'!$A$87:$I$107,4,0))</f>
        <v>14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194.59898508144084</v>
      </c>
      <c r="T89" s="59">
        <f t="shared" si="88"/>
        <v>237.00037875392565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5.3259953779203642E-9</v>
      </c>
      <c r="AC89" s="22">
        <f t="shared" si="57"/>
        <v>5.3259953779203642E-9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4.2</v>
      </c>
      <c r="AI89" s="13">
        <f>IF('Données projet'!$A$62&gt;35,AI88+AH89-AQ88,IF(A89&lt;'Données projet'!$A$62,$AF$205^A89,IF(A89='Données projet'!$A$62,'Données projet'!$B$62,AI88+AH89-AQ88)))</f>
        <v>190.2</v>
      </c>
      <c r="AJ89" s="13">
        <f>AI89*VLOOKUP('Données projet'!$B$10,Paramètres!$A$1:$I$89,3,0)*VLOOKUP('Données projet'!$B$10,Paramètres!$A$1:$I$89,5,0)</f>
        <v>172.09295999999998</v>
      </c>
      <c r="AK89" s="13">
        <f t="shared" si="89"/>
        <v>43.558442654163649</v>
      </c>
      <c r="AL89" s="20">
        <f t="shared" si="58"/>
        <v>375.5928596226683</v>
      </c>
      <c r="AM89" s="59">
        <f t="shared" si="59"/>
        <v>668.92619295600161</v>
      </c>
      <c r="AN89" s="59">
        <f ca="1">AVERAGE(OFFSET($AM$3,0,0,'Données projet'!$E$10+1,1))-AVERAGE(OFFSET($H$3,0,0,'Données projet'!$E$10+1,1))</f>
        <v>242.89078317348179</v>
      </c>
      <c r="AO89" s="59">
        <f t="shared" si="90"/>
        <v>123.46226548411437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4.2</v>
      </c>
      <c r="BD89" s="12">
        <f>IF('Données projet'!$A$88&gt;35,BD88+BC89-BL88,IF(A89&lt;'Données projet'!$A$88,$BA$205^A89,IF(A89='Données projet'!$A$88,'Données projet'!$B$88,BD88+BC89-BL88)))</f>
        <v>190.2</v>
      </c>
      <c r="BE89" s="13">
        <f>BD89*VLOOKUP('Données projet'!$B$11,Paramètres!$A$1:$I$89,3,0)*VLOOKUP('Données projet'!$B$11,Paramètres!$A$1:$I$89,5,0)</f>
        <v>172.09295999999998</v>
      </c>
      <c r="BF89" s="13">
        <f t="shared" si="91"/>
        <v>43.558442654163649</v>
      </c>
      <c r="BG89" s="20">
        <f t="shared" si="61"/>
        <v>375.5928596226683</v>
      </c>
      <c r="BH89" s="59">
        <f t="shared" si="62"/>
        <v>668.92619295600161</v>
      </c>
      <c r="BI89" s="59">
        <f ca="1">AVERAGE(OFFSET($BH$3,0,0,'Données projet'!$E$11+1,1))-AVERAGE(OFFSET($H$3,0,0,'Données projet'!$E$11+1,1))</f>
        <v>242.89078317348179</v>
      </c>
      <c r="BJ89" s="59">
        <f t="shared" si="92"/>
        <v>123.46226548411437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194.59898508144084</v>
      </c>
      <c r="T90" s="59">
        <f t="shared" si="88"/>
        <v>237.00037875392565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3.7660474482956984E-9</v>
      </c>
      <c r="AC90" s="22">
        <f t="shared" si="57"/>
        <v>3.7660474482956984E-9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4.2</v>
      </c>
      <c r="AI90" s="13">
        <f>IF('Données projet'!$A$62&gt;35,AI89+AH90-AQ89,IF(A90&lt;'Données projet'!$A$62,$AF$205^A90,IF(A90='Données projet'!$A$62,'Données projet'!$B$62,AI89+AH90-AQ89)))</f>
        <v>194.39999999999998</v>
      </c>
      <c r="AJ90" s="13">
        <f>AI90*VLOOKUP('Données projet'!$B$10,Paramètres!$A$1:$I$89,3,0)*VLOOKUP('Données projet'!$B$10,Paramètres!$A$1:$I$89,5,0)</f>
        <v>175.89311999999998</v>
      </c>
      <c r="AK90" s="13">
        <f t="shared" si="89"/>
        <v>44.407257302525892</v>
      </c>
      <c r="AL90" s="20">
        <f t="shared" si="58"/>
        <v>383.68982380189919</v>
      </c>
      <c r="AM90" s="59">
        <f t="shared" si="59"/>
        <v>677.02315713523251</v>
      </c>
      <c r="AN90" s="59">
        <f ca="1">AVERAGE(OFFSET($AM$3,0,0,'Données projet'!$E$10+1,1))-AVERAGE(OFFSET($H$3,0,0,'Données projet'!$E$10+1,1))</f>
        <v>242.89078317348179</v>
      </c>
      <c r="AO90" s="59">
        <f t="shared" si="90"/>
        <v>123.46226548411437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4.2</v>
      </c>
      <c r="BD90" s="12">
        <f>IF('Données projet'!$A$88&gt;35,BD89+BC90-BL89,IF(A90&lt;'Données projet'!$A$88,$BA$205^A90,IF(A90='Données projet'!$A$88,'Données projet'!$B$88,BD89+BC90-BL89)))</f>
        <v>194.39999999999998</v>
      </c>
      <c r="BE90" s="13">
        <f>BD90*VLOOKUP('Données projet'!$B$11,Paramètres!$A$1:$I$89,3,0)*VLOOKUP('Données projet'!$B$11,Paramètres!$A$1:$I$89,5,0)</f>
        <v>175.89311999999998</v>
      </c>
      <c r="BF90" s="13">
        <f t="shared" si="91"/>
        <v>44.407257302525892</v>
      </c>
      <c r="BG90" s="20">
        <f t="shared" si="61"/>
        <v>383.68982380189919</v>
      </c>
      <c r="BH90" s="59">
        <f t="shared" si="62"/>
        <v>677.02315713523251</v>
      </c>
      <c r="BI90" s="59">
        <f ca="1">AVERAGE(OFFSET($BH$3,0,0,'Données projet'!$E$11+1,1))-AVERAGE(OFFSET($H$3,0,0,'Données projet'!$E$11+1,1))</f>
        <v>242.89078317348179</v>
      </c>
      <c r="BJ90" s="59">
        <f t="shared" si="92"/>
        <v>123.46226548411437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194.59898508144084</v>
      </c>
      <c r="T91" s="59">
        <f t="shared" si="88"/>
        <v>237.00037875392565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2.6629976889601821E-9</v>
      </c>
      <c r="AC91" s="22">
        <f t="shared" si="57"/>
        <v>2.6629976889601821E-9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4.2</v>
      </c>
      <c r="AI91" s="13">
        <f>IF('Données projet'!$A$62&gt;35,AI90+AH91-AQ90,IF(A91&lt;'Données projet'!$A$62,$AF$205^A91,IF(A91='Données projet'!$A$62,'Données projet'!$B$62,AI90+AH91-AQ90)))</f>
        <v>198.59999999999997</v>
      </c>
      <c r="AJ91" s="13">
        <f>AI91*VLOOKUP('Données projet'!$B$10,Paramètres!$A$1:$I$89,3,0)*VLOOKUP('Données projet'!$B$10,Paramètres!$A$1:$I$89,5,0)</f>
        <v>179.69327999999996</v>
      </c>
      <c r="AK91" s="13">
        <f t="shared" si="89"/>
        <v>45.253939845742309</v>
      </c>
      <c r="AL91" s="20">
        <f t="shared" si="58"/>
        <v>391.78307456466774</v>
      </c>
      <c r="AM91" s="59">
        <f t="shared" si="59"/>
        <v>685.11640789800106</v>
      </c>
      <c r="AN91" s="59">
        <f ca="1">AVERAGE(OFFSET($AM$3,0,0,'Données projet'!$E$10+1,1))-AVERAGE(OFFSET($H$3,0,0,'Données projet'!$E$10+1,1))</f>
        <v>242.89078317348179</v>
      </c>
      <c r="AO91" s="59">
        <f t="shared" si="90"/>
        <v>123.46226548411437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4.2</v>
      </c>
      <c r="BD91" s="12">
        <f>IF('Données projet'!$A$88&gt;35,BD90+BC91-BL90,IF(A91&lt;'Données projet'!$A$88,$BA$205^A91,IF(A91='Données projet'!$A$88,'Données projet'!$B$88,BD90+BC91-BL90)))</f>
        <v>198.59999999999997</v>
      </c>
      <c r="BE91" s="13">
        <f>BD91*VLOOKUP('Données projet'!$B$11,Paramètres!$A$1:$I$89,3,0)*VLOOKUP('Données projet'!$B$11,Paramètres!$A$1:$I$89,5,0)</f>
        <v>179.69327999999996</v>
      </c>
      <c r="BF91" s="13">
        <f t="shared" si="91"/>
        <v>45.253939845742309</v>
      </c>
      <c r="BG91" s="20">
        <f t="shared" si="61"/>
        <v>391.78307456466774</v>
      </c>
      <c r="BH91" s="59">
        <f t="shared" si="62"/>
        <v>685.11640789800106</v>
      </c>
      <c r="BI91" s="59">
        <f ca="1">AVERAGE(OFFSET($BH$3,0,0,'Données projet'!$E$11+1,1))-AVERAGE(OFFSET($H$3,0,0,'Données projet'!$E$11+1,1))</f>
        <v>242.89078317348179</v>
      </c>
      <c r="BJ91" s="59">
        <f t="shared" si="92"/>
        <v>123.46226548411437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194.59898508144084</v>
      </c>
      <c r="T92" s="59">
        <f t="shared" si="88"/>
        <v>237.00037875392565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1.8830237241478492E-9</v>
      </c>
      <c r="AC92" s="22">
        <f t="shared" si="57"/>
        <v>1.8830237241478492E-9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4.2</v>
      </c>
      <c r="AI92" s="13">
        <f>IF('Données projet'!$A$62&gt;35,AI91+AH92-AQ91,IF(A92&lt;'Données projet'!$A$62,$AF$205^A92,IF(A92='Données projet'!$A$62,'Données projet'!$B$62,AI91+AH92-AQ91)))</f>
        <v>202.79999999999995</v>
      </c>
      <c r="AJ92" s="13">
        <f>AI92*VLOOKUP('Données projet'!$B$10,Paramètres!$A$1:$I$89,3,0)*VLOOKUP('Données projet'!$B$10,Paramètres!$A$1:$I$89,5,0)</f>
        <v>183.49343999999996</v>
      </c>
      <c r="AK92" s="13">
        <f t="shared" si="89"/>
        <v>46.09854056776922</v>
      </c>
      <c r="AL92" s="20">
        <f t="shared" si="58"/>
        <v>399.87269948886461</v>
      </c>
      <c r="AM92" s="59">
        <f t="shared" si="59"/>
        <v>693.20603282219793</v>
      </c>
      <c r="AN92" s="59">
        <f ca="1">AVERAGE(OFFSET($AM$3,0,0,'Données projet'!$E$10+1,1))-AVERAGE(OFFSET($H$3,0,0,'Données projet'!$E$10+1,1))</f>
        <v>242.89078317348179</v>
      </c>
      <c r="AO92" s="59">
        <f t="shared" si="90"/>
        <v>123.46226548411437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4.2</v>
      </c>
      <c r="BD92" s="12">
        <f>IF('Données projet'!$A$88&gt;35,BD91+BC92-BL91,IF(A92&lt;'Données projet'!$A$88,$BA$205^A92,IF(A92='Données projet'!$A$88,'Données projet'!$B$88,BD91+BC92-BL91)))</f>
        <v>202.79999999999995</v>
      </c>
      <c r="BE92" s="13">
        <f>BD92*VLOOKUP('Données projet'!$B$11,Paramètres!$A$1:$I$89,3,0)*VLOOKUP('Données projet'!$B$11,Paramètres!$A$1:$I$89,5,0)</f>
        <v>183.49343999999996</v>
      </c>
      <c r="BF92" s="13">
        <f t="shared" si="91"/>
        <v>46.09854056776922</v>
      </c>
      <c r="BG92" s="20">
        <f t="shared" si="61"/>
        <v>399.87269948886461</v>
      </c>
      <c r="BH92" s="59">
        <f t="shared" si="62"/>
        <v>693.20603282219793</v>
      </c>
      <c r="BI92" s="59">
        <f ca="1">AVERAGE(OFFSET($BH$3,0,0,'Données projet'!$E$11+1,1))-AVERAGE(OFFSET($H$3,0,0,'Données projet'!$E$11+1,1))</f>
        <v>242.89078317348179</v>
      </c>
      <c r="BJ92" s="59">
        <f t="shared" si="92"/>
        <v>123.46226548411437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194.59898508144084</v>
      </c>
      <c r="T93" s="59">
        <f t="shared" si="88"/>
        <v>237.00037875392565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1.3314988444800911E-9</v>
      </c>
      <c r="AC93" s="22">
        <f t="shared" si="57"/>
        <v>1.3314988444800911E-9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207</v>
      </c>
      <c r="AG93" s="12">
        <f>VLOOKUP(A93,'Données projet'!$A$61:$I$81,9,0)</f>
        <v>4.2</v>
      </c>
      <c r="AH93" s="12">
        <f t="array" ref="AH93">INDEX(AG:AG,MIN(IF(ISNUMBER(AG93:AG289),ROW(AG93:AG289),"")))</f>
        <v>4.2</v>
      </c>
      <c r="AI93" s="13">
        <f>IF('Données projet'!$A$62&gt;35,AI92+AH93-AQ92,IF(A93&lt;'Données projet'!$A$62,$AF$205^A93,IF(A93='Données projet'!$A$62,'Données projet'!$B$62,AI92+AH93-AQ92)))</f>
        <v>206.99999999999994</v>
      </c>
      <c r="AJ93" s="13">
        <f>AI93*VLOOKUP('Données projet'!$B$10,Paramètres!$A$1:$I$89,3,0)*VLOOKUP('Données projet'!$B$10,Paramètres!$A$1:$I$89,5,0)</f>
        <v>187.29359999999994</v>
      </c>
      <c r="AK93" s="13">
        <f t="shared" si="89"/>
        <v>46.941107550760421</v>
      </c>
      <c r="AL93" s="20">
        <f t="shared" si="58"/>
        <v>407.95878231757433</v>
      </c>
      <c r="AM93" s="59">
        <f t="shared" si="59"/>
        <v>701.29211565090759</v>
      </c>
      <c r="AN93" s="59">
        <f ca="1">AVERAGE(OFFSET($AM$3,0,0,'Données projet'!$E$10+1,1))-AVERAGE(OFFSET($H$3,0,0,'Données projet'!$E$10+1,1))</f>
        <v>242.89078317348179</v>
      </c>
      <c r="AO93" s="59">
        <f t="shared" si="90"/>
        <v>123.46226548411437</v>
      </c>
      <c r="AP93" s="15">
        <f>IF(ISNA(VLOOKUP(A93,'Données projet'!$A$61:$I$81,3,0)),0,VLOOKUP(A93,'Données projet'!$A$61:$I$81,3,0))</f>
        <v>12</v>
      </c>
      <c r="AQ93" s="15">
        <f>IF(ISNA(VLOOKUP(A93,'Données projet'!$A$61:$I$81,4,0)),0,VLOOKUP(A93,'Données projet'!$A$61:$I$81,4,0))</f>
        <v>14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207</v>
      </c>
      <c r="BB93" s="12">
        <f>VLOOKUP(A93,'Données projet'!$A$87:$I$107,9,0)</f>
        <v>4.2</v>
      </c>
      <c r="BC93" s="12">
        <f t="array" ref="BC93">INDEX(BB:BB,MIN(IF(ISNUMBER(BB93:BB289),ROW(BB93:BB289),"")))</f>
        <v>4.2</v>
      </c>
      <c r="BD93" s="12">
        <f>IF('Données projet'!$A$88&gt;35,BD92+BC93-BL92,IF(A93&lt;'Données projet'!$A$88,$BA$205^A93,IF(A93='Données projet'!$A$88,'Données projet'!$B$88,BD92+BC93-BL92)))</f>
        <v>206.99999999999994</v>
      </c>
      <c r="BE93" s="13">
        <f>BD93*VLOOKUP('Données projet'!$B$11,Paramètres!$A$1:$I$89,3,0)*VLOOKUP('Données projet'!$B$11,Paramètres!$A$1:$I$89,5,0)</f>
        <v>187.29359999999994</v>
      </c>
      <c r="BF93" s="13">
        <f t="shared" si="91"/>
        <v>46.941107550760421</v>
      </c>
      <c r="BG93" s="20">
        <f t="shared" si="61"/>
        <v>407.95878231757433</v>
      </c>
      <c r="BH93" s="59">
        <f t="shared" si="62"/>
        <v>701.29211565090759</v>
      </c>
      <c r="BI93" s="59">
        <f ca="1">AVERAGE(OFFSET($BH$3,0,0,'Données projet'!$E$11+1,1))-AVERAGE(OFFSET($H$3,0,0,'Données projet'!$E$11+1,1))</f>
        <v>242.89078317348179</v>
      </c>
      <c r="BJ93" s="59">
        <f t="shared" si="92"/>
        <v>123.46226548411437</v>
      </c>
      <c r="BK93" s="15">
        <f>IF(ISNA(VLOOKUP(A93,'Données projet'!$A$87:$I$107,3,0)),0,VLOOKUP(A93,'Données projet'!$A$87:$I$107,3,0))</f>
        <v>12</v>
      </c>
      <c r="BL93" s="15">
        <f>IF(ISNA(VLOOKUP(A93,'Données projet'!$A$87:$I$107,4,0)),0,VLOOKUP(A93,'Données projet'!$A$87:$I$107,4,0))</f>
        <v>14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194.59898508144084</v>
      </c>
      <c r="T94" s="59">
        <f t="shared" si="88"/>
        <v>237.00037875392565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9.415118620739246E-10</v>
      </c>
      <c r="AC94" s="22">
        <f t="shared" si="57"/>
        <v>9.415118620739246E-10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3.8</v>
      </c>
      <c r="AI94" s="13">
        <f>IF('Données projet'!$A$62&gt;35,AI93+AH94-AQ93,IF(A94&lt;'Données projet'!$A$62,$AF$205^A94,IF(A94='Données projet'!$A$62,'Données projet'!$B$62,AI93+AH94-AQ93)))</f>
        <v>196.79999999999995</v>
      </c>
      <c r="AJ94" s="13">
        <f>AI94*VLOOKUP('Données projet'!$B$10,Paramètres!$A$1:$I$89,3,0)*VLOOKUP('Données projet'!$B$10,Paramètres!$A$1:$I$89,5,0)</f>
        <v>178.06463999999994</v>
      </c>
      <c r="AK94" s="13">
        <f t="shared" si="89"/>
        <v>44.891333695477108</v>
      </c>
      <c r="AL94" s="20">
        <f t="shared" si="58"/>
        <v>388.31498751962249</v>
      </c>
      <c r="AM94" s="59">
        <f t="shared" si="59"/>
        <v>681.64832085295575</v>
      </c>
      <c r="AN94" s="59">
        <f ca="1">AVERAGE(OFFSET($AM$3,0,0,'Données projet'!$E$10+1,1))-AVERAGE(OFFSET($H$3,0,0,'Données projet'!$E$10+1,1))</f>
        <v>242.89078317348179</v>
      </c>
      <c r="AO94" s="59">
        <f t="shared" si="90"/>
        <v>123.46226548411437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3.8</v>
      </c>
      <c r="BD94" s="12">
        <f>IF('Données projet'!$A$88&gt;35,BD93+BC94-BL93,IF(A94&lt;'Données projet'!$A$88,$BA$205^A94,IF(A94='Données projet'!$A$88,'Données projet'!$B$88,BD93+BC94-BL93)))</f>
        <v>196.79999999999995</v>
      </c>
      <c r="BE94" s="13">
        <f>BD94*VLOOKUP('Données projet'!$B$11,Paramètres!$A$1:$I$89,3,0)*VLOOKUP('Données projet'!$B$11,Paramètres!$A$1:$I$89,5,0)</f>
        <v>178.06463999999994</v>
      </c>
      <c r="BF94" s="13">
        <f t="shared" si="91"/>
        <v>44.891333695477108</v>
      </c>
      <c r="BG94" s="20">
        <f t="shared" si="61"/>
        <v>388.31498751962249</v>
      </c>
      <c r="BH94" s="59">
        <f t="shared" si="62"/>
        <v>681.64832085295575</v>
      </c>
      <c r="BI94" s="59">
        <f ca="1">AVERAGE(OFFSET($BH$3,0,0,'Données projet'!$E$11+1,1))-AVERAGE(OFFSET($H$3,0,0,'Données projet'!$E$11+1,1))</f>
        <v>242.89078317348179</v>
      </c>
      <c r="BJ94" s="59">
        <f t="shared" si="92"/>
        <v>123.46226548411437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194.59898508144084</v>
      </c>
      <c r="T95" s="59">
        <f t="shared" si="88"/>
        <v>237.00037875392565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6.6574942224004553E-10</v>
      </c>
      <c r="AC95" s="22">
        <f t="shared" si="57"/>
        <v>6.6574942224004553E-10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3.8</v>
      </c>
      <c r="AI95" s="13">
        <f>IF('Données projet'!$A$62&gt;35,AI94+AH95-AQ94,IF(A95&lt;'Données projet'!$A$62,$AF$205^A95,IF(A95='Données projet'!$A$62,'Données projet'!$B$62,AI94+AH95-AQ94)))</f>
        <v>200.59999999999997</v>
      </c>
      <c r="AJ95" s="13">
        <f>AI95*VLOOKUP('Données projet'!$B$10,Paramètres!$A$1:$I$89,3,0)*VLOOKUP('Données projet'!$B$10,Paramètres!$A$1:$I$89,5,0)</f>
        <v>181.50287999999995</v>
      </c>
      <c r="AK95" s="13">
        <f t="shared" si="89"/>
        <v>45.656387302784658</v>
      </c>
      <c r="AL95" s="20">
        <f t="shared" si="58"/>
        <v>395.63572388568315</v>
      </c>
      <c r="AM95" s="59">
        <f t="shared" si="59"/>
        <v>688.96905721901646</v>
      </c>
      <c r="AN95" s="59">
        <f ca="1">AVERAGE(OFFSET($AM$3,0,0,'Données projet'!$E$10+1,1))-AVERAGE(OFFSET($H$3,0,0,'Données projet'!$E$10+1,1))</f>
        <v>242.89078317348179</v>
      </c>
      <c r="AO95" s="59">
        <f t="shared" si="90"/>
        <v>123.46226548411437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3.8</v>
      </c>
      <c r="BD95" s="12">
        <f>IF('Données projet'!$A$88&gt;35,BD94+BC95-BL94,IF(A95&lt;'Données projet'!$A$88,$BA$205^A95,IF(A95='Données projet'!$A$88,'Données projet'!$B$88,BD94+BC95-BL94)))</f>
        <v>200.59999999999997</v>
      </c>
      <c r="BE95" s="13">
        <f>BD95*VLOOKUP('Données projet'!$B$11,Paramètres!$A$1:$I$89,3,0)*VLOOKUP('Données projet'!$B$11,Paramètres!$A$1:$I$89,5,0)</f>
        <v>181.50287999999995</v>
      </c>
      <c r="BF95" s="13">
        <f t="shared" si="91"/>
        <v>45.656387302784658</v>
      </c>
      <c r="BG95" s="20">
        <f t="shared" si="61"/>
        <v>395.63572388568315</v>
      </c>
      <c r="BH95" s="59">
        <f t="shared" si="62"/>
        <v>688.96905721901646</v>
      </c>
      <c r="BI95" s="59">
        <f ca="1">AVERAGE(OFFSET($BH$3,0,0,'Données projet'!$E$11+1,1))-AVERAGE(OFFSET($H$3,0,0,'Données projet'!$E$11+1,1))</f>
        <v>242.89078317348179</v>
      </c>
      <c r="BJ95" s="59">
        <f t="shared" si="92"/>
        <v>123.46226548411437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194.59898508144084</v>
      </c>
      <c r="T96" s="59">
        <f t="shared" si="88"/>
        <v>237.00037875392565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4.707559310369623E-10</v>
      </c>
      <c r="AC96" s="22">
        <f t="shared" si="57"/>
        <v>4.707559310369623E-10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3.8</v>
      </c>
      <c r="AI96" s="13">
        <f>IF('Données projet'!$A$62&gt;35,AI95+AH96-AQ95,IF(A96&lt;'Données projet'!$A$62,$AF$205^A96,IF(A96='Données projet'!$A$62,'Données projet'!$B$62,AI95+AH96-AQ95)))</f>
        <v>204.39999999999998</v>
      </c>
      <c r="AJ96" s="13">
        <f>AI96*VLOOKUP('Données projet'!$B$10,Paramètres!$A$1:$I$89,3,0)*VLOOKUP('Données projet'!$B$10,Paramètres!$A$1:$I$89,5,0)</f>
        <v>184.94111999999998</v>
      </c>
      <c r="AK96" s="13">
        <f t="shared" si="89"/>
        <v>46.419755730249435</v>
      </c>
      <c r="AL96" s="20">
        <f t="shared" si="58"/>
        <v>402.95352523018437</v>
      </c>
      <c r="AM96" s="59">
        <f t="shared" si="59"/>
        <v>696.28685856351763</v>
      </c>
      <c r="AN96" s="59">
        <f ca="1">AVERAGE(OFFSET($AM$3,0,0,'Données projet'!$E$10+1,1))-AVERAGE(OFFSET($H$3,0,0,'Données projet'!$E$10+1,1))</f>
        <v>242.89078317348179</v>
      </c>
      <c r="AO96" s="59">
        <f t="shared" si="90"/>
        <v>123.46226548411437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3.8</v>
      </c>
      <c r="BD96" s="12">
        <f>IF('Données projet'!$A$88&gt;35,BD95+BC96-BL95,IF(A96&lt;'Données projet'!$A$88,$BA$205^A96,IF(A96='Données projet'!$A$88,'Données projet'!$B$88,BD95+BC96-BL95)))</f>
        <v>204.39999999999998</v>
      </c>
      <c r="BE96" s="13">
        <f>BD96*VLOOKUP('Données projet'!$B$11,Paramètres!$A$1:$I$89,3,0)*VLOOKUP('Données projet'!$B$11,Paramètres!$A$1:$I$89,5,0)</f>
        <v>184.94111999999998</v>
      </c>
      <c r="BF96" s="13">
        <f t="shared" si="91"/>
        <v>46.419755730249435</v>
      </c>
      <c r="BG96" s="20">
        <f t="shared" si="61"/>
        <v>402.95352523018437</v>
      </c>
      <c r="BH96" s="59">
        <f t="shared" si="62"/>
        <v>696.28685856351763</v>
      </c>
      <c r="BI96" s="59">
        <f ca="1">AVERAGE(OFFSET($BH$3,0,0,'Données projet'!$E$11+1,1))-AVERAGE(OFFSET($H$3,0,0,'Données projet'!$E$11+1,1))</f>
        <v>242.89078317348179</v>
      </c>
      <c r="BJ96" s="59">
        <f t="shared" si="92"/>
        <v>123.46226548411437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194.59898508144084</v>
      </c>
      <c r="T97" s="59">
        <f t="shared" si="88"/>
        <v>237.00037875392565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3.3287471112002277E-10</v>
      </c>
      <c r="AC97" s="22">
        <f t="shared" si="57"/>
        <v>3.3287471112002277E-10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3.8</v>
      </c>
      <c r="AI97" s="13">
        <f>IF('Données projet'!$A$62&gt;35,AI96+AH97-AQ96,IF(A97&lt;'Données projet'!$A$62,$AF$205^A97,IF(A97='Données projet'!$A$62,'Données projet'!$B$62,AI96+AH97-AQ96)))</f>
        <v>208.2</v>
      </c>
      <c r="AJ97" s="13">
        <f>AI97*VLOOKUP('Données projet'!$B$10,Paramètres!$A$1:$I$89,3,0)*VLOOKUP('Données projet'!$B$10,Paramètres!$A$1:$I$89,5,0)</f>
        <v>188.37935999999999</v>
      </c>
      <c r="AK97" s="13">
        <f t="shared" si="89"/>
        <v>47.181473920005914</v>
      </c>
      <c r="AL97" s="20">
        <f t="shared" si="58"/>
        <v>410.2684524106769</v>
      </c>
      <c r="AM97" s="59">
        <f t="shared" si="59"/>
        <v>703.60178574401016</v>
      </c>
      <c r="AN97" s="59">
        <f ca="1">AVERAGE(OFFSET($AM$3,0,0,'Données projet'!$E$10+1,1))-AVERAGE(OFFSET($H$3,0,0,'Données projet'!$E$10+1,1))</f>
        <v>242.89078317348179</v>
      </c>
      <c r="AO97" s="59">
        <f t="shared" si="90"/>
        <v>123.46226548411437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3.8</v>
      </c>
      <c r="BD97" s="12">
        <f>IF('Données projet'!$A$88&gt;35,BD96+BC97-BL96,IF(A97&lt;'Données projet'!$A$88,$BA$205^A97,IF(A97='Données projet'!$A$88,'Données projet'!$B$88,BD96+BC97-BL96)))</f>
        <v>208.2</v>
      </c>
      <c r="BE97" s="13">
        <f>BD97*VLOOKUP('Données projet'!$B$11,Paramètres!$A$1:$I$89,3,0)*VLOOKUP('Données projet'!$B$11,Paramètres!$A$1:$I$89,5,0)</f>
        <v>188.37935999999999</v>
      </c>
      <c r="BF97" s="13">
        <f t="shared" si="91"/>
        <v>47.181473920005914</v>
      </c>
      <c r="BG97" s="20">
        <f t="shared" si="61"/>
        <v>410.2684524106769</v>
      </c>
      <c r="BH97" s="59">
        <f t="shared" si="62"/>
        <v>703.60178574401016</v>
      </c>
      <c r="BI97" s="59">
        <f ca="1">AVERAGE(OFFSET($BH$3,0,0,'Données projet'!$E$11+1,1))-AVERAGE(OFFSET($H$3,0,0,'Données projet'!$E$11+1,1))</f>
        <v>242.89078317348179</v>
      </c>
      <c r="BJ97" s="59">
        <f t="shared" si="92"/>
        <v>123.46226548411437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194.59898508144084</v>
      </c>
      <c r="T98" s="59">
        <f t="shared" si="88"/>
        <v>237.00037875392565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2.3537796551848115E-10</v>
      </c>
      <c r="AC98" s="22">
        <f t="shared" si="57"/>
        <v>2.3537796551848115E-10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212</v>
      </c>
      <c r="AG98" s="12">
        <f>VLOOKUP(A98,'Données projet'!$A$61:$I$81,9,0)</f>
        <v>3.8</v>
      </c>
      <c r="AH98" s="12">
        <f t="array" ref="AH98">INDEX(AG:AG,MIN(IF(ISNUMBER(AG98:AG294),ROW(AG98:AG294),"")))</f>
        <v>3.8</v>
      </c>
      <c r="AI98" s="13">
        <f>IF('Données projet'!$A$62&gt;35,AI97+AH98-AQ97,IF(A98&lt;'Données projet'!$A$62,$AF$205^A98,IF(A98='Données projet'!$A$62,'Données projet'!$B$62,AI97+AH98-AQ97)))</f>
        <v>212</v>
      </c>
      <c r="AJ98" s="13">
        <f>AI98*VLOOKUP('Données projet'!$B$10,Paramètres!$A$1:$I$89,3,0)*VLOOKUP('Données projet'!$B$10,Paramètres!$A$1:$I$89,5,0)</f>
        <v>191.8176</v>
      </c>
      <c r="AK98" s="13">
        <f t="shared" si="89"/>
        <v>47.941575465657095</v>
      </c>
      <c r="AL98" s="20">
        <f t="shared" si="58"/>
        <v>417.58056393601947</v>
      </c>
      <c r="AM98" s="59">
        <f t="shared" si="59"/>
        <v>710.91389726935279</v>
      </c>
      <c r="AN98" s="59">
        <f ca="1">AVERAGE(OFFSET($AM$3,0,0,'Données projet'!$E$10+1,1))-AVERAGE(OFFSET($H$3,0,0,'Données projet'!$E$10+1,1))</f>
        <v>242.89078317348179</v>
      </c>
      <c r="AO98" s="59">
        <f t="shared" si="90"/>
        <v>123.46226548411437</v>
      </c>
      <c r="AP98" s="15">
        <f>IF(ISNA(VLOOKUP(A98,'Données projet'!$A$61:$I$81,3,0)),0,VLOOKUP(A98,'Données projet'!$A$61:$I$81,3,0))</f>
        <v>13</v>
      </c>
      <c r="AQ98" s="15">
        <f>IF(ISNA(VLOOKUP(A98,'Données projet'!$A$61:$I$81,4,0)),0,VLOOKUP(A98,'Données projet'!$A$61:$I$81,4,0))</f>
        <v>14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212</v>
      </c>
      <c r="BB98" s="12">
        <f>VLOOKUP(A98,'Données projet'!$A$87:$I$107,9,0)</f>
        <v>3.8</v>
      </c>
      <c r="BC98" s="12">
        <f t="array" ref="BC98">INDEX(BB:BB,MIN(IF(ISNUMBER(BB98:BB294),ROW(BB98:BB294),"")))</f>
        <v>3.8</v>
      </c>
      <c r="BD98" s="12">
        <f>IF('Données projet'!$A$88&gt;35,BD97+BC98-BL97,IF(A98&lt;'Données projet'!$A$88,$BA$205^A98,IF(A98='Données projet'!$A$88,'Données projet'!$B$88,BD97+BC98-BL97)))</f>
        <v>212</v>
      </c>
      <c r="BE98" s="13">
        <f>BD98*VLOOKUP('Données projet'!$B$11,Paramètres!$A$1:$I$89,3,0)*VLOOKUP('Données projet'!$B$11,Paramètres!$A$1:$I$89,5,0)</f>
        <v>191.8176</v>
      </c>
      <c r="BF98" s="13">
        <f t="shared" si="91"/>
        <v>47.941575465657095</v>
      </c>
      <c r="BG98" s="20">
        <f t="shared" si="61"/>
        <v>417.58056393601947</v>
      </c>
      <c r="BH98" s="59">
        <f t="shared" si="62"/>
        <v>710.91389726935279</v>
      </c>
      <c r="BI98" s="59">
        <f ca="1">AVERAGE(OFFSET($BH$3,0,0,'Données projet'!$E$11+1,1))-AVERAGE(OFFSET($H$3,0,0,'Données projet'!$E$11+1,1))</f>
        <v>242.89078317348179</v>
      </c>
      <c r="BJ98" s="59">
        <f t="shared" si="92"/>
        <v>123.46226548411437</v>
      </c>
      <c r="BK98" s="15">
        <f>IF(ISNA(VLOOKUP(A98,'Données projet'!$A$87:$I$107,3,0)),0,VLOOKUP(A98,'Données projet'!$A$87:$I$107,3,0))</f>
        <v>13</v>
      </c>
      <c r="BL98" s="15">
        <f>IF(ISNA(VLOOKUP(A98,'Données projet'!$A$87:$I$107,4,0)),0,VLOOKUP(A98,'Données projet'!$A$87:$I$107,4,0))</f>
        <v>14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194.59898508144084</v>
      </c>
      <c r="T99" s="59">
        <f t="shared" si="88"/>
        <v>237.00037875392565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1.6643735556001138E-10</v>
      </c>
      <c r="AC99" s="22">
        <f t="shared" si="57"/>
        <v>1.6643735556001138E-10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3.6</v>
      </c>
      <c r="AI99" s="13">
        <f>IF('Données projet'!$A$62&gt;35,AI98+AH99-AQ98,IF(A99&lt;'Données projet'!$A$62,$AF$205^A99,IF(A99='Données projet'!$A$62,'Données projet'!$B$62,AI98+AH99-AQ98)))</f>
        <v>201.6</v>
      </c>
      <c r="AJ99" s="13">
        <f>AI99*VLOOKUP('Données projet'!$B$10,Paramètres!$A$1:$I$89,3,0)*VLOOKUP('Données projet'!$B$10,Paramètres!$A$1:$I$89,5,0)</f>
        <v>182.40767999999997</v>
      </c>
      <c r="AK99" s="13">
        <f t="shared" si="89"/>
        <v>45.857435663065921</v>
      </c>
      <c r="AL99" s="20">
        <f t="shared" si="58"/>
        <v>397.56174311317301</v>
      </c>
      <c r="AM99" s="59">
        <f t="shared" si="59"/>
        <v>690.89507644650632</v>
      </c>
      <c r="AN99" s="59">
        <f ca="1">AVERAGE(OFFSET($AM$3,0,0,'Données projet'!$E$10+1,1))-AVERAGE(OFFSET($H$3,0,0,'Données projet'!$E$10+1,1))</f>
        <v>242.89078317348179</v>
      </c>
      <c r="AO99" s="59">
        <f t="shared" si="90"/>
        <v>123.46226548411437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3.6</v>
      </c>
      <c r="BD99" s="12">
        <f>IF('Données projet'!$A$88&gt;35,BD98+BC99-BL98,IF(A99&lt;'Données projet'!$A$88,$BA$205^A99,IF(A99='Données projet'!$A$88,'Données projet'!$B$88,BD98+BC99-BL98)))</f>
        <v>201.6</v>
      </c>
      <c r="BE99" s="13">
        <f>BD99*VLOOKUP('Données projet'!$B$11,Paramètres!$A$1:$I$89,3,0)*VLOOKUP('Données projet'!$B$11,Paramètres!$A$1:$I$89,5,0)</f>
        <v>182.40767999999997</v>
      </c>
      <c r="BF99" s="13">
        <f t="shared" si="91"/>
        <v>45.857435663065921</v>
      </c>
      <c r="BG99" s="20">
        <f t="shared" si="61"/>
        <v>397.56174311317301</v>
      </c>
      <c r="BH99" s="59">
        <f t="shared" si="62"/>
        <v>690.89507644650632</v>
      </c>
      <c r="BI99" s="59">
        <f ca="1">AVERAGE(OFFSET($BH$3,0,0,'Données projet'!$E$11+1,1))-AVERAGE(OFFSET($H$3,0,0,'Données projet'!$E$11+1,1))</f>
        <v>242.89078317348179</v>
      </c>
      <c r="BJ99" s="59">
        <f t="shared" si="92"/>
        <v>123.46226548411437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194.59898508144084</v>
      </c>
      <c r="T100" s="59">
        <f t="shared" si="88"/>
        <v>237.00037875392565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1.1768898275924058E-10</v>
      </c>
      <c r="AC100" s="22">
        <f t="shared" si="57"/>
        <v>1.1768898275924058E-10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3.6</v>
      </c>
      <c r="AI100" s="13">
        <f>IF('Données projet'!$A$62&gt;35,AI99+AH100-AQ99,IF(A100&lt;'Données projet'!$A$62,$AF$205^A100,IF(A100='Données projet'!$A$62,'Données projet'!$B$62,AI99+AH100-AQ99)))</f>
        <v>205.2</v>
      </c>
      <c r="AJ100" s="13">
        <f>AI100*VLOOKUP('Données projet'!$B$10,Paramètres!$A$1:$I$89,3,0)*VLOOKUP('Données projet'!$B$10,Paramètres!$A$1:$I$89,5,0)</f>
        <v>185.66495999999998</v>
      </c>
      <c r="AK100" s="13">
        <f t="shared" si="89"/>
        <v>46.580253447083031</v>
      </c>
      <c r="AL100" s="20">
        <f t="shared" si="58"/>
        <v>404.49374675366954</v>
      </c>
      <c r="AM100" s="59">
        <f t="shared" si="59"/>
        <v>697.82708008700286</v>
      </c>
      <c r="AN100" s="59">
        <f ca="1">AVERAGE(OFFSET($AM$3,0,0,'Données projet'!$E$10+1,1))-AVERAGE(OFFSET($H$3,0,0,'Données projet'!$E$10+1,1))</f>
        <v>242.89078317348179</v>
      </c>
      <c r="AO100" s="59">
        <f t="shared" si="90"/>
        <v>123.46226548411437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3.6</v>
      </c>
      <c r="BD100" s="12">
        <f>IF('Données projet'!$A$88&gt;35,BD99+BC100-BL99,IF(A100&lt;'Données projet'!$A$88,$BA$205^A100,IF(A100='Données projet'!$A$88,'Données projet'!$B$88,BD99+BC100-BL99)))</f>
        <v>205.2</v>
      </c>
      <c r="BE100" s="13">
        <f>BD100*VLOOKUP('Données projet'!$B$11,Paramètres!$A$1:$I$89,3,0)*VLOOKUP('Données projet'!$B$11,Paramètres!$A$1:$I$89,5,0)</f>
        <v>185.66495999999998</v>
      </c>
      <c r="BF100" s="13">
        <f t="shared" si="91"/>
        <v>46.580253447083031</v>
      </c>
      <c r="BG100" s="20">
        <f t="shared" si="61"/>
        <v>404.49374675366954</v>
      </c>
      <c r="BH100" s="59">
        <f t="shared" si="62"/>
        <v>697.82708008700286</v>
      </c>
      <c r="BI100" s="59">
        <f ca="1">AVERAGE(OFFSET($BH$3,0,0,'Données projet'!$E$11+1,1))-AVERAGE(OFFSET($H$3,0,0,'Données projet'!$E$11+1,1))</f>
        <v>242.89078317348179</v>
      </c>
      <c r="BJ100" s="59">
        <f t="shared" si="92"/>
        <v>123.46226548411437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194.59898508144084</v>
      </c>
      <c r="T101" s="59">
        <f t="shared" si="88"/>
        <v>237.00037875392565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8.3218677780005691E-11</v>
      </c>
      <c r="AC101" s="22">
        <f t="shared" si="57"/>
        <v>8.3218677780005691E-11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3.6</v>
      </c>
      <c r="AI101" s="13">
        <f>IF('Données projet'!$A$62&gt;35,AI100+AH101-AQ100,IF(A101&lt;'Données projet'!$A$62,$AF$205^A101,IF(A101='Données projet'!$A$62,'Données projet'!$B$62,AI100+AH101-AQ100)))</f>
        <v>208.79999999999998</v>
      </c>
      <c r="AJ101" s="13">
        <f>AI101*VLOOKUP('Données projet'!$B$10,Paramètres!$A$1:$I$89,3,0)*VLOOKUP('Données projet'!$B$10,Paramètres!$A$1:$I$89,5,0)</f>
        <v>188.92223999999999</v>
      </c>
      <c r="AK101" s="13">
        <f t="shared" si="89"/>
        <v>47.301596587246017</v>
      </c>
      <c r="AL101" s="20">
        <f t="shared" si="58"/>
        <v>411.42318205612014</v>
      </c>
      <c r="AM101" s="59">
        <f t="shared" si="59"/>
        <v>704.7565153894534</v>
      </c>
      <c r="AN101" s="59">
        <f ca="1">AVERAGE(OFFSET($AM$3,0,0,'Données projet'!$E$10+1,1))-AVERAGE(OFFSET($H$3,0,0,'Données projet'!$E$10+1,1))</f>
        <v>242.89078317348179</v>
      </c>
      <c r="AO101" s="59">
        <f t="shared" si="90"/>
        <v>123.46226548411437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3.6</v>
      </c>
      <c r="BD101" s="12">
        <f>IF('Données projet'!$A$88&gt;35,BD100+BC101-BL100,IF(A101&lt;'Données projet'!$A$88,$BA$205^A101,IF(A101='Données projet'!$A$88,'Données projet'!$B$88,BD100+BC101-BL100)))</f>
        <v>208.79999999999998</v>
      </c>
      <c r="BE101" s="13">
        <f>BD101*VLOOKUP('Données projet'!$B$11,Paramètres!$A$1:$I$89,3,0)*VLOOKUP('Données projet'!$B$11,Paramètres!$A$1:$I$89,5,0)</f>
        <v>188.92223999999999</v>
      </c>
      <c r="BF101" s="13">
        <f t="shared" si="91"/>
        <v>47.301596587246017</v>
      </c>
      <c r="BG101" s="20">
        <f t="shared" si="61"/>
        <v>411.42318205612014</v>
      </c>
      <c r="BH101" s="59">
        <f t="shared" si="62"/>
        <v>704.7565153894534</v>
      </c>
      <c r="BI101" s="59">
        <f ca="1">AVERAGE(OFFSET($BH$3,0,0,'Données projet'!$E$11+1,1))-AVERAGE(OFFSET($H$3,0,0,'Données projet'!$E$11+1,1))</f>
        <v>242.89078317348179</v>
      </c>
      <c r="BJ101" s="59">
        <f t="shared" si="92"/>
        <v>123.46226548411437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194.59898508144084</v>
      </c>
      <c r="T102" s="59">
        <f t="shared" si="88"/>
        <v>237.00037875392565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5.8844491379620288E-11</v>
      </c>
      <c r="AC102" s="22">
        <f t="shared" si="57"/>
        <v>5.8844491379620288E-11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3.6</v>
      </c>
      <c r="AI102" s="13">
        <f>IF('Données projet'!$A$62&gt;35,AI101+AH102-AQ101,IF(A102&lt;'Données projet'!$A$62,$AF$205^A102,IF(A102='Données projet'!$A$62,'Données projet'!$B$62,AI101+AH102-AQ101)))</f>
        <v>212.39999999999998</v>
      </c>
      <c r="AJ102" s="13">
        <f>AI102*VLOOKUP('Données projet'!$B$10,Paramètres!$A$1:$I$89,3,0)*VLOOKUP('Données projet'!$B$10,Paramètres!$A$1:$I$89,5,0)</f>
        <v>192.17951999999997</v>
      </c>
      <c r="AK102" s="13">
        <f t="shared" si="89"/>
        <v>48.021493442275315</v>
      </c>
      <c r="AL102" s="20">
        <f t="shared" si="58"/>
        <v>418.35009841196273</v>
      </c>
      <c r="AM102" s="59">
        <f t="shared" si="59"/>
        <v>711.68343174529605</v>
      </c>
      <c r="AN102" s="59">
        <f ca="1">AVERAGE(OFFSET($AM$3,0,0,'Données projet'!$E$10+1,1))-AVERAGE(OFFSET($H$3,0,0,'Données projet'!$E$10+1,1))</f>
        <v>242.89078317348179</v>
      </c>
      <c r="AO102" s="59">
        <f t="shared" si="90"/>
        <v>123.46226548411437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3.6</v>
      </c>
      <c r="BD102" s="12">
        <f>IF('Données projet'!$A$88&gt;35,BD101+BC102-BL101,IF(A102&lt;'Données projet'!$A$88,$BA$205^A102,IF(A102='Données projet'!$A$88,'Données projet'!$B$88,BD101+BC102-BL101)))</f>
        <v>212.39999999999998</v>
      </c>
      <c r="BE102" s="13">
        <f>BD102*VLOOKUP('Données projet'!$B$11,Paramètres!$A$1:$I$89,3,0)*VLOOKUP('Données projet'!$B$11,Paramètres!$A$1:$I$89,5,0)</f>
        <v>192.17951999999997</v>
      </c>
      <c r="BF102" s="13">
        <f t="shared" si="91"/>
        <v>48.021493442275315</v>
      </c>
      <c r="BG102" s="20">
        <f t="shared" si="61"/>
        <v>418.35009841196273</v>
      </c>
      <c r="BH102" s="59">
        <f t="shared" si="62"/>
        <v>711.68343174529605</v>
      </c>
      <c r="BI102" s="59">
        <f ca="1">AVERAGE(OFFSET($BH$3,0,0,'Données projet'!$E$11+1,1))-AVERAGE(OFFSET($H$3,0,0,'Données projet'!$E$11+1,1))</f>
        <v>242.89078317348179</v>
      </c>
      <c r="BJ102" s="59">
        <f t="shared" si="92"/>
        <v>123.46226548411437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194.59898508144084</v>
      </c>
      <c r="T103" s="59">
        <f t="shared" si="88"/>
        <v>237.00037875392565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4.1609338890002846E-11</v>
      </c>
      <c r="AC103" s="22">
        <f t="shared" si="57"/>
        <v>4.1609338890002846E-11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216</v>
      </c>
      <c r="AG103" s="12">
        <f>VLOOKUP(A103,'Données projet'!$A$61:$I$81,9,0)</f>
        <v>3.6</v>
      </c>
      <c r="AH103" s="12">
        <f t="array" ref="AH103">INDEX(AG:AG,MIN(IF(ISNUMBER(AG103:AG299),ROW(AG103:AG299),"")))</f>
        <v>3.6</v>
      </c>
      <c r="AI103" s="13">
        <f>IF('Données projet'!$A$62&gt;35,AI102+AH103-AQ102,IF(A103&lt;'Données projet'!$A$62,$AF$205^A103,IF(A103='Données projet'!$A$62,'Données projet'!$B$62,AI102+AH103-AQ102)))</f>
        <v>215.99999999999997</v>
      </c>
      <c r="AJ103" s="13">
        <f>AI103*VLOOKUP('Données projet'!$B$10,Paramètres!$A$1:$I$89,3,0)*VLOOKUP('Données projet'!$B$10,Paramètres!$A$1:$I$89,5,0)</f>
        <v>195.43679999999998</v>
      </c>
      <c r="AK103" s="13">
        <f t="shared" si="89"/>
        <v>48.739971354487849</v>
      </c>
      <c r="AL103" s="20">
        <f t="shared" si="58"/>
        <v>425.27454344239959</v>
      </c>
      <c r="AM103" s="59">
        <f t="shared" si="59"/>
        <v>718.60787677573285</v>
      </c>
      <c r="AN103" s="59">
        <f ca="1">AVERAGE(OFFSET($AM$3,0,0,'Données projet'!$E$10+1,1))-AVERAGE(OFFSET($H$3,0,0,'Données projet'!$E$10+1,1))</f>
        <v>242.89078317348179</v>
      </c>
      <c r="AO103" s="59">
        <f t="shared" si="90"/>
        <v>123.46226548411437</v>
      </c>
      <c r="AP103" s="15" t="str">
        <f>IF(ISNA(VLOOKUP(A103,'Données projet'!$A$61:$I$81,3,0)),0,VLOOKUP(A103,'Données projet'!$A$61:$I$81,3,0))</f>
        <v>CR</v>
      </c>
      <c r="AQ103" s="15">
        <f>IF(ISNA(VLOOKUP(A103,'Données projet'!$A$61:$I$81,4,0)),0,VLOOKUP(A103,'Données projet'!$A$61:$I$81,4,0))</f>
        <v>216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216</v>
      </c>
      <c r="BB103" s="12">
        <f>VLOOKUP(A103,'Données projet'!$A$87:$I$107,9,0)</f>
        <v>3.6</v>
      </c>
      <c r="BC103" s="12">
        <f t="array" ref="BC103">INDEX(BB:BB,MIN(IF(ISNUMBER(BB103:BB299),ROW(BB103:BB299),"")))</f>
        <v>3.6</v>
      </c>
      <c r="BD103" s="12">
        <f>IF('Données projet'!$A$88&gt;35,BD102+BC103-BL102,IF(A103&lt;'Données projet'!$A$88,$BA$205^A103,IF(A103='Données projet'!$A$88,'Données projet'!$B$88,BD102+BC103-BL102)))</f>
        <v>215.99999999999997</v>
      </c>
      <c r="BE103" s="13">
        <f>BD103*VLOOKUP('Données projet'!$B$11,Paramètres!$A$1:$I$89,3,0)*VLOOKUP('Données projet'!$B$11,Paramètres!$A$1:$I$89,5,0)</f>
        <v>195.43679999999998</v>
      </c>
      <c r="BF103" s="13">
        <f t="shared" si="91"/>
        <v>48.739971354487849</v>
      </c>
      <c r="BG103" s="20">
        <f t="shared" si="61"/>
        <v>425.27454344239959</v>
      </c>
      <c r="BH103" s="59">
        <f t="shared" si="62"/>
        <v>718.60787677573285</v>
      </c>
      <c r="BI103" s="59">
        <f ca="1">AVERAGE(OFFSET($BH$3,0,0,'Données projet'!$E$11+1,1))-AVERAGE(OFFSET($H$3,0,0,'Données projet'!$E$11+1,1))</f>
        <v>242.89078317348179</v>
      </c>
      <c r="BJ103" s="59">
        <f t="shared" si="92"/>
        <v>123.46226548411437</v>
      </c>
      <c r="BK103" s="15">
        <f>IF(ISNA(VLOOKUP(A103,'Données projet'!$A$87:$I$107,3,0)),0,VLOOKUP(A103,'Données projet'!$A$87:$I$107,3,0))</f>
        <v>14</v>
      </c>
      <c r="BL103" s="15">
        <f>IF(ISNA(VLOOKUP(A103,'Données projet'!$A$87:$I$107,4,0)),0,VLOOKUP(A103,'Données projet'!$A$87:$I$107,4,0))</f>
        <v>216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194.59898508144084</v>
      </c>
      <c r="T104" s="59">
        <f t="shared" si="88"/>
        <v>237.00037875392565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2.9422245689810144E-11</v>
      </c>
      <c r="AC104" s="22">
        <f t="shared" si="57"/>
        <v>2.9422245689810144E-11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-2.8421709430404007E-14</v>
      </c>
      <c r="AJ104" s="13">
        <f>AI104*VLOOKUP('Données projet'!$B$10,Paramètres!$A$1:$I$89,3,0)*VLOOKUP('Données projet'!$B$10,Paramètres!$A$1:$I$89,5,0)</f>
        <v>-2.5715962692629544E-14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242.89078317348179</v>
      </c>
      <c r="AO104" s="59">
        <f t="shared" si="90"/>
        <v>123.46226548411437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-2.8421709430404007E-14</v>
      </c>
      <c r="BE104" s="13">
        <f>BD104*VLOOKUP('Données projet'!$B$11,Paramètres!$A$1:$I$89,3,0)*VLOOKUP('Données projet'!$B$11,Paramètres!$A$1:$I$89,5,0)</f>
        <v>-2.5715962692629544E-14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242.89078317348179</v>
      </c>
      <c r="BJ104" s="59">
        <f t="shared" si="92"/>
        <v>123.46226548411437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194.59898508144084</v>
      </c>
      <c r="T105" s="59">
        <f t="shared" si="88"/>
        <v>237.00037875392565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2.0804669445001423E-11</v>
      </c>
      <c r="AC105" s="22">
        <f t="shared" si="57"/>
        <v>2.0804669445001423E-11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-2.8421709430404007E-14</v>
      </c>
      <c r="AJ105" s="13">
        <f>AI105*VLOOKUP('Données projet'!$B$10,Paramètres!$A$1:$I$89,3,0)*VLOOKUP('Données projet'!$B$10,Paramètres!$A$1:$I$89,5,0)</f>
        <v>-2.5715962692629544E-14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242.89078317348179</v>
      </c>
      <c r="AO105" s="59">
        <f t="shared" si="90"/>
        <v>123.46226548411437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-2.8421709430404007E-14</v>
      </c>
      <c r="BE105" s="13">
        <f>BD105*VLOOKUP('Données projet'!$B$11,Paramètres!$A$1:$I$89,3,0)*VLOOKUP('Données projet'!$B$11,Paramètres!$A$1:$I$89,5,0)</f>
        <v>-2.5715962692629544E-14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242.89078317348179</v>
      </c>
      <c r="BJ105" s="59">
        <f t="shared" si="92"/>
        <v>123.46226548411437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194.59898508144084</v>
      </c>
      <c r="T106" s="59">
        <f t="shared" si="88"/>
        <v>237.00037875392565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1.4711122844905072E-11</v>
      </c>
      <c r="AC106" s="22">
        <f t="shared" si="57"/>
        <v>1.4711122844905072E-11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-2.8421709430404007E-14</v>
      </c>
      <c r="AJ106" s="13">
        <f>AI106*VLOOKUP('Données projet'!$B$10,Paramètres!$A$1:$I$89,3,0)*VLOOKUP('Données projet'!$B$10,Paramètres!$A$1:$I$89,5,0)</f>
        <v>-2.5715962692629544E-14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242.89078317348179</v>
      </c>
      <c r="AO106" s="59">
        <f t="shared" si="90"/>
        <v>123.46226548411437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-2.8421709430404007E-14</v>
      </c>
      <c r="BE106" s="13">
        <f>BD106*VLOOKUP('Données projet'!$B$11,Paramètres!$A$1:$I$89,3,0)*VLOOKUP('Données projet'!$B$11,Paramètres!$A$1:$I$89,5,0)</f>
        <v>-2.5715962692629544E-14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242.89078317348179</v>
      </c>
      <c r="BJ106" s="59">
        <f t="shared" si="92"/>
        <v>123.46226548411437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194.59898508144084</v>
      </c>
      <c r="T107" s="59">
        <f t="shared" si="88"/>
        <v>237.00037875392565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1.0402334722500711E-11</v>
      </c>
      <c r="AC107" s="22">
        <f t="shared" si="57"/>
        <v>1.0402334722500711E-11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-2.8421709430404007E-14</v>
      </c>
      <c r="AJ107" s="13">
        <f>AI107*VLOOKUP('Données projet'!$B$10,Paramètres!$A$1:$I$89,3,0)*VLOOKUP('Données projet'!$B$10,Paramètres!$A$1:$I$89,5,0)</f>
        <v>-2.5715962692629544E-14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242.89078317348179</v>
      </c>
      <c r="AO107" s="59">
        <f t="shared" si="90"/>
        <v>123.46226548411437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-2.8421709430404007E-14</v>
      </c>
      <c r="BE107" s="13">
        <f>BD107*VLOOKUP('Données projet'!$B$11,Paramètres!$A$1:$I$89,3,0)*VLOOKUP('Données projet'!$B$11,Paramètres!$A$1:$I$89,5,0)</f>
        <v>-2.5715962692629544E-14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242.89078317348179</v>
      </c>
      <c r="BJ107" s="59">
        <f t="shared" si="92"/>
        <v>123.46226548411437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194.59898508144084</v>
      </c>
      <c r="T108" s="59">
        <f t="shared" si="88"/>
        <v>237.00037875392565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7.355561422452536E-12</v>
      </c>
      <c r="AC108" s="22">
        <f t="shared" si="57"/>
        <v>7.355561422452536E-12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-2.8421709430404007E-14</v>
      </c>
      <c r="AJ108" s="13">
        <f>AI108*VLOOKUP('Données projet'!$B$10,Paramètres!$A$1:$I$89,3,0)*VLOOKUP('Données projet'!$B$10,Paramètres!$A$1:$I$89,5,0)</f>
        <v>-2.5715962692629544E-14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242.89078317348179</v>
      </c>
      <c r="AO108" s="59">
        <f t="shared" si="90"/>
        <v>123.46226548411437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-2.8421709430404007E-14</v>
      </c>
      <c r="BE108" s="13">
        <f>BD108*VLOOKUP('Données projet'!$B$11,Paramètres!$A$1:$I$89,3,0)*VLOOKUP('Données projet'!$B$11,Paramètres!$A$1:$I$89,5,0)</f>
        <v>-2.5715962692629544E-14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242.89078317348179</v>
      </c>
      <c r="BJ108" s="59">
        <f t="shared" si="92"/>
        <v>123.46226548411437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194.59898508144084</v>
      </c>
      <c r="T109" s="59">
        <f t="shared" si="88"/>
        <v>237.00037875392565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5.2011673612503557E-12</v>
      </c>
      <c r="AC109" s="22">
        <f t="shared" si="57"/>
        <v>5.2011673612503557E-12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-2.8421709430404007E-14</v>
      </c>
      <c r="AJ109" s="13">
        <f>AI109*VLOOKUP('Données projet'!$B$10,Paramètres!$A$1:$I$89,3,0)*VLOOKUP('Données projet'!$B$10,Paramètres!$A$1:$I$89,5,0)</f>
        <v>-2.5715962692629544E-14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242.89078317348179</v>
      </c>
      <c r="AO109" s="59">
        <f t="shared" si="90"/>
        <v>123.46226548411437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-2.8421709430404007E-14</v>
      </c>
      <c r="BE109" s="13">
        <f>BD109*VLOOKUP('Données projet'!$B$11,Paramètres!$A$1:$I$89,3,0)*VLOOKUP('Données projet'!$B$11,Paramètres!$A$1:$I$89,5,0)</f>
        <v>-2.5715962692629544E-14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242.89078317348179</v>
      </c>
      <c r="BJ109" s="59">
        <f t="shared" si="92"/>
        <v>123.46226548411437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194.59898508144084</v>
      </c>
      <c r="T110" s="59">
        <f t="shared" si="88"/>
        <v>237.00037875392565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3.677780711226268E-12</v>
      </c>
      <c r="AC110" s="22">
        <f t="shared" si="57"/>
        <v>3.677780711226268E-12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-2.8421709430404007E-14</v>
      </c>
      <c r="AJ110" s="13">
        <f>AI110*VLOOKUP('Données projet'!$B$10,Paramètres!$A$1:$I$89,3,0)*VLOOKUP('Données projet'!$B$10,Paramètres!$A$1:$I$89,5,0)</f>
        <v>-2.5715962692629544E-14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242.89078317348179</v>
      </c>
      <c r="AO110" s="59">
        <f t="shared" si="90"/>
        <v>123.46226548411437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-2.8421709430404007E-14</v>
      </c>
      <c r="BE110" s="13">
        <f>BD110*VLOOKUP('Données projet'!$B$11,Paramètres!$A$1:$I$89,3,0)*VLOOKUP('Données projet'!$B$11,Paramètres!$A$1:$I$89,5,0)</f>
        <v>-2.5715962692629544E-14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242.89078317348179</v>
      </c>
      <c r="BJ110" s="59">
        <f t="shared" si="92"/>
        <v>123.46226548411437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194.59898508144084</v>
      </c>
      <c r="T111" s="59">
        <f t="shared" si="88"/>
        <v>237.00037875392565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2.6005836806251779E-12</v>
      </c>
      <c r="AC111" s="22">
        <f t="shared" si="57"/>
        <v>2.6005836806251779E-12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-2.8421709430404007E-14</v>
      </c>
      <c r="AJ111" s="13">
        <f>AI111*VLOOKUP('Données projet'!$B$10,Paramètres!$A$1:$I$89,3,0)*VLOOKUP('Données projet'!$B$10,Paramètres!$A$1:$I$89,5,0)</f>
        <v>-2.5715962692629544E-14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242.89078317348179</v>
      </c>
      <c r="AO111" s="59">
        <f t="shared" si="90"/>
        <v>123.46226548411437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-2.8421709430404007E-14</v>
      </c>
      <c r="BE111" s="13">
        <f>BD111*VLOOKUP('Données projet'!$B$11,Paramètres!$A$1:$I$89,3,0)*VLOOKUP('Données projet'!$B$11,Paramètres!$A$1:$I$89,5,0)</f>
        <v>-2.5715962692629544E-14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242.89078317348179</v>
      </c>
      <c r="BJ111" s="59">
        <f t="shared" si="92"/>
        <v>123.46226548411437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194.59898508144084</v>
      </c>
      <c r="T112" s="59">
        <f t="shared" si="88"/>
        <v>237.00037875392565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1.838890355613134E-12</v>
      </c>
      <c r="AC112" s="22">
        <f t="shared" si="57"/>
        <v>1.838890355613134E-12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-2.8421709430404007E-14</v>
      </c>
      <c r="AJ112" s="13">
        <f>AI112*VLOOKUP('Données projet'!$B$10,Paramètres!$A$1:$I$89,3,0)*VLOOKUP('Données projet'!$B$10,Paramètres!$A$1:$I$89,5,0)</f>
        <v>-2.5715962692629544E-14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242.89078317348179</v>
      </c>
      <c r="AO112" s="59">
        <f t="shared" si="90"/>
        <v>123.46226548411437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-2.8421709430404007E-14</v>
      </c>
      <c r="BE112" s="13">
        <f>BD112*VLOOKUP('Données projet'!$B$11,Paramètres!$A$1:$I$89,3,0)*VLOOKUP('Données projet'!$B$11,Paramètres!$A$1:$I$89,5,0)</f>
        <v>-2.5715962692629544E-14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242.89078317348179</v>
      </c>
      <c r="BJ112" s="59">
        <f t="shared" si="92"/>
        <v>123.46226548411437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194.59898508144084</v>
      </c>
      <c r="T113" s="59">
        <f t="shared" si="88"/>
        <v>237.00037875392565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1.3002918403125889E-12</v>
      </c>
      <c r="AC113" s="22">
        <f t="shared" si="57"/>
        <v>1.3002918403125889E-12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-2.8421709430404007E-14</v>
      </c>
      <c r="AJ113" s="13">
        <f>AI113*VLOOKUP('Données projet'!$B$10,Paramètres!$A$1:$I$89,3,0)*VLOOKUP('Données projet'!$B$10,Paramètres!$A$1:$I$89,5,0)</f>
        <v>-2.5715962692629544E-14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242.89078317348179</v>
      </c>
      <c r="AO113" s="59">
        <f t="shared" si="90"/>
        <v>123.46226548411437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-2.8421709430404007E-14</v>
      </c>
      <c r="BE113" s="13">
        <f>BD113*VLOOKUP('Données projet'!$B$11,Paramètres!$A$1:$I$89,3,0)*VLOOKUP('Données projet'!$B$11,Paramètres!$A$1:$I$89,5,0)</f>
        <v>-2.5715962692629544E-14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242.89078317348179</v>
      </c>
      <c r="BJ113" s="59">
        <f t="shared" si="92"/>
        <v>123.46226548411437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194.59898508144084</v>
      </c>
      <c r="T114" s="59">
        <f t="shared" si="88"/>
        <v>237.00037875392565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9.19445177806567E-13</v>
      </c>
      <c r="AC114" s="22">
        <f t="shared" si="57"/>
        <v>9.19445177806567E-13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-2.8421709430404007E-14</v>
      </c>
      <c r="AJ114" s="13">
        <f>AI114*VLOOKUP('Données projet'!$B$10,Paramètres!$A$1:$I$89,3,0)*VLOOKUP('Données projet'!$B$10,Paramètres!$A$1:$I$89,5,0)</f>
        <v>-2.5715962692629544E-14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242.89078317348179</v>
      </c>
      <c r="AO114" s="59">
        <f t="shared" si="90"/>
        <v>123.46226548411437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-2.8421709430404007E-14</v>
      </c>
      <c r="BE114" s="13">
        <f>BD114*VLOOKUP('Données projet'!$B$11,Paramètres!$A$1:$I$89,3,0)*VLOOKUP('Données projet'!$B$11,Paramètres!$A$1:$I$89,5,0)</f>
        <v>-2.5715962692629544E-14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242.89078317348179</v>
      </c>
      <c r="BJ114" s="59">
        <f t="shared" si="92"/>
        <v>123.46226548411437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194.59898508144084</v>
      </c>
      <c r="T115" s="59">
        <f t="shared" si="88"/>
        <v>237.00037875392565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6.5014592015629446E-13</v>
      </c>
      <c r="AC115" s="22">
        <f t="shared" si="57"/>
        <v>6.5014592015629446E-13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-2.8421709430404007E-14</v>
      </c>
      <c r="AJ115" s="13">
        <f>AI115*VLOOKUP('Données projet'!$B$10,Paramètres!$A$1:$I$89,3,0)*VLOOKUP('Données projet'!$B$10,Paramètres!$A$1:$I$89,5,0)</f>
        <v>-2.5715962692629544E-14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242.89078317348179</v>
      </c>
      <c r="AO115" s="59">
        <f t="shared" si="90"/>
        <v>123.46226548411437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-2.8421709430404007E-14</v>
      </c>
      <c r="BE115" s="13">
        <f>BD115*VLOOKUP('Données projet'!$B$11,Paramètres!$A$1:$I$89,3,0)*VLOOKUP('Données projet'!$B$11,Paramètres!$A$1:$I$89,5,0)</f>
        <v>-2.5715962692629544E-14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242.89078317348179</v>
      </c>
      <c r="BJ115" s="59">
        <f t="shared" si="92"/>
        <v>123.46226548411437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194.59898508144084</v>
      </c>
      <c r="T116" s="59">
        <f t="shared" si="88"/>
        <v>237.00037875392565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4.597225889032835E-13</v>
      </c>
      <c r="AC116" s="22">
        <f t="shared" si="57"/>
        <v>4.597225889032835E-13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-2.8421709430404007E-14</v>
      </c>
      <c r="AJ116" s="13">
        <f>AI116*VLOOKUP('Données projet'!$B$10,Paramètres!$A$1:$I$89,3,0)*VLOOKUP('Données projet'!$B$10,Paramètres!$A$1:$I$89,5,0)</f>
        <v>-2.5715962692629544E-14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242.89078317348179</v>
      </c>
      <c r="AO116" s="59">
        <f t="shared" si="90"/>
        <v>123.46226548411437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-2.8421709430404007E-14</v>
      </c>
      <c r="BE116" s="13">
        <f>BD116*VLOOKUP('Données projet'!$B$11,Paramètres!$A$1:$I$89,3,0)*VLOOKUP('Données projet'!$B$11,Paramètres!$A$1:$I$89,5,0)</f>
        <v>-2.5715962692629544E-14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242.89078317348179</v>
      </c>
      <c r="BJ116" s="59">
        <f t="shared" si="92"/>
        <v>123.46226548411437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194.59898508144084</v>
      </c>
      <c r="T117" s="59">
        <f t="shared" si="88"/>
        <v>237.00037875392565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3.2507296007814723E-13</v>
      </c>
      <c r="AC117" s="22">
        <f t="shared" si="57"/>
        <v>3.2507296007814723E-13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-2.8421709430404007E-14</v>
      </c>
      <c r="AJ117" s="13">
        <f>AI117*VLOOKUP('Données projet'!$B$10,Paramètres!$A$1:$I$89,3,0)*VLOOKUP('Données projet'!$B$10,Paramètres!$A$1:$I$89,5,0)</f>
        <v>-2.5715962692629544E-14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242.89078317348179</v>
      </c>
      <c r="AO117" s="59">
        <f t="shared" si="90"/>
        <v>123.46226548411437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-2.8421709430404007E-14</v>
      </c>
      <c r="BE117" s="13">
        <f>BD117*VLOOKUP('Données projet'!$B$11,Paramètres!$A$1:$I$89,3,0)*VLOOKUP('Données projet'!$B$11,Paramètres!$A$1:$I$89,5,0)</f>
        <v>-2.5715962692629544E-14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242.89078317348179</v>
      </c>
      <c r="BJ117" s="59">
        <f t="shared" si="92"/>
        <v>123.46226548411437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194.59898508144084</v>
      </c>
      <c r="T118" s="59">
        <f t="shared" si="88"/>
        <v>237.00037875392565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2.2986129445164175E-13</v>
      </c>
      <c r="AC118" s="22">
        <f t="shared" si="57"/>
        <v>2.2986129445164175E-13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-2.8421709430404007E-14</v>
      </c>
      <c r="AJ118" s="13">
        <f>AI118*VLOOKUP('Données projet'!$B$10,Paramètres!$A$1:$I$89,3,0)*VLOOKUP('Données projet'!$B$10,Paramètres!$A$1:$I$89,5,0)</f>
        <v>-2.5715962692629544E-14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242.89078317348179</v>
      </c>
      <c r="AO118" s="59">
        <f t="shared" si="90"/>
        <v>123.46226548411437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-2.8421709430404007E-14</v>
      </c>
      <c r="BE118" s="13">
        <f>BD118*VLOOKUP('Données projet'!$B$11,Paramètres!$A$1:$I$89,3,0)*VLOOKUP('Données projet'!$B$11,Paramètres!$A$1:$I$89,5,0)</f>
        <v>-2.5715962692629544E-14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242.89078317348179</v>
      </c>
      <c r="BJ118" s="59">
        <f t="shared" si="92"/>
        <v>123.46226548411437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194.59898508144084</v>
      </c>
      <c r="T119" s="59">
        <f t="shared" si="88"/>
        <v>237.00037875392565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1.6253648003907362E-13</v>
      </c>
      <c r="AC119" s="22">
        <f t="shared" si="57"/>
        <v>1.6253648003907362E-13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-2.8421709430404007E-14</v>
      </c>
      <c r="AJ119" s="13">
        <f>AI119*VLOOKUP('Données projet'!$B$10,Paramètres!$A$1:$I$89,3,0)*VLOOKUP('Données projet'!$B$10,Paramètres!$A$1:$I$89,5,0)</f>
        <v>-2.5715962692629544E-14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242.89078317348179</v>
      </c>
      <c r="AO119" s="59">
        <f t="shared" si="90"/>
        <v>123.46226548411437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-2.8421709430404007E-14</v>
      </c>
      <c r="BE119" s="13">
        <f>BD119*VLOOKUP('Données projet'!$B$11,Paramètres!$A$1:$I$89,3,0)*VLOOKUP('Données projet'!$B$11,Paramètres!$A$1:$I$89,5,0)</f>
        <v>-2.5715962692629544E-14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242.89078317348179</v>
      </c>
      <c r="BJ119" s="59">
        <f t="shared" si="92"/>
        <v>123.46226548411437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194.59898508144084</v>
      </c>
      <c r="T120" s="59">
        <f t="shared" si="88"/>
        <v>237.00037875392565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1.1493064722582087E-13</v>
      </c>
      <c r="AC120" s="22">
        <f t="shared" si="57"/>
        <v>1.1493064722582087E-13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-2.8421709430404007E-14</v>
      </c>
      <c r="AJ120" s="13">
        <f>AI120*VLOOKUP('Données projet'!$B$10,Paramètres!$A$1:$I$89,3,0)*VLOOKUP('Données projet'!$B$10,Paramètres!$A$1:$I$89,5,0)</f>
        <v>-2.5715962692629544E-14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242.89078317348179</v>
      </c>
      <c r="AO120" s="59">
        <f t="shared" si="90"/>
        <v>123.46226548411437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-2.8421709430404007E-14</v>
      </c>
      <c r="BE120" s="13">
        <f>BD120*VLOOKUP('Données projet'!$B$11,Paramètres!$A$1:$I$89,3,0)*VLOOKUP('Données projet'!$B$11,Paramètres!$A$1:$I$89,5,0)</f>
        <v>-2.5715962692629544E-14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242.89078317348179</v>
      </c>
      <c r="BJ120" s="59">
        <f t="shared" si="92"/>
        <v>123.46226548411437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194.59898508144084</v>
      </c>
      <c r="T121" s="59">
        <f t="shared" si="88"/>
        <v>237.00037875392565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8.1268240019536808E-14</v>
      </c>
      <c r="AC121" s="22">
        <f t="shared" si="57"/>
        <v>8.1268240019536808E-14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-2.8421709430404007E-14</v>
      </c>
      <c r="AJ121" s="13">
        <f>AI121*VLOOKUP('Données projet'!$B$10,Paramètres!$A$1:$I$89,3,0)*VLOOKUP('Données projet'!$B$10,Paramètres!$A$1:$I$89,5,0)</f>
        <v>-2.5715962692629544E-14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242.89078317348179</v>
      </c>
      <c r="AO121" s="59">
        <f t="shared" si="90"/>
        <v>123.46226548411437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-2.8421709430404007E-14</v>
      </c>
      <c r="BE121" s="13">
        <f>BD121*VLOOKUP('Données projet'!$B$11,Paramètres!$A$1:$I$89,3,0)*VLOOKUP('Données projet'!$B$11,Paramètres!$A$1:$I$89,5,0)</f>
        <v>-2.5715962692629544E-14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242.89078317348179</v>
      </c>
      <c r="BJ121" s="59">
        <f t="shared" si="92"/>
        <v>123.46226548411437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194.59898508144084</v>
      </c>
      <c r="T122" s="59">
        <f t="shared" si="88"/>
        <v>237.00037875392565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5.7465323612910437E-14</v>
      </c>
      <c r="AC122" s="22">
        <f t="shared" si="57"/>
        <v>5.7465323612910437E-14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-2.8421709430404007E-14</v>
      </c>
      <c r="AJ122" s="13">
        <f>AI122*VLOOKUP('Données projet'!$B$10,Paramètres!$A$1:$I$89,3,0)*VLOOKUP('Données projet'!$B$10,Paramètres!$A$1:$I$89,5,0)</f>
        <v>-2.5715962692629544E-14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242.89078317348179</v>
      </c>
      <c r="AO122" s="59">
        <f t="shared" si="90"/>
        <v>123.46226548411437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-2.8421709430404007E-14</v>
      </c>
      <c r="BE122" s="13">
        <f>BD122*VLOOKUP('Données projet'!$B$11,Paramètres!$A$1:$I$89,3,0)*VLOOKUP('Données projet'!$B$11,Paramètres!$A$1:$I$89,5,0)</f>
        <v>-2.5715962692629544E-14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242.89078317348179</v>
      </c>
      <c r="BJ122" s="59">
        <f t="shared" si="92"/>
        <v>123.46226548411437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194.59898508144084</v>
      </c>
      <c r="T123" s="59">
        <f t="shared" si="88"/>
        <v>237.00037875392565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4.0634120009768404E-14</v>
      </c>
      <c r="AC123" s="22">
        <f t="shared" si="57"/>
        <v>4.0634120009768404E-14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-2.8421709430404007E-14</v>
      </c>
      <c r="AJ123" s="13">
        <f>AI123*VLOOKUP('Données projet'!$B$10,Paramètres!$A$1:$I$89,3,0)*VLOOKUP('Données projet'!$B$10,Paramètres!$A$1:$I$89,5,0)</f>
        <v>-2.5715962692629544E-14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242.89078317348179</v>
      </c>
      <c r="AO123" s="59">
        <f t="shared" si="90"/>
        <v>123.46226548411437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-2.8421709430404007E-14</v>
      </c>
      <c r="BE123" s="13">
        <f>BD123*VLOOKUP('Données projet'!$B$11,Paramètres!$A$1:$I$89,3,0)*VLOOKUP('Données projet'!$B$11,Paramètres!$A$1:$I$89,5,0)</f>
        <v>-2.5715962692629544E-14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242.89078317348179</v>
      </c>
      <c r="BJ123" s="59">
        <f t="shared" si="92"/>
        <v>123.46226548411437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194.59898508144084</v>
      </c>
      <c r="T124" s="59">
        <f t="shared" si="88"/>
        <v>237.00037875392565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2.8732661806455219E-14</v>
      </c>
      <c r="AC124" s="22">
        <f t="shared" si="57"/>
        <v>2.8732661806455219E-14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-2.8421709430404007E-14</v>
      </c>
      <c r="AJ124" s="13">
        <f>AI124*VLOOKUP('Données projet'!$B$10,Paramètres!$A$1:$I$89,3,0)*VLOOKUP('Données projet'!$B$10,Paramètres!$A$1:$I$89,5,0)</f>
        <v>-2.5715962692629544E-14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242.89078317348179</v>
      </c>
      <c r="AO124" s="59">
        <f t="shared" si="90"/>
        <v>123.46226548411437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-2.8421709430404007E-14</v>
      </c>
      <c r="BE124" s="13">
        <f>BD124*VLOOKUP('Données projet'!$B$11,Paramètres!$A$1:$I$89,3,0)*VLOOKUP('Données projet'!$B$11,Paramètres!$A$1:$I$89,5,0)</f>
        <v>-2.5715962692629544E-14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242.89078317348179</v>
      </c>
      <c r="BJ124" s="59">
        <f t="shared" si="92"/>
        <v>123.46226548411437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194.59898508144084</v>
      </c>
      <c r="T125" s="59">
        <f t="shared" si="88"/>
        <v>237.00037875392565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2.0317060004884202E-14</v>
      </c>
      <c r="AC125" s="22">
        <f t="shared" si="57"/>
        <v>2.0317060004884202E-14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-2.8421709430404007E-14</v>
      </c>
      <c r="AJ125" s="13">
        <f>AI125*VLOOKUP('Données projet'!$B$10,Paramètres!$A$1:$I$89,3,0)*VLOOKUP('Données projet'!$B$10,Paramètres!$A$1:$I$89,5,0)</f>
        <v>-2.5715962692629544E-14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242.89078317348179</v>
      </c>
      <c r="AO125" s="59">
        <f t="shared" si="90"/>
        <v>123.46226548411437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-2.8421709430404007E-14</v>
      </c>
      <c r="BE125" s="13">
        <f>BD125*VLOOKUP('Données projet'!$B$11,Paramètres!$A$1:$I$89,3,0)*VLOOKUP('Données projet'!$B$11,Paramètres!$A$1:$I$89,5,0)</f>
        <v>-2.5715962692629544E-14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242.89078317348179</v>
      </c>
      <c r="BJ125" s="59">
        <f t="shared" si="92"/>
        <v>123.46226548411437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194.59898508144084</v>
      </c>
      <c r="T126" s="59">
        <f t="shared" si="88"/>
        <v>237.00037875392565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1.4366330903227609E-14</v>
      </c>
      <c r="AC126" s="22">
        <f t="shared" si="57"/>
        <v>1.4366330903227609E-14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-2.8421709430404007E-14</v>
      </c>
      <c r="AJ126" s="13">
        <f>AI126*VLOOKUP('Données projet'!$B$10,Paramètres!$A$1:$I$89,3,0)*VLOOKUP('Données projet'!$B$10,Paramètres!$A$1:$I$89,5,0)</f>
        <v>-2.5715962692629544E-14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242.89078317348179</v>
      </c>
      <c r="AO126" s="59">
        <f t="shared" si="90"/>
        <v>123.46226548411437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-2.8421709430404007E-14</v>
      </c>
      <c r="BE126" s="13">
        <f>BD126*VLOOKUP('Données projet'!$B$11,Paramètres!$A$1:$I$89,3,0)*VLOOKUP('Données projet'!$B$11,Paramètres!$A$1:$I$89,5,0)</f>
        <v>-2.5715962692629544E-14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242.89078317348179</v>
      </c>
      <c r="BJ126" s="59">
        <f t="shared" si="92"/>
        <v>123.46226548411437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194.59898508144084</v>
      </c>
      <c r="T127" s="59">
        <f t="shared" si="88"/>
        <v>237.00037875392565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1.0158530002442101E-14</v>
      </c>
      <c r="AC127" s="22">
        <f t="shared" si="57"/>
        <v>1.0158530002442101E-14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-2.8421709430404007E-14</v>
      </c>
      <c r="AJ127" s="13">
        <f>AI127*VLOOKUP('Données projet'!$B$10,Paramètres!$A$1:$I$89,3,0)*VLOOKUP('Données projet'!$B$10,Paramètres!$A$1:$I$89,5,0)</f>
        <v>-2.5715962692629544E-14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242.89078317348179</v>
      </c>
      <c r="AO127" s="59">
        <f t="shared" si="90"/>
        <v>123.46226548411437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-2.8421709430404007E-14</v>
      </c>
      <c r="BE127" s="13">
        <f>BD127*VLOOKUP('Données projet'!$B$11,Paramètres!$A$1:$I$89,3,0)*VLOOKUP('Données projet'!$B$11,Paramètres!$A$1:$I$89,5,0)</f>
        <v>-2.5715962692629544E-14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242.89078317348179</v>
      </c>
      <c r="BJ127" s="59">
        <f t="shared" si="92"/>
        <v>123.46226548411437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194.59898508144084</v>
      </c>
      <c r="T128" s="59">
        <f t="shared" si="88"/>
        <v>237.00037875392565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7.1831654516138047E-15</v>
      </c>
      <c r="AC128" s="22">
        <f t="shared" si="57"/>
        <v>7.1831654516138047E-15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-2.8421709430404007E-14</v>
      </c>
      <c r="AJ128" s="13">
        <f>AI128*VLOOKUP('Données projet'!$B$10,Paramètres!$A$1:$I$89,3,0)*VLOOKUP('Données projet'!$B$10,Paramètres!$A$1:$I$89,5,0)</f>
        <v>-2.5715962692629544E-14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242.89078317348179</v>
      </c>
      <c r="AO128" s="59">
        <f t="shared" si="90"/>
        <v>123.46226548411437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-2.8421709430404007E-14</v>
      </c>
      <c r="BE128" s="13">
        <f>BD128*VLOOKUP('Données projet'!$B$11,Paramètres!$A$1:$I$89,3,0)*VLOOKUP('Données projet'!$B$11,Paramètres!$A$1:$I$89,5,0)</f>
        <v>-2.5715962692629544E-14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242.89078317348179</v>
      </c>
      <c r="BJ128" s="59">
        <f t="shared" si="92"/>
        <v>123.46226548411437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194.59898508144084</v>
      </c>
      <c r="T129" s="59">
        <f t="shared" si="88"/>
        <v>237.00037875392565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5.0792650012210505E-15</v>
      </c>
      <c r="AC129" s="22">
        <f t="shared" si="57"/>
        <v>5.0792650012210505E-15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-2.8421709430404007E-14</v>
      </c>
      <c r="AJ129" s="13">
        <f>AI129*VLOOKUP('Données projet'!$B$10,Paramètres!$A$1:$I$89,3,0)*VLOOKUP('Données projet'!$B$10,Paramètres!$A$1:$I$89,5,0)</f>
        <v>-2.5715962692629544E-14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242.89078317348179</v>
      </c>
      <c r="AO129" s="59">
        <f t="shared" si="90"/>
        <v>123.46226548411437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-2.8421709430404007E-14</v>
      </c>
      <c r="BE129" s="13">
        <f>BD129*VLOOKUP('Données projet'!$B$11,Paramètres!$A$1:$I$89,3,0)*VLOOKUP('Données projet'!$B$11,Paramètres!$A$1:$I$89,5,0)</f>
        <v>-2.5715962692629544E-14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242.89078317348179</v>
      </c>
      <c r="BJ129" s="59">
        <f t="shared" si="92"/>
        <v>123.46226548411437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194.59898508144084</v>
      </c>
      <c r="T130" s="59">
        <f t="shared" si="88"/>
        <v>237.00037875392565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3.5915827258069023E-15</v>
      </c>
      <c r="AC130" s="22">
        <f t="shared" si="57"/>
        <v>3.5915827258069023E-15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-2.8421709430404007E-14</v>
      </c>
      <c r="AJ130" s="13">
        <f>AI130*VLOOKUP('Données projet'!$B$10,Paramètres!$A$1:$I$89,3,0)*VLOOKUP('Données projet'!$B$10,Paramètres!$A$1:$I$89,5,0)</f>
        <v>-2.5715962692629544E-14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242.89078317348179</v>
      </c>
      <c r="AO130" s="59">
        <f t="shared" si="90"/>
        <v>123.46226548411437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-2.8421709430404007E-14</v>
      </c>
      <c r="BE130" s="13">
        <f>BD130*VLOOKUP('Données projet'!$B$11,Paramètres!$A$1:$I$89,3,0)*VLOOKUP('Données projet'!$B$11,Paramètres!$A$1:$I$89,5,0)</f>
        <v>-2.5715962692629544E-14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242.89078317348179</v>
      </c>
      <c r="BJ130" s="59">
        <f t="shared" si="92"/>
        <v>123.46226548411437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194.59898508144084</v>
      </c>
      <c r="T131" s="59">
        <f t="shared" si="88"/>
        <v>237.00037875392565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2.5396325006105252E-15</v>
      </c>
      <c r="AC131" s="22">
        <f t="shared" si="57"/>
        <v>2.5396325006105252E-15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-2.8421709430404007E-14</v>
      </c>
      <c r="AJ131" s="13">
        <f>AI131*VLOOKUP('Données projet'!$B$10,Paramètres!$A$1:$I$89,3,0)*VLOOKUP('Données projet'!$B$10,Paramètres!$A$1:$I$89,5,0)</f>
        <v>-2.5715962692629544E-14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242.89078317348179</v>
      </c>
      <c r="AO131" s="59">
        <f t="shared" si="90"/>
        <v>123.46226548411437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-2.8421709430404007E-14</v>
      </c>
      <c r="BE131" s="13">
        <f>BD131*VLOOKUP('Données projet'!$B$11,Paramètres!$A$1:$I$89,3,0)*VLOOKUP('Données projet'!$B$11,Paramètres!$A$1:$I$89,5,0)</f>
        <v>-2.5715962692629544E-14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242.89078317348179</v>
      </c>
      <c r="BJ131" s="59">
        <f t="shared" si="92"/>
        <v>123.46226548411437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194.59898508144084</v>
      </c>
      <c r="T132" s="59">
        <f t="shared" si="88"/>
        <v>237.00037875392565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1.7957913629034512E-15</v>
      </c>
      <c r="AC132" s="22">
        <f t="shared" ref="AC132:AC153" si="111">SUM(Z132:AB132)</f>
        <v>1.7957913629034512E-15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-2.8421709430404007E-14</v>
      </c>
      <c r="AJ132" s="13">
        <f>AI132*VLOOKUP('Données projet'!$B$10,Paramètres!$A$1:$I$89,3,0)*VLOOKUP('Données projet'!$B$10,Paramètres!$A$1:$I$89,5,0)</f>
        <v>-2.5715962692629544E-14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242.89078317348179</v>
      </c>
      <c r="AO132" s="59">
        <f t="shared" si="90"/>
        <v>123.46226548411437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-2.8421709430404007E-14</v>
      </c>
      <c r="BE132" s="13">
        <f>BD132*VLOOKUP('Données projet'!$B$11,Paramètres!$A$1:$I$89,3,0)*VLOOKUP('Données projet'!$B$11,Paramètres!$A$1:$I$89,5,0)</f>
        <v>-2.5715962692629544E-14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242.89078317348179</v>
      </c>
      <c r="BJ132" s="59">
        <f t="shared" si="92"/>
        <v>123.46226548411437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194.59898508144084</v>
      </c>
      <c r="T133" s="59">
        <f t="shared" ref="T133:T196" si="142">$T$3</f>
        <v>237.00037875392565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1.2698162503052626E-15</v>
      </c>
      <c r="AC133" s="22">
        <f t="shared" si="111"/>
        <v>1.2698162503052626E-15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-2.8421709430404007E-14</v>
      </c>
      <c r="AJ133" s="13">
        <f>AI133*VLOOKUP('Données projet'!$B$10,Paramètres!$A$1:$I$89,3,0)*VLOOKUP('Données projet'!$B$10,Paramètres!$A$1:$I$89,5,0)</f>
        <v>-2.5715962692629544E-14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242.89078317348179</v>
      </c>
      <c r="AO133" s="59">
        <f t="shared" ref="AO133:AO196" si="144">$AO$3</f>
        <v>123.46226548411437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-2.8421709430404007E-14</v>
      </c>
      <c r="BE133" s="13">
        <f>BD133*VLOOKUP('Données projet'!$B$11,Paramètres!$A$1:$I$89,3,0)*VLOOKUP('Données projet'!$B$11,Paramètres!$A$1:$I$89,5,0)</f>
        <v>-2.5715962692629544E-14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242.89078317348179</v>
      </c>
      <c r="BJ133" s="59">
        <f t="shared" ref="BJ133:BJ196" si="146">$BJ$3</f>
        <v>123.46226548411437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194.59898508144084</v>
      </c>
      <c r="T134" s="59">
        <f t="shared" si="142"/>
        <v>237.00037875392565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8.9789568145172558E-16</v>
      </c>
      <c r="AC134" s="22">
        <f t="shared" si="111"/>
        <v>8.9789568145172558E-16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-2.8421709430404007E-14</v>
      </c>
      <c r="AJ134" s="13">
        <f>AI134*VLOOKUP('Données projet'!$B$10,Paramètres!$A$1:$I$89,3,0)*VLOOKUP('Données projet'!$B$10,Paramètres!$A$1:$I$89,5,0)</f>
        <v>-2.5715962692629544E-14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242.89078317348179</v>
      </c>
      <c r="AO134" s="59">
        <f t="shared" si="144"/>
        <v>123.46226548411437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-2.8421709430404007E-14</v>
      </c>
      <c r="BE134" s="13">
        <f>BD134*VLOOKUP('Données projet'!$B$11,Paramètres!$A$1:$I$89,3,0)*VLOOKUP('Données projet'!$B$11,Paramètres!$A$1:$I$89,5,0)</f>
        <v>-2.5715962692629544E-14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242.89078317348179</v>
      </c>
      <c r="BJ134" s="59">
        <f t="shared" si="146"/>
        <v>123.46226548411437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194.59898508144084</v>
      </c>
      <c r="T135" s="59">
        <f t="shared" si="142"/>
        <v>237.00037875392565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6.3490812515263131E-16</v>
      </c>
      <c r="AC135" s="22">
        <f t="shared" si="111"/>
        <v>6.3490812515263131E-16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-2.8421709430404007E-14</v>
      </c>
      <c r="AJ135" s="13">
        <f>AI135*VLOOKUP('Données projet'!$B$10,Paramètres!$A$1:$I$89,3,0)*VLOOKUP('Données projet'!$B$10,Paramètres!$A$1:$I$89,5,0)</f>
        <v>-2.5715962692629544E-14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242.89078317348179</v>
      </c>
      <c r="AO135" s="59">
        <f t="shared" si="144"/>
        <v>123.46226548411437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-2.8421709430404007E-14</v>
      </c>
      <c r="BE135" s="13">
        <f>BD135*VLOOKUP('Données projet'!$B$11,Paramètres!$A$1:$I$89,3,0)*VLOOKUP('Données projet'!$B$11,Paramètres!$A$1:$I$89,5,0)</f>
        <v>-2.5715962692629544E-14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242.89078317348179</v>
      </c>
      <c r="BJ135" s="59">
        <f t="shared" si="146"/>
        <v>123.46226548411437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194.59898508144084</v>
      </c>
      <c r="T136" s="59">
        <f t="shared" si="142"/>
        <v>237.00037875392565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4.4894784072586279E-16</v>
      </c>
      <c r="AC136" s="22">
        <f t="shared" si="111"/>
        <v>4.4894784072586279E-16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-2.8421709430404007E-14</v>
      </c>
      <c r="AJ136" s="13">
        <f>AI136*VLOOKUP('Données projet'!$B$10,Paramètres!$A$1:$I$89,3,0)*VLOOKUP('Données projet'!$B$10,Paramètres!$A$1:$I$89,5,0)</f>
        <v>-2.5715962692629544E-14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242.89078317348179</v>
      </c>
      <c r="AO136" s="59">
        <f t="shared" si="144"/>
        <v>123.46226548411437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-2.8421709430404007E-14</v>
      </c>
      <c r="BE136" s="13">
        <f>BD136*VLOOKUP('Données projet'!$B$11,Paramètres!$A$1:$I$89,3,0)*VLOOKUP('Données projet'!$B$11,Paramètres!$A$1:$I$89,5,0)</f>
        <v>-2.5715962692629544E-14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242.89078317348179</v>
      </c>
      <c r="BJ136" s="59">
        <f t="shared" si="146"/>
        <v>123.46226548411437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194.59898508144084</v>
      </c>
      <c r="T137" s="59">
        <f t="shared" si="142"/>
        <v>237.00037875392565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3.1745406257631566E-16</v>
      </c>
      <c r="AC137" s="22">
        <f t="shared" si="111"/>
        <v>3.1745406257631566E-16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-2.8421709430404007E-14</v>
      </c>
      <c r="AJ137" s="13">
        <f>AI137*VLOOKUP('Données projet'!$B$10,Paramètres!$A$1:$I$89,3,0)*VLOOKUP('Données projet'!$B$10,Paramètres!$A$1:$I$89,5,0)</f>
        <v>-2.5715962692629544E-14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242.89078317348179</v>
      </c>
      <c r="AO137" s="59">
        <f t="shared" si="144"/>
        <v>123.46226548411437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-2.8421709430404007E-14</v>
      </c>
      <c r="BE137" s="13">
        <f>BD137*VLOOKUP('Données projet'!$B$11,Paramètres!$A$1:$I$89,3,0)*VLOOKUP('Données projet'!$B$11,Paramètres!$A$1:$I$89,5,0)</f>
        <v>-2.5715962692629544E-14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242.89078317348179</v>
      </c>
      <c r="BJ137" s="59">
        <f t="shared" si="146"/>
        <v>123.46226548411437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194.59898508144084</v>
      </c>
      <c r="T138" s="59">
        <f t="shared" si="142"/>
        <v>237.00037875392565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2.244739203629314E-16</v>
      </c>
      <c r="AC138" s="22">
        <f t="shared" si="111"/>
        <v>2.244739203629314E-16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-2.8421709430404007E-14</v>
      </c>
      <c r="AJ138" s="13">
        <f>AI138*VLOOKUP('Données projet'!$B$10,Paramètres!$A$1:$I$89,3,0)*VLOOKUP('Données projet'!$B$10,Paramètres!$A$1:$I$89,5,0)</f>
        <v>-2.5715962692629544E-14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242.89078317348179</v>
      </c>
      <c r="AO138" s="59">
        <f t="shared" si="144"/>
        <v>123.46226548411437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-2.8421709430404007E-14</v>
      </c>
      <c r="BE138" s="13">
        <f>BD138*VLOOKUP('Données projet'!$B$11,Paramètres!$A$1:$I$89,3,0)*VLOOKUP('Données projet'!$B$11,Paramètres!$A$1:$I$89,5,0)</f>
        <v>-2.5715962692629544E-14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242.89078317348179</v>
      </c>
      <c r="BJ138" s="59">
        <f t="shared" si="146"/>
        <v>123.46226548411437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194.59898508144084</v>
      </c>
      <c r="T139" s="59">
        <f t="shared" si="142"/>
        <v>237.00037875392565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1.5872703128815783E-16</v>
      </c>
      <c r="AC139" s="22">
        <f t="shared" si="111"/>
        <v>1.5872703128815783E-16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-2.8421709430404007E-14</v>
      </c>
      <c r="AJ139" s="13">
        <f>AI139*VLOOKUP('Données projet'!$B$10,Paramètres!$A$1:$I$89,3,0)*VLOOKUP('Données projet'!$B$10,Paramètres!$A$1:$I$89,5,0)</f>
        <v>-2.5715962692629544E-14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242.89078317348179</v>
      </c>
      <c r="AO139" s="59">
        <f t="shared" si="144"/>
        <v>123.46226548411437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-2.8421709430404007E-14</v>
      </c>
      <c r="BE139" s="13">
        <f>BD139*VLOOKUP('Données projet'!$B$11,Paramètres!$A$1:$I$89,3,0)*VLOOKUP('Données projet'!$B$11,Paramètres!$A$1:$I$89,5,0)</f>
        <v>-2.5715962692629544E-14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242.89078317348179</v>
      </c>
      <c r="BJ139" s="59">
        <f t="shared" si="146"/>
        <v>123.46226548411437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194.59898508144084</v>
      </c>
      <c r="T140" s="59">
        <f t="shared" si="142"/>
        <v>237.00037875392565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1.122369601814657E-16</v>
      </c>
      <c r="AC140" s="22">
        <f t="shared" si="111"/>
        <v>1.122369601814657E-16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-2.8421709430404007E-14</v>
      </c>
      <c r="AJ140" s="13">
        <f>AI140*VLOOKUP('Données projet'!$B$10,Paramètres!$A$1:$I$89,3,0)*VLOOKUP('Données projet'!$B$10,Paramètres!$A$1:$I$89,5,0)</f>
        <v>-2.5715962692629544E-14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242.89078317348179</v>
      </c>
      <c r="AO140" s="59">
        <f t="shared" si="144"/>
        <v>123.46226548411437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-2.8421709430404007E-14</v>
      </c>
      <c r="BE140" s="13">
        <f>BD140*VLOOKUP('Données projet'!$B$11,Paramètres!$A$1:$I$89,3,0)*VLOOKUP('Données projet'!$B$11,Paramètres!$A$1:$I$89,5,0)</f>
        <v>-2.5715962692629544E-14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242.89078317348179</v>
      </c>
      <c r="BJ140" s="59">
        <f t="shared" si="146"/>
        <v>123.46226548411437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194.59898508144084</v>
      </c>
      <c r="T141" s="59">
        <f t="shared" si="142"/>
        <v>237.00037875392565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7.9363515644078914E-17</v>
      </c>
      <c r="AC141" s="22">
        <f t="shared" si="111"/>
        <v>7.9363515644078914E-17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-2.8421709430404007E-14</v>
      </c>
      <c r="AJ141" s="13">
        <f>AI141*VLOOKUP('Données projet'!$B$10,Paramètres!$A$1:$I$89,3,0)*VLOOKUP('Données projet'!$B$10,Paramètres!$A$1:$I$89,5,0)</f>
        <v>-2.5715962692629544E-14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242.89078317348179</v>
      </c>
      <c r="AO141" s="59">
        <f t="shared" si="144"/>
        <v>123.46226548411437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-2.8421709430404007E-14</v>
      </c>
      <c r="BE141" s="13">
        <f>BD141*VLOOKUP('Données projet'!$B$11,Paramètres!$A$1:$I$89,3,0)*VLOOKUP('Données projet'!$B$11,Paramètres!$A$1:$I$89,5,0)</f>
        <v>-2.5715962692629544E-14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242.89078317348179</v>
      </c>
      <c r="BJ141" s="59">
        <f t="shared" si="146"/>
        <v>123.46226548411437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194.59898508144084</v>
      </c>
      <c r="T142" s="59">
        <f t="shared" si="142"/>
        <v>237.00037875392565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5.6118480090732849E-17</v>
      </c>
      <c r="AC142" s="22">
        <f t="shared" si="111"/>
        <v>5.6118480090732849E-17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-2.8421709430404007E-14</v>
      </c>
      <c r="AJ142" s="13">
        <f>AI142*VLOOKUP('Données projet'!$B$10,Paramètres!$A$1:$I$89,3,0)*VLOOKUP('Données projet'!$B$10,Paramètres!$A$1:$I$89,5,0)</f>
        <v>-2.5715962692629544E-14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242.89078317348179</v>
      </c>
      <c r="AO142" s="59">
        <f t="shared" si="144"/>
        <v>123.46226548411437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-2.8421709430404007E-14</v>
      </c>
      <c r="BE142" s="13">
        <f>BD142*VLOOKUP('Données projet'!$B$11,Paramètres!$A$1:$I$89,3,0)*VLOOKUP('Données projet'!$B$11,Paramètres!$A$1:$I$89,5,0)</f>
        <v>-2.5715962692629544E-14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242.89078317348179</v>
      </c>
      <c r="BJ142" s="59">
        <f t="shared" si="146"/>
        <v>123.46226548411437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194.59898508144084</v>
      </c>
      <c r="T143" s="59">
        <f t="shared" si="142"/>
        <v>237.00037875392565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3.9681757822039457E-17</v>
      </c>
      <c r="AC143" s="22">
        <f t="shared" si="111"/>
        <v>3.9681757822039457E-17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-2.8421709430404007E-14</v>
      </c>
      <c r="AJ143" s="13">
        <f>AI143*VLOOKUP('Données projet'!$B$10,Paramètres!$A$1:$I$89,3,0)*VLOOKUP('Données projet'!$B$10,Paramètres!$A$1:$I$89,5,0)</f>
        <v>-2.5715962692629544E-14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242.89078317348179</v>
      </c>
      <c r="AO143" s="59">
        <f t="shared" si="144"/>
        <v>123.46226548411437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-2.8421709430404007E-14</v>
      </c>
      <c r="BE143" s="13">
        <f>BD143*VLOOKUP('Données projet'!$B$11,Paramètres!$A$1:$I$89,3,0)*VLOOKUP('Données projet'!$B$11,Paramètres!$A$1:$I$89,5,0)</f>
        <v>-2.5715962692629544E-14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242.89078317348179</v>
      </c>
      <c r="BJ143" s="59">
        <f t="shared" si="146"/>
        <v>123.46226548411437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194.59898508144084</v>
      </c>
      <c r="T144" s="59">
        <f t="shared" si="142"/>
        <v>237.00037875392565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2.8059240045366424E-17</v>
      </c>
      <c r="AC144" s="22">
        <f t="shared" si="111"/>
        <v>2.8059240045366424E-17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-2.8421709430404007E-14</v>
      </c>
      <c r="AJ144" s="13">
        <f>AI144*VLOOKUP('Données projet'!$B$10,Paramètres!$A$1:$I$89,3,0)*VLOOKUP('Données projet'!$B$10,Paramètres!$A$1:$I$89,5,0)</f>
        <v>-2.5715962692629544E-14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242.89078317348179</v>
      </c>
      <c r="AO144" s="59">
        <f t="shared" si="144"/>
        <v>123.46226548411437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-2.8421709430404007E-14</v>
      </c>
      <c r="BE144" s="13">
        <f>BD144*VLOOKUP('Données projet'!$B$11,Paramètres!$A$1:$I$89,3,0)*VLOOKUP('Données projet'!$B$11,Paramètres!$A$1:$I$89,5,0)</f>
        <v>-2.5715962692629544E-14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242.89078317348179</v>
      </c>
      <c r="BJ144" s="59">
        <f t="shared" si="146"/>
        <v>123.46226548411437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194.59898508144084</v>
      </c>
      <c r="T145" s="59">
        <f t="shared" si="142"/>
        <v>237.00037875392565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1.9840878911019728E-17</v>
      </c>
      <c r="AC145" s="22">
        <f t="shared" si="111"/>
        <v>1.9840878911019728E-17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-2.8421709430404007E-14</v>
      </c>
      <c r="AJ145" s="13">
        <f>AI145*VLOOKUP('Données projet'!$B$10,Paramètres!$A$1:$I$89,3,0)*VLOOKUP('Données projet'!$B$10,Paramètres!$A$1:$I$89,5,0)</f>
        <v>-2.5715962692629544E-14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242.89078317348179</v>
      </c>
      <c r="AO145" s="59">
        <f t="shared" si="144"/>
        <v>123.46226548411437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-2.8421709430404007E-14</v>
      </c>
      <c r="BE145" s="13">
        <f>BD145*VLOOKUP('Données projet'!$B$11,Paramètres!$A$1:$I$89,3,0)*VLOOKUP('Données projet'!$B$11,Paramètres!$A$1:$I$89,5,0)</f>
        <v>-2.5715962692629544E-14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242.89078317348179</v>
      </c>
      <c r="BJ145" s="59">
        <f t="shared" si="146"/>
        <v>123.46226548411437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194.59898508144084</v>
      </c>
      <c r="T146" s="59">
        <f t="shared" si="142"/>
        <v>237.00037875392565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1.4029620022683212E-17</v>
      </c>
      <c r="AC146" s="22">
        <f t="shared" si="111"/>
        <v>1.4029620022683212E-17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-2.8421709430404007E-14</v>
      </c>
      <c r="AJ146" s="13">
        <f>AI146*VLOOKUP('Données projet'!$B$10,Paramètres!$A$1:$I$89,3,0)*VLOOKUP('Données projet'!$B$10,Paramètres!$A$1:$I$89,5,0)</f>
        <v>-2.5715962692629544E-14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242.89078317348179</v>
      </c>
      <c r="AO146" s="59">
        <f t="shared" si="144"/>
        <v>123.46226548411437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-2.8421709430404007E-14</v>
      </c>
      <c r="BE146" s="13">
        <f>BD146*VLOOKUP('Données projet'!$B$11,Paramètres!$A$1:$I$89,3,0)*VLOOKUP('Données projet'!$B$11,Paramètres!$A$1:$I$89,5,0)</f>
        <v>-2.5715962692629544E-14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242.89078317348179</v>
      </c>
      <c r="BJ146" s="59">
        <f t="shared" si="146"/>
        <v>123.46226548411437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194.59898508144084</v>
      </c>
      <c r="T147" s="59">
        <f t="shared" si="142"/>
        <v>237.00037875392565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9.9204394555098642E-18</v>
      </c>
      <c r="AC147" s="22">
        <f t="shared" si="111"/>
        <v>9.9204394555098642E-18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-2.8421709430404007E-14</v>
      </c>
      <c r="AJ147" s="13">
        <f>AI147*VLOOKUP('Données projet'!$B$10,Paramètres!$A$1:$I$89,3,0)*VLOOKUP('Données projet'!$B$10,Paramètres!$A$1:$I$89,5,0)</f>
        <v>-2.5715962692629544E-14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242.89078317348179</v>
      </c>
      <c r="AO147" s="59">
        <f t="shared" si="144"/>
        <v>123.46226548411437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-2.8421709430404007E-14</v>
      </c>
      <c r="BE147" s="13">
        <f>BD147*VLOOKUP('Données projet'!$B$11,Paramètres!$A$1:$I$89,3,0)*VLOOKUP('Données projet'!$B$11,Paramètres!$A$1:$I$89,5,0)</f>
        <v>-2.5715962692629544E-14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242.89078317348179</v>
      </c>
      <c r="BJ147" s="59">
        <f t="shared" si="146"/>
        <v>123.46226548411437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194.59898508144084</v>
      </c>
      <c r="T148" s="59">
        <f t="shared" si="142"/>
        <v>237.00037875392565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7.0148100113416061E-18</v>
      </c>
      <c r="AC148" s="22">
        <f t="shared" si="111"/>
        <v>7.0148100113416061E-18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-2.8421709430404007E-14</v>
      </c>
      <c r="AJ148" s="13">
        <f>AI148*VLOOKUP('Données projet'!$B$10,Paramètres!$A$1:$I$89,3,0)*VLOOKUP('Données projet'!$B$10,Paramètres!$A$1:$I$89,5,0)</f>
        <v>-2.5715962692629544E-14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242.89078317348179</v>
      </c>
      <c r="AO148" s="59">
        <f t="shared" si="144"/>
        <v>123.46226548411437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-2.8421709430404007E-14</v>
      </c>
      <c r="BE148" s="13">
        <f>BD148*VLOOKUP('Données projet'!$B$11,Paramètres!$A$1:$I$89,3,0)*VLOOKUP('Données projet'!$B$11,Paramètres!$A$1:$I$89,5,0)</f>
        <v>-2.5715962692629544E-14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242.89078317348179</v>
      </c>
      <c r="BJ148" s="59">
        <f t="shared" si="146"/>
        <v>123.46226548411437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194.59898508144084</v>
      </c>
      <c r="T149" s="59">
        <f t="shared" si="142"/>
        <v>237.00037875392565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4.9602197277549321E-18</v>
      </c>
      <c r="AC149" s="22">
        <f t="shared" si="111"/>
        <v>4.9602197277549321E-18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-2.8421709430404007E-14</v>
      </c>
      <c r="AJ149" s="13">
        <f>AI149*VLOOKUP('Données projet'!$B$10,Paramètres!$A$1:$I$89,3,0)*VLOOKUP('Données projet'!$B$10,Paramètres!$A$1:$I$89,5,0)</f>
        <v>-2.5715962692629544E-14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242.89078317348179</v>
      </c>
      <c r="AO149" s="59">
        <f t="shared" si="144"/>
        <v>123.46226548411437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-2.8421709430404007E-14</v>
      </c>
      <c r="BE149" s="13">
        <f>BD149*VLOOKUP('Données projet'!$B$11,Paramètres!$A$1:$I$89,3,0)*VLOOKUP('Données projet'!$B$11,Paramètres!$A$1:$I$89,5,0)</f>
        <v>-2.5715962692629544E-14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242.89078317348179</v>
      </c>
      <c r="BJ149" s="59">
        <f t="shared" si="146"/>
        <v>123.46226548411437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194.59898508144084</v>
      </c>
      <c r="T150" s="59">
        <f t="shared" si="142"/>
        <v>237.00037875392565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3.5074050056708031E-18</v>
      </c>
      <c r="AC150" s="22">
        <f t="shared" si="111"/>
        <v>3.5074050056708031E-18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-2.8421709430404007E-14</v>
      </c>
      <c r="AJ150" s="13">
        <f>AI150*VLOOKUP('Données projet'!$B$10,Paramètres!$A$1:$I$89,3,0)*VLOOKUP('Données projet'!$B$10,Paramètres!$A$1:$I$89,5,0)</f>
        <v>-2.5715962692629544E-14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242.89078317348179</v>
      </c>
      <c r="AO150" s="59">
        <f t="shared" si="144"/>
        <v>123.46226548411437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-2.8421709430404007E-14</v>
      </c>
      <c r="BE150" s="13">
        <f>BD150*VLOOKUP('Données projet'!$B$11,Paramètres!$A$1:$I$89,3,0)*VLOOKUP('Données projet'!$B$11,Paramètres!$A$1:$I$89,5,0)</f>
        <v>-2.5715962692629544E-14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242.89078317348179</v>
      </c>
      <c r="BJ150" s="59">
        <f t="shared" si="146"/>
        <v>123.46226548411437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194.59898508144084</v>
      </c>
      <c r="T151" s="59">
        <f t="shared" si="142"/>
        <v>237.00037875392565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2.4801098638774661E-18</v>
      </c>
      <c r="AC151" s="22">
        <f t="shared" si="111"/>
        <v>2.4801098638774661E-18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-2.8421709430404007E-14</v>
      </c>
      <c r="AJ151" s="13">
        <f>AI151*VLOOKUP('Données projet'!$B$10,Paramètres!$A$1:$I$89,3,0)*VLOOKUP('Données projet'!$B$10,Paramètres!$A$1:$I$89,5,0)</f>
        <v>-2.5715962692629544E-14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242.89078317348179</v>
      </c>
      <c r="AO151" s="59">
        <f t="shared" si="144"/>
        <v>123.46226548411437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-2.8421709430404007E-14</v>
      </c>
      <c r="BE151" s="13">
        <f>BD151*VLOOKUP('Données projet'!$B$11,Paramètres!$A$1:$I$89,3,0)*VLOOKUP('Données projet'!$B$11,Paramètres!$A$1:$I$89,5,0)</f>
        <v>-2.5715962692629544E-14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242.89078317348179</v>
      </c>
      <c r="BJ151" s="59">
        <f t="shared" si="146"/>
        <v>123.46226548411437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194.59898508144084</v>
      </c>
      <c r="T152" s="59">
        <f t="shared" si="142"/>
        <v>237.00037875392565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1.7537025028354015E-18</v>
      </c>
      <c r="AC152" s="22">
        <f t="shared" si="111"/>
        <v>1.7537025028354015E-18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-2.8421709430404007E-14</v>
      </c>
      <c r="AJ152" s="13">
        <f>AI152*VLOOKUP('Données projet'!$B$10,Paramètres!$A$1:$I$89,3,0)*VLOOKUP('Données projet'!$B$10,Paramètres!$A$1:$I$89,5,0)</f>
        <v>-2.5715962692629544E-14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242.89078317348179</v>
      </c>
      <c r="AO152" s="59">
        <f t="shared" si="144"/>
        <v>123.46226548411437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-2.8421709430404007E-14</v>
      </c>
      <c r="BE152" s="13">
        <f>BD152*VLOOKUP('Données projet'!$B$11,Paramètres!$A$1:$I$89,3,0)*VLOOKUP('Données projet'!$B$11,Paramètres!$A$1:$I$89,5,0)</f>
        <v>-2.5715962692629544E-14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242.89078317348179</v>
      </c>
      <c r="BJ152" s="59">
        <f t="shared" si="146"/>
        <v>123.46226548411437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194.59898508144084</v>
      </c>
      <c r="T153" s="59">
        <f t="shared" si="142"/>
        <v>237.00037875392565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1.240054931938733E-18</v>
      </c>
      <c r="AC153" s="22">
        <f t="shared" si="111"/>
        <v>1.240054931938733E-18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-2.8421709430404007E-14</v>
      </c>
      <c r="AJ153" s="13">
        <f>AI153*VLOOKUP('Données projet'!$B$10,Paramètres!$A$1:$I$89,3,0)*VLOOKUP('Données projet'!$B$10,Paramètres!$A$1:$I$89,5,0)</f>
        <v>-2.5715962692629544E-14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242.89078317348179</v>
      </c>
      <c r="AO153" s="59">
        <f t="shared" si="144"/>
        <v>123.46226548411437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-2.8421709430404007E-14</v>
      </c>
      <c r="BE153" s="13">
        <f>BD153*VLOOKUP('Données projet'!$B$11,Paramètres!$A$1:$I$89,3,0)*VLOOKUP('Données projet'!$B$11,Paramètres!$A$1:$I$89,5,0)</f>
        <v>-2.5715962692629544E-14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242.89078317348179</v>
      </c>
      <c r="BJ153" s="59">
        <f t="shared" si="146"/>
        <v>123.46226548411437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194.59898508144084</v>
      </c>
      <c r="T154" s="59">
        <f t="shared" si="142"/>
        <v>237.00037875392565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8.7685125141770076E-19</v>
      </c>
      <c r="AC154" s="22">
        <f t="shared" ref="AC154:AC203" si="163">SUM(Z154:AB154)</f>
        <v>8.7685125141770076E-19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-2.8421709430404007E-14</v>
      </c>
      <c r="AJ154" s="13">
        <f>AI154*VLOOKUP('Données projet'!$B$10,Paramètres!$A$1:$I$89,3,0)*VLOOKUP('Données projet'!$B$10,Paramètres!$A$1:$I$89,5,0)</f>
        <v>-2.5715962692629544E-14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242.89078317348179</v>
      </c>
      <c r="AO154" s="59">
        <f t="shared" si="144"/>
        <v>123.46226548411437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-2.8421709430404007E-14</v>
      </c>
      <c r="BE154" s="13">
        <f>BD154*VLOOKUP('Données projet'!$B$11,Paramètres!$A$1:$I$89,3,0)*VLOOKUP('Données projet'!$B$11,Paramètres!$A$1:$I$89,5,0)</f>
        <v>-2.5715962692629544E-14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242.89078317348179</v>
      </c>
      <c r="BJ154" s="59">
        <f t="shared" si="146"/>
        <v>123.46226548411437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194.59898508144084</v>
      </c>
      <c r="T155" s="59">
        <f t="shared" si="142"/>
        <v>237.00037875392565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6.2002746596936652E-19</v>
      </c>
      <c r="AC155" s="22">
        <f t="shared" si="163"/>
        <v>6.2002746596936652E-19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-2.8421709430404007E-14</v>
      </c>
      <c r="AJ155" s="13">
        <f>AI155*VLOOKUP('Données projet'!$B$10,Paramètres!$A$1:$I$89,3,0)*VLOOKUP('Données projet'!$B$10,Paramètres!$A$1:$I$89,5,0)</f>
        <v>-2.5715962692629544E-14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242.89078317348179</v>
      </c>
      <c r="AO155" s="59">
        <f t="shared" si="144"/>
        <v>123.46226548411437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-2.8421709430404007E-14</v>
      </c>
      <c r="BE155" s="13">
        <f>BD155*VLOOKUP('Données projet'!$B$11,Paramètres!$A$1:$I$89,3,0)*VLOOKUP('Données projet'!$B$11,Paramètres!$A$1:$I$89,5,0)</f>
        <v>-2.5715962692629544E-14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242.89078317348179</v>
      </c>
      <c r="BJ155" s="59">
        <f t="shared" si="146"/>
        <v>123.46226548411437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194.59898508144084</v>
      </c>
      <c r="T156" s="59">
        <f t="shared" si="142"/>
        <v>237.00037875392565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4.3842562570885038E-19</v>
      </c>
      <c r="AC156" s="22">
        <f t="shared" si="163"/>
        <v>4.3842562570885038E-19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-2.8421709430404007E-14</v>
      </c>
      <c r="AJ156" s="13">
        <f>AI156*VLOOKUP('Données projet'!$B$10,Paramètres!$A$1:$I$89,3,0)*VLOOKUP('Données projet'!$B$10,Paramètres!$A$1:$I$89,5,0)</f>
        <v>-2.5715962692629544E-14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242.89078317348179</v>
      </c>
      <c r="AO156" s="59">
        <f t="shared" si="144"/>
        <v>123.46226548411437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-2.8421709430404007E-14</v>
      </c>
      <c r="BE156" s="13">
        <f>BD156*VLOOKUP('Données projet'!$B$11,Paramètres!$A$1:$I$89,3,0)*VLOOKUP('Données projet'!$B$11,Paramètres!$A$1:$I$89,5,0)</f>
        <v>-2.5715962692629544E-14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242.89078317348179</v>
      </c>
      <c r="BJ156" s="59">
        <f t="shared" si="146"/>
        <v>123.46226548411437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194.59898508144084</v>
      </c>
      <c r="T157" s="59">
        <f t="shared" si="142"/>
        <v>237.00037875392565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3.1001373298468326E-19</v>
      </c>
      <c r="AC157" s="22">
        <f t="shared" si="163"/>
        <v>3.1001373298468326E-19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-2.8421709430404007E-14</v>
      </c>
      <c r="AJ157" s="13">
        <f>AI157*VLOOKUP('Données projet'!$B$10,Paramètres!$A$1:$I$89,3,0)*VLOOKUP('Données projet'!$B$10,Paramètres!$A$1:$I$89,5,0)</f>
        <v>-2.5715962692629544E-14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242.89078317348179</v>
      </c>
      <c r="AO157" s="59">
        <f t="shared" si="144"/>
        <v>123.46226548411437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-2.8421709430404007E-14</v>
      </c>
      <c r="BE157" s="13">
        <f>BD157*VLOOKUP('Données projet'!$B$11,Paramètres!$A$1:$I$89,3,0)*VLOOKUP('Données projet'!$B$11,Paramètres!$A$1:$I$89,5,0)</f>
        <v>-2.5715962692629544E-14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242.89078317348179</v>
      </c>
      <c r="BJ157" s="59">
        <f t="shared" si="146"/>
        <v>123.46226548411437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194.59898508144084</v>
      </c>
      <c r="T158" s="59">
        <f t="shared" si="142"/>
        <v>237.00037875392565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2.1921281285442519E-19</v>
      </c>
      <c r="AC158" s="22">
        <f t="shared" si="163"/>
        <v>2.1921281285442519E-19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-2.8421709430404007E-14</v>
      </c>
      <c r="AJ158" s="13">
        <f>AI158*VLOOKUP('Données projet'!$B$10,Paramètres!$A$1:$I$89,3,0)*VLOOKUP('Données projet'!$B$10,Paramètres!$A$1:$I$89,5,0)</f>
        <v>-2.5715962692629544E-14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242.89078317348179</v>
      </c>
      <c r="AO158" s="59">
        <f t="shared" si="144"/>
        <v>123.46226548411437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-2.8421709430404007E-14</v>
      </c>
      <c r="BE158" s="13">
        <f>BD158*VLOOKUP('Données projet'!$B$11,Paramètres!$A$1:$I$89,3,0)*VLOOKUP('Données projet'!$B$11,Paramètres!$A$1:$I$89,5,0)</f>
        <v>-2.5715962692629544E-14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242.89078317348179</v>
      </c>
      <c r="BJ158" s="59">
        <f t="shared" si="146"/>
        <v>123.46226548411437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194.59898508144084</v>
      </c>
      <c r="T159" s="59">
        <f t="shared" si="142"/>
        <v>237.00037875392565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1.5500686649234163E-19</v>
      </c>
      <c r="AC159" s="22">
        <f t="shared" si="163"/>
        <v>1.5500686649234163E-19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-2.8421709430404007E-14</v>
      </c>
      <c r="AJ159" s="13">
        <f>AI159*VLOOKUP('Données projet'!$B$10,Paramètres!$A$1:$I$89,3,0)*VLOOKUP('Données projet'!$B$10,Paramètres!$A$1:$I$89,5,0)</f>
        <v>-2.5715962692629544E-14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242.89078317348179</v>
      </c>
      <c r="AO159" s="59">
        <f t="shared" si="144"/>
        <v>123.46226548411437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-2.8421709430404007E-14</v>
      </c>
      <c r="BE159" s="13">
        <f>BD159*VLOOKUP('Données projet'!$B$11,Paramètres!$A$1:$I$89,3,0)*VLOOKUP('Données projet'!$B$11,Paramètres!$A$1:$I$89,5,0)</f>
        <v>-2.5715962692629544E-14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242.89078317348179</v>
      </c>
      <c r="BJ159" s="59">
        <f t="shared" si="146"/>
        <v>123.46226548411437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194.59898508144084</v>
      </c>
      <c r="T160" s="59">
        <f t="shared" si="142"/>
        <v>237.00037875392565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1.096064064272126E-19</v>
      </c>
      <c r="AC160" s="22">
        <f t="shared" si="163"/>
        <v>1.096064064272126E-19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-2.8421709430404007E-14</v>
      </c>
      <c r="AJ160" s="13">
        <f>AI160*VLOOKUP('Données projet'!$B$10,Paramètres!$A$1:$I$89,3,0)*VLOOKUP('Données projet'!$B$10,Paramètres!$A$1:$I$89,5,0)</f>
        <v>-2.5715962692629544E-14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242.89078317348179</v>
      </c>
      <c r="AO160" s="59">
        <f t="shared" si="144"/>
        <v>123.46226548411437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-2.8421709430404007E-14</v>
      </c>
      <c r="BE160" s="13">
        <f>BD160*VLOOKUP('Données projet'!$B$11,Paramètres!$A$1:$I$89,3,0)*VLOOKUP('Données projet'!$B$11,Paramètres!$A$1:$I$89,5,0)</f>
        <v>-2.5715962692629544E-14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242.89078317348179</v>
      </c>
      <c r="BJ160" s="59">
        <f t="shared" si="146"/>
        <v>123.46226548411437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194.59898508144084</v>
      </c>
      <c r="T161" s="59">
        <f t="shared" si="142"/>
        <v>237.00037875392565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7.7503433246170814E-20</v>
      </c>
      <c r="AC161" s="22">
        <f t="shared" si="163"/>
        <v>7.7503433246170814E-20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-2.8421709430404007E-14</v>
      </c>
      <c r="AJ161" s="13">
        <f>AI161*VLOOKUP('Données projet'!$B$10,Paramètres!$A$1:$I$89,3,0)*VLOOKUP('Données projet'!$B$10,Paramètres!$A$1:$I$89,5,0)</f>
        <v>-2.5715962692629544E-14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242.89078317348179</v>
      </c>
      <c r="AO161" s="59">
        <f t="shared" si="144"/>
        <v>123.46226548411437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-2.8421709430404007E-14</v>
      </c>
      <c r="BE161" s="13">
        <f>BD161*VLOOKUP('Données projet'!$B$11,Paramètres!$A$1:$I$89,3,0)*VLOOKUP('Données projet'!$B$11,Paramètres!$A$1:$I$89,5,0)</f>
        <v>-2.5715962692629544E-14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242.89078317348179</v>
      </c>
      <c r="BJ161" s="59">
        <f t="shared" si="146"/>
        <v>123.46226548411437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194.59898508144084</v>
      </c>
      <c r="T162" s="59">
        <f t="shared" si="142"/>
        <v>237.00037875392565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5.4803203213606298E-20</v>
      </c>
      <c r="AC162" s="22">
        <f t="shared" si="163"/>
        <v>5.4803203213606298E-20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-2.8421709430404007E-14</v>
      </c>
      <c r="AJ162" s="13">
        <f>AI162*VLOOKUP('Données projet'!$B$10,Paramètres!$A$1:$I$89,3,0)*VLOOKUP('Données projet'!$B$10,Paramètres!$A$1:$I$89,5,0)</f>
        <v>-2.5715962692629544E-14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242.89078317348179</v>
      </c>
      <c r="AO162" s="59">
        <f t="shared" si="144"/>
        <v>123.46226548411437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-2.8421709430404007E-14</v>
      </c>
      <c r="BE162" s="13">
        <f>BD162*VLOOKUP('Données projet'!$B$11,Paramètres!$A$1:$I$89,3,0)*VLOOKUP('Données projet'!$B$11,Paramètres!$A$1:$I$89,5,0)</f>
        <v>-2.5715962692629544E-14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242.89078317348179</v>
      </c>
      <c r="BJ162" s="59">
        <f t="shared" si="146"/>
        <v>123.46226548411437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194.59898508144084</v>
      </c>
      <c r="T163" s="59">
        <f t="shared" si="142"/>
        <v>237.00037875392565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3.8751716623085407E-20</v>
      </c>
      <c r="AC163" s="22">
        <f t="shared" si="163"/>
        <v>3.8751716623085407E-20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-2.8421709430404007E-14</v>
      </c>
      <c r="AJ163" s="13">
        <f>AI163*VLOOKUP('Données projet'!$B$10,Paramètres!$A$1:$I$89,3,0)*VLOOKUP('Données projet'!$B$10,Paramètres!$A$1:$I$89,5,0)</f>
        <v>-2.5715962692629544E-14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242.89078317348179</v>
      </c>
      <c r="AO163" s="59">
        <f t="shared" si="144"/>
        <v>123.46226548411437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-2.8421709430404007E-14</v>
      </c>
      <c r="BE163" s="13">
        <f>BD163*VLOOKUP('Données projet'!$B$11,Paramètres!$A$1:$I$89,3,0)*VLOOKUP('Données projet'!$B$11,Paramètres!$A$1:$I$89,5,0)</f>
        <v>-2.5715962692629544E-14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242.89078317348179</v>
      </c>
      <c r="BJ163" s="59">
        <f t="shared" si="146"/>
        <v>123.46226548411437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194.59898508144084</v>
      </c>
      <c r="T164" s="59">
        <f t="shared" si="142"/>
        <v>237.00037875392565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2.7401601606803149E-20</v>
      </c>
      <c r="AC164" s="22">
        <f t="shared" si="163"/>
        <v>2.7401601606803149E-20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-2.8421709430404007E-14</v>
      </c>
      <c r="AJ164" s="13">
        <f>AI164*VLOOKUP('Données projet'!$B$10,Paramètres!$A$1:$I$89,3,0)*VLOOKUP('Données projet'!$B$10,Paramètres!$A$1:$I$89,5,0)</f>
        <v>-2.5715962692629544E-14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242.89078317348179</v>
      </c>
      <c r="AO164" s="59">
        <f t="shared" si="144"/>
        <v>123.46226548411437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-2.8421709430404007E-14</v>
      </c>
      <c r="BE164" s="13">
        <f>BD164*VLOOKUP('Données projet'!$B$11,Paramètres!$A$1:$I$89,3,0)*VLOOKUP('Données projet'!$B$11,Paramètres!$A$1:$I$89,5,0)</f>
        <v>-2.5715962692629544E-14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242.89078317348179</v>
      </c>
      <c r="BJ164" s="59">
        <f t="shared" si="146"/>
        <v>123.46226548411437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194.59898508144084</v>
      </c>
      <c r="T165" s="59">
        <f t="shared" si="142"/>
        <v>237.00037875392565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1.9375858311542704E-20</v>
      </c>
      <c r="AC165" s="22">
        <f t="shared" si="163"/>
        <v>1.9375858311542704E-20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-2.8421709430404007E-14</v>
      </c>
      <c r="AJ165" s="13">
        <f>AI165*VLOOKUP('Données projet'!$B$10,Paramètres!$A$1:$I$89,3,0)*VLOOKUP('Données projet'!$B$10,Paramètres!$A$1:$I$89,5,0)</f>
        <v>-2.5715962692629544E-14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242.89078317348179</v>
      </c>
      <c r="AO165" s="59">
        <f t="shared" si="144"/>
        <v>123.46226548411437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-2.8421709430404007E-14</v>
      </c>
      <c r="BE165" s="13">
        <f>BD165*VLOOKUP('Données projet'!$B$11,Paramètres!$A$1:$I$89,3,0)*VLOOKUP('Données projet'!$B$11,Paramètres!$A$1:$I$89,5,0)</f>
        <v>-2.5715962692629544E-14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242.89078317348179</v>
      </c>
      <c r="BJ165" s="59">
        <f t="shared" si="146"/>
        <v>123.46226548411437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194.59898508144084</v>
      </c>
      <c r="T166" s="59">
        <f t="shared" si="142"/>
        <v>237.00037875392565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1.3700800803401574E-20</v>
      </c>
      <c r="AC166" s="22">
        <f t="shared" si="163"/>
        <v>1.3700800803401574E-20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-2.8421709430404007E-14</v>
      </c>
      <c r="AJ166" s="13">
        <f>AI166*VLOOKUP('Données projet'!$B$10,Paramètres!$A$1:$I$89,3,0)*VLOOKUP('Données projet'!$B$10,Paramètres!$A$1:$I$89,5,0)</f>
        <v>-2.5715962692629544E-14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242.89078317348179</v>
      </c>
      <c r="AO166" s="59">
        <f t="shared" si="144"/>
        <v>123.46226548411437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-2.8421709430404007E-14</v>
      </c>
      <c r="BE166" s="13">
        <f>BD166*VLOOKUP('Données projet'!$B$11,Paramètres!$A$1:$I$89,3,0)*VLOOKUP('Données projet'!$B$11,Paramètres!$A$1:$I$89,5,0)</f>
        <v>-2.5715962692629544E-14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242.89078317348179</v>
      </c>
      <c r="BJ166" s="59">
        <f t="shared" si="146"/>
        <v>123.46226548411437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194.59898508144084</v>
      </c>
      <c r="T167" s="59">
        <f t="shared" si="142"/>
        <v>237.00037875392565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9.6879291557713518E-21</v>
      </c>
      <c r="AC167" s="22">
        <f t="shared" si="163"/>
        <v>9.6879291557713518E-21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-2.8421709430404007E-14</v>
      </c>
      <c r="AJ167" s="13">
        <f>AI167*VLOOKUP('Données projet'!$B$10,Paramètres!$A$1:$I$89,3,0)*VLOOKUP('Données projet'!$B$10,Paramètres!$A$1:$I$89,5,0)</f>
        <v>-2.5715962692629544E-14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242.89078317348179</v>
      </c>
      <c r="AO167" s="59">
        <f t="shared" si="144"/>
        <v>123.46226548411437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-2.8421709430404007E-14</v>
      </c>
      <c r="BE167" s="13">
        <f>BD167*VLOOKUP('Données projet'!$B$11,Paramètres!$A$1:$I$89,3,0)*VLOOKUP('Données projet'!$B$11,Paramètres!$A$1:$I$89,5,0)</f>
        <v>-2.5715962692629544E-14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242.89078317348179</v>
      </c>
      <c r="BJ167" s="59">
        <f t="shared" si="146"/>
        <v>123.46226548411437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194.59898508144084</v>
      </c>
      <c r="T168" s="59">
        <f t="shared" si="142"/>
        <v>237.00037875392565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6.8504004017007872E-21</v>
      </c>
      <c r="AC168" s="22">
        <f t="shared" si="163"/>
        <v>6.8504004017007872E-21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-2.8421709430404007E-14</v>
      </c>
      <c r="AJ168" s="13">
        <f>AI168*VLOOKUP('Données projet'!$B$10,Paramètres!$A$1:$I$89,3,0)*VLOOKUP('Données projet'!$B$10,Paramètres!$A$1:$I$89,5,0)</f>
        <v>-2.5715962692629544E-14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242.89078317348179</v>
      </c>
      <c r="AO168" s="59">
        <f t="shared" si="144"/>
        <v>123.46226548411437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-2.8421709430404007E-14</v>
      </c>
      <c r="BE168" s="13">
        <f>BD168*VLOOKUP('Données projet'!$B$11,Paramètres!$A$1:$I$89,3,0)*VLOOKUP('Données projet'!$B$11,Paramètres!$A$1:$I$89,5,0)</f>
        <v>-2.5715962692629544E-14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242.89078317348179</v>
      </c>
      <c r="BJ168" s="59">
        <f t="shared" si="146"/>
        <v>123.46226548411437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194.59898508144084</v>
      </c>
      <c r="T169" s="59">
        <f t="shared" si="142"/>
        <v>237.00037875392565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4.8439645778856759E-21</v>
      </c>
      <c r="AC169" s="22">
        <f t="shared" si="163"/>
        <v>4.8439645778856759E-21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-2.8421709430404007E-14</v>
      </c>
      <c r="AJ169" s="13">
        <f>AI169*VLOOKUP('Données projet'!$B$10,Paramètres!$A$1:$I$89,3,0)*VLOOKUP('Données projet'!$B$10,Paramètres!$A$1:$I$89,5,0)</f>
        <v>-2.5715962692629544E-14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242.89078317348179</v>
      </c>
      <c r="AO169" s="59">
        <f t="shared" si="144"/>
        <v>123.46226548411437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-2.8421709430404007E-14</v>
      </c>
      <c r="BE169" s="13">
        <f>BD169*VLOOKUP('Données projet'!$B$11,Paramètres!$A$1:$I$89,3,0)*VLOOKUP('Données projet'!$B$11,Paramètres!$A$1:$I$89,5,0)</f>
        <v>-2.5715962692629544E-14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242.89078317348179</v>
      </c>
      <c r="BJ169" s="59">
        <f t="shared" si="146"/>
        <v>123.46226548411437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194.59898508144084</v>
      </c>
      <c r="T170" s="59">
        <f t="shared" si="142"/>
        <v>237.00037875392565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3.4252002008503936E-21</v>
      </c>
      <c r="AC170" s="22">
        <f t="shared" si="163"/>
        <v>3.4252002008503936E-21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-2.8421709430404007E-14</v>
      </c>
      <c r="AJ170" s="13">
        <f>AI170*VLOOKUP('Données projet'!$B$10,Paramètres!$A$1:$I$89,3,0)*VLOOKUP('Données projet'!$B$10,Paramètres!$A$1:$I$89,5,0)</f>
        <v>-2.5715962692629544E-14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242.89078317348179</v>
      </c>
      <c r="AO170" s="59">
        <f t="shared" si="144"/>
        <v>123.46226548411437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-2.8421709430404007E-14</v>
      </c>
      <c r="BE170" s="13">
        <f>BD170*VLOOKUP('Données projet'!$B$11,Paramètres!$A$1:$I$89,3,0)*VLOOKUP('Données projet'!$B$11,Paramètres!$A$1:$I$89,5,0)</f>
        <v>-2.5715962692629544E-14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242.89078317348179</v>
      </c>
      <c r="BJ170" s="59">
        <f t="shared" si="146"/>
        <v>123.46226548411437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194.59898508144084</v>
      </c>
      <c r="T171" s="59">
        <f t="shared" si="142"/>
        <v>237.00037875392565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2.4219822889428379E-21</v>
      </c>
      <c r="AC171" s="22">
        <f t="shared" si="163"/>
        <v>2.4219822889428379E-21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-2.8421709430404007E-14</v>
      </c>
      <c r="AJ171" s="13">
        <f>AI171*VLOOKUP('Données projet'!$B$10,Paramètres!$A$1:$I$89,3,0)*VLOOKUP('Données projet'!$B$10,Paramètres!$A$1:$I$89,5,0)</f>
        <v>-2.5715962692629544E-14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242.89078317348179</v>
      </c>
      <c r="AO171" s="59">
        <f t="shared" si="144"/>
        <v>123.46226548411437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-2.8421709430404007E-14</v>
      </c>
      <c r="BE171" s="13">
        <f>BD171*VLOOKUP('Données projet'!$B$11,Paramètres!$A$1:$I$89,3,0)*VLOOKUP('Données projet'!$B$11,Paramètres!$A$1:$I$89,5,0)</f>
        <v>-2.5715962692629544E-14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242.89078317348179</v>
      </c>
      <c r="BJ171" s="59">
        <f t="shared" si="146"/>
        <v>123.46226548411437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194.59898508144084</v>
      </c>
      <c r="T172" s="59">
        <f t="shared" si="142"/>
        <v>237.00037875392565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1.7126001004251968E-21</v>
      </c>
      <c r="AC172" s="22">
        <f t="shared" si="163"/>
        <v>1.7126001004251968E-21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-2.8421709430404007E-14</v>
      </c>
      <c r="AJ172" s="13">
        <f>AI172*VLOOKUP('Données projet'!$B$10,Paramètres!$A$1:$I$89,3,0)*VLOOKUP('Données projet'!$B$10,Paramètres!$A$1:$I$89,5,0)</f>
        <v>-2.5715962692629544E-14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242.89078317348179</v>
      </c>
      <c r="AO172" s="59">
        <f t="shared" si="144"/>
        <v>123.46226548411437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-2.8421709430404007E-14</v>
      </c>
      <c r="BE172" s="13">
        <f>BD172*VLOOKUP('Données projet'!$B$11,Paramètres!$A$1:$I$89,3,0)*VLOOKUP('Données projet'!$B$11,Paramètres!$A$1:$I$89,5,0)</f>
        <v>-2.5715962692629544E-14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242.89078317348179</v>
      </c>
      <c r="BJ172" s="59">
        <f t="shared" si="146"/>
        <v>123.46226548411437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194.59898508144084</v>
      </c>
      <c r="T173" s="59">
        <f t="shared" si="142"/>
        <v>237.00037875392565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1.210991144471419E-21</v>
      </c>
      <c r="AC173" s="22">
        <f t="shared" si="163"/>
        <v>1.210991144471419E-21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-2.8421709430404007E-14</v>
      </c>
      <c r="AJ173" s="13">
        <f>AI173*VLOOKUP('Données projet'!$B$10,Paramètres!$A$1:$I$89,3,0)*VLOOKUP('Données projet'!$B$10,Paramètres!$A$1:$I$89,5,0)</f>
        <v>-2.5715962692629544E-14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242.89078317348179</v>
      </c>
      <c r="AO173" s="59">
        <f t="shared" si="144"/>
        <v>123.46226548411437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-2.8421709430404007E-14</v>
      </c>
      <c r="BE173" s="13">
        <f>BD173*VLOOKUP('Données projet'!$B$11,Paramètres!$A$1:$I$89,3,0)*VLOOKUP('Données projet'!$B$11,Paramètres!$A$1:$I$89,5,0)</f>
        <v>-2.5715962692629544E-14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242.89078317348179</v>
      </c>
      <c r="BJ173" s="59">
        <f t="shared" si="146"/>
        <v>123.46226548411437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194.59898508144084</v>
      </c>
      <c r="T174" s="59">
        <f t="shared" si="142"/>
        <v>237.00037875392565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8.563000502125984E-22</v>
      </c>
      <c r="AC174" s="22">
        <f t="shared" si="163"/>
        <v>8.563000502125984E-22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-2.8421709430404007E-14</v>
      </c>
      <c r="AJ174" s="13">
        <f>AI174*VLOOKUP('Données projet'!$B$10,Paramètres!$A$1:$I$89,3,0)*VLOOKUP('Données projet'!$B$10,Paramètres!$A$1:$I$89,5,0)</f>
        <v>-2.5715962692629544E-14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242.89078317348179</v>
      </c>
      <c r="AO174" s="59">
        <f t="shared" si="144"/>
        <v>123.46226548411437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-2.8421709430404007E-14</v>
      </c>
      <c r="BE174" s="13">
        <f>BD174*VLOOKUP('Données projet'!$B$11,Paramètres!$A$1:$I$89,3,0)*VLOOKUP('Données projet'!$B$11,Paramètres!$A$1:$I$89,5,0)</f>
        <v>-2.5715962692629544E-14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242.89078317348179</v>
      </c>
      <c r="BJ174" s="59">
        <f t="shared" si="146"/>
        <v>123.46226548411437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194.59898508144084</v>
      </c>
      <c r="T175" s="59">
        <f t="shared" si="142"/>
        <v>237.00037875392565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6.0549557223570949E-22</v>
      </c>
      <c r="AC175" s="22">
        <f t="shared" si="163"/>
        <v>6.0549557223570949E-22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-2.8421709430404007E-14</v>
      </c>
      <c r="AJ175" s="13">
        <f>AI175*VLOOKUP('Données projet'!$B$10,Paramètres!$A$1:$I$89,3,0)*VLOOKUP('Données projet'!$B$10,Paramètres!$A$1:$I$89,5,0)</f>
        <v>-2.5715962692629544E-14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242.89078317348179</v>
      </c>
      <c r="AO175" s="59">
        <f t="shared" si="144"/>
        <v>123.46226548411437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-2.8421709430404007E-14</v>
      </c>
      <c r="BE175" s="13">
        <f>BD175*VLOOKUP('Données projet'!$B$11,Paramètres!$A$1:$I$89,3,0)*VLOOKUP('Données projet'!$B$11,Paramètres!$A$1:$I$89,5,0)</f>
        <v>-2.5715962692629544E-14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242.89078317348179</v>
      </c>
      <c r="BJ175" s="59">
        <f t="shared" si="146"/>
        <v>123.46226548411437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194.59898508144084</v>
      </c>
      <c r="T176" s="59">
        <f t="shared" si="142"/>
        <v>237.00037875392565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4.281500251062992E-22</v>
      </c>
      <c r="AC176" s="22">
        <f t="shared" si="163"/>
        <v>4.281500251062992E-22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-2.8421709430404007E-14</v>
      </c>
      <c r="AJ176" s="13">
        <f>AI176*VLOOKUP('Données projet'!$B$10,Paramètres!$A$1:$I$89,3,0)*VLOOKUP('Données projet'!$B$10,Paramètres!$A$1:$I$89,5,0)</f>
        <v>-2.5715962692629544E-14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242.89078317348179</v>
      </c>
      <c r="AO176" s="59">
        <f t="shared" si="144"/>
        <v>123.46226548411437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-2.8421709430404007E-14</v>
      </c>
      <c r="BE176" s="13">
        <f>BD176*VLOOKUP('Données projet'!$B$11,Paramètres!$A$1:$I$89,3,0)*VLOOKUP('Données projet'!$B$11,Paramètres!$A$1:$I$89,5,0)</f>
        <v>-2.5715962692629544E-14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242.89078317348179</v>
      </c>
      <c r="BJ176" s="59">
        <f t="shared" si="146"/>
        <v>123.46226548411437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194.59898508144084</v>
      </c>
      <c r="T177" s="59">
        <f t="shared" si="142"/>
        <v>237.00037875392565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3.0274778611785474E-22</v>
      </c>
      <c r="AC177" s="22">
        <f t="shared" si="163"/>
        <v>3.0274778611785474E-22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-2.8421709430404007E-14</v>
      </c>
      <c r="AJ177" s="13">
        <f>AI177*VLOOKUP('Données projet'!$B$10,Paramètres!$A$1:$I$89,3,0)*VLOOKUP('Données projet'!$B$10,Paramètres!$A$1:$I$89,5,0)</f>
        <v>-2.5715962692629544E-14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242.89078317348179</v>
      </c>
      <c r="AO177" s="59">
        <f t="shared" si="144"/>
        <v>123.46226548411437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-2.8421709430404007E-14</v>
      </c>
      <c r="BE177" s="13">
        <f>BD177*VLOOKUP('Données projet'!$B$11,Paramètres!$A$1:$I$89,3,0)*VLOOKUP('Données projet'!$B$11,Paramètres!$A$1:$I$89,5,0)</f>
        <v>-2.5715962692629544E-14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242.89078317348179</v>
      </c>
      <c r="BJ177" s="59">
        <f t="shared" si="146"/>
        <v>123.46226548411437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194.59898508144084</v>
      </c>
      <c r="T178" s="59">
        <f t="shared" si="142"/>
        <v>237.00037875392565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2.140750125531496E-22</v>
      </c>
      <c r="AC178" s="22">
        <f t="shared" si="163"/>
        <v>2.140750125531496E-22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-2.8421709430404007E-14</v>
      </c>
      <c r="AJ178" s="13">
        <f>AI178*VLOOKUP('Données projet'!$B$10,Paramètres!$A$1:$I$89,3,0)*VLOOKUP('Données projet'!$B$10,Paramètres!$A$1:$I$89,5,0)</f>
        <v>-2.5715962692629544E-14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242.89078317348179</v>
      </c>
      <c r="AO178" s="59">
        <f t="shared" si="144"/>
        <v>123.46226548411437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-2.8421709430404007E-14</v>
      </c>
      <c r="BE178" s="13">
        <f>BD178*VLOOKUP('Données projet'!$B$11,Paramètres!$A$1:$I$89,3,0)*VLOOKUP('Données projet'!$B$11,Paramètres!$A$1:$I$89,5,0)</f>
        <v>-2.5715962692629544E-14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242.89078317348179</v>
      </c>
      <c r="BJ178" s="59">
        <f t="shared" si="146"/>
        <v>123.46226548411437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194.59898508144084</v>
      </c>
      <c r="T179" s="59">
        <f t="shared" si="142"/>
        <v>237.00037875392565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1.5137389305892737E-22</v>
      </c>
      <c r="AC179" s="22">
        <f t="shared" si="163"/>
        <v>1.5137389305892737E-22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-2.8421709430404007E-14</v>
      </c>
      <c r="AJ179" s="13">
        <f>AI179*VLOOKUP('Données projet'!$B$10,Paramètres!$A$1:$I$89,3,0)*VLOOKUP('Données projet'!$B$10,Paramètres!$A$1:$I$89,5,0)</f>
        <v>-2.5715962692629544E-14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242.89078317348179</v>
      </c>
      <c r="AO179" s="59">
        <f t="shared" si="144"/>
        <v>123.46226548411437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-2.8421709430404007E-14</v>
      </c>
      <c r="BE179" s="13">
        <f>BD179*VLOOKUP('Données projet'!$B$11,Paramètres!$A$1:$I$89,3,0)*VLOOKUP('Données projet'!$B$11,Paramètres!$A$1:$I$89,5,0)</f>
        <v>-2.5715962692629544E-14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242.89078317348179</v>
      </c>
      <c r="BJ179" s="59">
        <f t="shared" si="146"/>
        <v>123.46226548411437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194.59898508144084</v>
      </c>
      <c r="T180" s="59">
        <f t="shared" si="142"/>
        <v>237.00037875392565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1.070375062765748E-22</v>
      </c>
      <c r="AC180" s="22">
        <f t="shared" si="163"/>
        <v>1.070375062765748E-22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-2.8421709430404007E-14</v>
      </c>
      <c r="AJ180" s="13">
        <f>AI180*VLOOKUP('Données projet'!$B$10,Paramètres!$A$1:$I$89,3,0)*VLOOKUP('Données projet'!$B$10,Paramètres!$A$1:$I$89,5,0)</f>
        <v>-2.5715962692629544E-14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242.89078317348179</v>
      </c>
      <c r="AO180" s="59">
        <f t="shared" si="144"/>
        <v>123.46226548411437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-2.8421709430404007E-14</v>
      </c>
      <c r="BE180" s="13">
        <f>BD180*VLOOKUP('Données projet'!$B$11,Paramètres!$A$1:$I$89,3,0)*VLOOKUP('Données projet'!$B$11,Paramètres!$A$1:$I$89,5,0)</f>
        <v>-2.5715962692629544E-14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242.89078317348179</v>
      </c>
      <c r="BJ180" s="59">
        <f t="shared" si="146"/>
        <v>123.46226548411437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194.59898508144084</v>
      </c>
      <c r="T181" s="59">
        <f t="shared" si="142"/>
        <v>237.00037875392565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7.5686946529463686E-23</v>
      </c>
      <c r="AC181" s="22">
        <f t="shared" si="163"/>
        <v>7.5686946529463686E-23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-2.8421709430404007E-14</v>
      </c>
      <c r="AJ181" s="13">
        <f>AI181*VLOOKUP('Données projet'!$B$10,Paramètres!$A$1:$I$89,3,0)*VLOOKUP('Données projet'!$B$10,Paramètres!$A$1:$I$89,5,0)</f>
        <v>-2.5715962692629544E-14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242.89078317348179</v>
      </c>
      <c r="AO181" s="59">
        <f t="shared" si="144"/>
        <v>123.46226548411437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-2.8421709430404007E-14</v>
      </c>
      <c r="BE181" s="13">
        <f>BD181*VLOOKUP('Données projet'!$B$11,Paramètres!$A$1:$I$89,3,0)*VLOOKUP('Données projet'!$B$11,Paramètres!$A$1:$I$89,5,0)</f>
        <v>-2.5715962692629544E-14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242.89078317348179</v>
      </c>
      <c r="BJ181" s="59">
        <f t="shared" si="146"/>
        <v>123.46226548411437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194.59898508144084</v>
      </c>
      <c r="T182" s="59">
        <f t="shared" si="142"/>
        <v>237.00037875392565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5.35187531382874E-23</v>
      </c>
      <c r="AC182" s="22">
        <f t="shared" si="163"/>
        <v>5.35187531382874E-23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-2.8421709430404007E-14</v>
      </c>
      <c r="AJ182" s="13">
        <f>AI182*VLOOKUP('Données projet'!$B$10,Paramètres!$A$1:$I$89,3,0)*VLOOKUP('Données projet'!$B$10,Paramètres!$A$1:$I$89,5,0)</f>
        <v>-2.5715962692629544E-14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242.89078317348179</v>
      </c>
      <c r="AO182" s="59">
        <f t="shared" si="144"/>
        <v>123.46226548411437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-2.8421709430404007E-14</v>
      </c>
      <c r="BE182" s="13">
        <f>BD182*VLOOKUP('Données projet'!$B$11,Paramètres!$A$1:$I$89,3,0)*VLOOKUP('Données projet'!$B$11,Paramètres!$A$1:$I$89,5,0)</f>
        <v>-2.5715962692629544E-14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242.89078317348179</v>
      </c>
      <c r="BJ182" s="59">
        <f t="shared" si="146"/>
        <v>123.46226548411437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194.59898508144084</v>
      </c>
      <c r="T183" s="59">
        <f t="shared" si="142"/>
        <v>237.00037875392565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3.7843473264731843E-23</v>
      </c>
      <c r="AC183" s="22">
        <f t="shared" si="163"/>
        <v>3.7843473264731843E-23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-2.8421709430404007E-14</v>
      </c>
      <c r="AJ183" s="13">
        <f>AI183*VLOOKUP('Données projet'!$B$10,Paramètres!$A$1:$I$89,3,0)*VLOOKUP('Données projet'!$B$10,Paramètres!$A$1:$I$89,5,0)</f>
        <v>-2.5715962692629544E-14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242.89078317348179</v>
      </c>
      <c r="AO183" s="59">
        <f t="shared" si="144"/>
        <v>123.46226548411437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-2.8421709430404007E-14</v>
      </c>
      <c r="BE183" s="13">
        <f>BD183*VLOOKUP('Données projet'!$B$11,Paramètres!$A$1:$I$89,3,0)*VLOOKUP('Données projet'!$B$11,Paramètres!$A$1:$I$89,5,0)</f>
        <v>-2.5715962692629544E-14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242.89078317348179</v>
      </c>
      <c r="BJ183" s="59">
        <f t="shared" si="146"/>
        <v>123.46226548411437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194.59898508144084</v>
      </c>
      <c r="T184" s="59">
        <f t="shared" si="142"/>
        <v>237.00037875392565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2.67593765691437E-23</v>
      </c>
      <c r="AC184" s="22">
        <f t="shared" si="163"/>
        <v>2.67593765691437E-23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-2.8421709430404007E-14</v>
      </c>
      <c r="AJ184" s="13">
        <f>AI184*VLOOKUP('Données projet'!$B$10,Paramètres!$A$1:$I$89,3,0)*VLOOKUP('Données projet'!$B$10,Paramètres!$A$1:$I$89,5,0)</f>
        <v>-2.5715962692629544E-14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242.89078317348179</v>
      </c>
      <c r="AO184" s="59">
        <f t="shared" si="144"/>
        <v>123.46226548411437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-2.8421709430404007E-14</v>
      </c>
      <c r="BE184" s="13">
        <f>BD184*VLOOKUP('Données projet'!$B$11,Paramètres!$A$1:$I$89,3,0)*VLOOKUP('Données projet'!$B$11,Paramètres!$A$1:$I$89,5,0)</f>
        <v>-2.5715962692629544E-14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242.89078317348179</v>
      </c>
      <c r="BJ184" s="59">
        <f t="shared" si="146"/>
        <v>123.46226548411437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194.59898508144084</v>
      </c>
      <c r="T185" s="59">
        <f t="shared" si="142"/>
        <v>237.00037875392565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1.8921736632365921E-23</v>
      </c>
      <c r="AC185" s="22">
        <f t="shared" si="163"/>
        <v>1.8921736632365921E-23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-2.8421709430404007E-14</v>
      </c>
      <c r="AJ185" s="13">
        <f>AI185*VLOOKUP('Données projet'!$B$10,Paramètres!$A$1:$I$89,3,0)*VLOOKUP('Données projet'!$B$10,Paramètres!$A$1:$I$89,5,0)</f>
        <v>-2.5715962692629544E-14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242.89078317348179</v>
      </c>
      <c r="AO185" s="59">
        <f t="shared" si="144"/>
        <v>123.46226548411437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-2.8421709430404007E-14</v>
      </c>
      <c r="BE185" s="13">
        <f>BD185*VLOOKUP('Données projet'!$B$11,Paramètres!$A$1:$I$89,3,0)*VLOOKUP('Données projet'!$B$11,Paramètres!$A$1:$I$89,5,0)</f>
        <v>-2.5715962692629544E-14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242.89078317348179</v>
      </c>
      <c r="BJ185" s="59">
        <f t="shared" si="146"/>
        <v>123.46226548411437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194.59898508144084</v>
      </c>
      <c r="T186" s="59">
        <f t="shared" si="142"/>
        <v>237.00037875392565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1.337968828457185E-23</v>
      </c>
      <c r="AC186" s="22">
        <f t="shared" si="163"/>
        <v>1.337968828457185E-23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-2.8421709430404007E-14</v>
      </c>
      <c r="AJ186" s="13">
        <f>AI186*VLOOKUP('Données projet'!$B$10,Paramètres!$A$1:$I$89,3,0)*VLOOKUP('Données projet'!$B$10,Paramètres!$A$1:$I$89,5,0)</f>
        <v>-2.5715962692629544E-14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242.89078317348179</v>
      </c>
      <c r="AO186" s="59">
        <f t="shared" si="144"/>
        <v>123.46226548411437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-2.8421709430404007E-14</v>
      </c>
      <c r="BE186" s="13">
        <f>BD186*VLOOKUP('Données projet'!$B$11,Paramètres!$A$1:$I$89,3,0)*VLOOKUP('Données projet'!$B$11,Paramètres!$A$1:$I$89,5,0)</f>
        <v>-2.5715962692629544E-14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242.89078317348179</v>
      </c>
      <c r="BJ186" s="59">
        <f t="shared" si="146"/>
        <v>123.46226548411437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194.59898508144084</v>
      </c>
      <c r="T187" s="59">
        <f t="shared" si="142"/>
        <v>237.00037875392565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9.4608683161829607E-24</v>
      </c>
      <c r="AC187" s="22">
        <f t="shared" si="163"/>
        <v>9.4608683161829607E-24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-2.8421709430404007E-14</v>
      </c>
      <c r="AJ187" s="13">
        <f>AI187*VLOOKUP('Données projet'!$B$10,Paramètres!$A$1:$I$89,3,0)*VLOOKUP('Données projet'!$B$10,Paramètres!$A$1:$I$89,5,0)</f>
        <v>-2.5715962692629544E-14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242.89078317348179</v>
      </c>
      <c r="AO187" s="59">
        <f t="shared" si="144"/>
        <v>123.46226548411437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-2.8421709430404007E-14</v>
      </c>
      <c r="BE187" s="13">
        <f>BD187*VLOOKUP('Données projet'!$B$11,Paramètres!$A$1:$I$89,3,0)*VLOOKUP('Données projet'!$B$11,Paramètres!$A$1:$I$89,5,0)</f>
        <v>-2.5715962692629544E-14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242.89078317348179</v>
      </c>
      <c r="BJ187" s="59">
        <f t="shared" si="146"/>
        <v>123.46226548411437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194.59898508144084</v>
      </c>
      <c r="T188" s="59">
        <f t="shared" si="142"/>
        <v>237.00037875392565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6.689844142285925E-24</v>
      </c>
      <c r="AC188" s="22">
        <f t="shared" si="163"/>
        <v>6.689844142285925E-24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-2.8421709430404007E-14</v>
      </c>
      <c r="AJ188" s="13">
        <f>AI188*VLOOKUP('Données projet'!$B$10,Paramètres!$A$1:$I$89,3,0)*VLOOKUP('Données projet'!$B$10,Paramètres!$A$1:$I$89,5,0)</f>
        <v>-2.5715962692629544E-14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242.89078317348179</v>
      </c>
      <c r="AO188" s="59">
        <f t="shared" si="144"/>
        <v>123.46226548411437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-2.8421709430404007E-14</v>
      </c>
      <c r="BE188" s="13">
        <f>BD188*VLOOKUP('Données projet'!$B$11,Paramètres!$A$1:$I$89,3,0)*VLOOKUP('Données projet'!$B$11,Paramètres!$A$1:$I$89,5,0)</f>
        <v>-2.5715962692629544E-14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242.89078317348179</v>
      </c>
      <c r="BJ188" s="59">
        <f t="shared" si="146"/>
        <v>123.46226548411437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194.59898508144084</v>
      </c>
      <c r="T189" s="59">
        <f t="shared" si="142"/>
        <v>237.00037875392565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4.7304341580914804E-24</v>
      </c>
      <c r="AC189" s="22">
        <f t="shared" si="163"/>
        <v>4.7304341580914804E-24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-2.8421709430404007E-14</v>
      </c>
      <c r="AJ189" s="13">
        <f>AI189*VLOOKUP('Données projet'!$B$10,Paramètres!$A$1:$I$89,3,0)*VLOOKUP('Données projet'!$B$10,Paramètres!$A$1:$I$89,5,0)</f>
        <v>-2.5715962692629544E-14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242.89078317348179</v>
      </c>
      <c r="AO189" s="59">
        <f t="shared" si="144"/>
        <v>123.46226548411437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-2.8421709430404007E-14</v>
      </c>
      <c r="BE189" s="13">
        <f>BD189*VLOOKUP('Données projet'!$B$11,Paramètres!$A$1:$I$89,3,0)*VLOOKUP('Données projet'!$B$11,Paramètres!$A$1:$I$89,5,0)</f>
        <v>-2.5715962692629544E-14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242.89078317348179</v>
      </c>
      <c r="BJ189" s="59">
        <f t="shared" si="146"/>
        <v>123.46226548411437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194.59898508144084</v>
      </c>
      <c r="T190" s="59">
        <f t="shared" si="142"/>
        <v>237.00037875392565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3.3449220711429625E-24</v>
      </c>
      <c r="AC190" s="22">
        <f t="shared" si="163"/>
        <v>3.3449220711429625E-24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-2.8421709430404007E-14</v>
      </c>
      <c r="AJ190" s="13">
        <f>AI190*VLOOKUP('Données projet'!$B$10,Paramètres!$A$1:$I$89,3,0)*VLOOKUP('Données projet'!$B$10,Paramètres!$A$1:$I$89,5,0)</f>
        <v>-2.5715962692629544E-14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242.89078317348179</v>
      </c>
      <c r="AO190" s="59">
        <f t="shared" si="144"/>
        <v>123.46226548411437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-2.8421709430404007E-14</v>
      </c>
      <c r="BE190" s="13">
        <f>BD190*VLOOKUP('Données projet'!$B$11,Paramètres!$A$1:$I$89,3,0)*VLOOKUP('Données projet'!$B$11,Paramètres!$A$1:$I$89,5,0)</f>
        <v>-2.5715962692629544E-14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242.89078317348179</v>
      </c>
      <c r="BJ190" s="59">
        <f t="shared" si="146"/>
        <v>123.46226548411437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194.59898508144084</v>
      </c>
      <c r="T191" s="59">
        <f t="shared" si="142"/>
        <v>237.00037875392565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2.3652170790457402E-24</v>
      </c>
      <c r="AC191" s="22">
        <f t="shared" si="163"/>
        <v>2.3652170790457402E-24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-2.8421709430404007E-14</v>
      </c>
      <c r="AJ191" s="13">
        <f>AI191*VLOOKUP('Données projet'!$B$10,Paramètres!$A$1:$I$89,3,0)*VLOOKUP('Données projet'!$B$10,Paramètres!$A$1:$I$89,5,0)</f>
        <v>-2.5715962692629544E-14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242.89078317348179</v>
      </c>
      <c r="AO191" s="59">
        <f t="shared" si="144"/>
        <v>123.46226548411437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-2.8421709430404007E-14</v>
      </c>
      <c r="BE191" s="13">
        <f>BD191*VLOOKUP('Données projet'!$B$11,Paramètres!$A$1:$I$89,3,0)*VLOOKUP('Données projet'!$B$11,Paramètres!$A$1:$I$89,5,0)</f>
        <v>-2.5715962692629544E-14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242.89078317348179</v>
      </c>
      <c r="BJ191" s="59">
        <f t="shared" si="146"/>
        <v>123.46226548411437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194.59898508144084</v>
      </c>
      <c r="T192" s="59">
        <f t="shared" si="142"/>
        <v>237.00037875392565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1.6724610355714813E-24</v>
      </c>
      <c r="AC192" s="22">
        <f t="shared" si="163"/>
        <v>1.6724610355714813E-24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-2.8421709430404007E-14</v>
      </c>
      <c r="AJ192" s="13">
        <f>AI192*VLOOKUP('Données projet'!$B$10,Paramètres!$A$1:$I$89,3,0)*VLOOKUP('Données projet'!$B$10,Paramètres!$A$1:$I$89,5,0)</f>
        <v>-2.5715962692629544E-14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242.89078317348179</v>
      </c>
      <c r="AO192" s="59">
        <f t="shared" si="144"/>
        <v>123.46226548411437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-2.8421709430404007E-14</v>
      </c>
      <c r="BE192" s="13">
        <f>BD192*VLOOKUP('Données projet'!$B$11,Paramètres!$A$1:$I$89,3,0)*VLOOKUP('Données projet'!$B$11,Paramètres!$A$1:$I$89,5,0)</f>
        <v>-2.5715962692629544E-14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242.89078317348179</v>
      </c>
      <c r="BJ192" s="59">
        <f t="shared" si="146"/>
        <v>123.46226548411437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194.59898508144084</v>
      </c>
      <c r="T193" s="59">
        <f t="shared" si="142"/>
        <v>237.00037875392565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1.1826085395228701E-24</v>
      </c>
      <c r="AC193" s="22">
        <f t="shared" si="163"/>
        <v>1.1826085395228701E-24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-2.8421709430404007E-14</v>
      </c>
      <c r="AJ193" s="13">
        <f>AI193*VLOOKUP('Données projet'!$B$10,Paramètres!$A$1:$I$89,3,0)*VLOOKUP('Données projet'!$B$10,Paramètres!$A$1:$I$89,5,0)</f>
        <v>-2.5715962692629544E-14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242.89078317348179</v>
      </c>
      <c r="AO193" s="59">
        <f t="shared" si="144"/>
        <v>123.46226548411437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-2.8421709430404007E-14</v>
      </c>
      <c r="BE193" s="13">
        <f>BD193*VLOOKUP('Données projet'!$B$11,Paramètres!$A$1:$I$89,3,0)*VLOOKUP('Données projet'!$B$11,Paramètres!$A$1:$I$89,5,0)</f>
        <v>-2.5715962692629544E-14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242.89078317348179</v>
      </c>
      <c r="BJ193" s="59">
        <f t="shared" si="146"/>
        <v>123.46226548411437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194.59898508144084</v>
      </c>
      <c r="T194" s="59">
        <f t="shared" si="142"/>
        <v>237.00037875392565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8.3623051778574063E-25</v>
      </c>
      <c r="AC194" s="22">
        <f t="shared" si="163"/>
        <v>8.3623051778574063E-25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-2.8421709430404007E-14</v>
      </c>
      <c r="AJ194" s="13">
        <f>AI194*VLOOKUP('Données projet'!$B$10,Paramètres!$A$1:$I$89,3,0)*VLOOKUP('Données projet'!$B$10,Paramètres!$A$1:$I$89,5,0)</f>
        <v>-2.5715962692629544E-14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242.89078317348179</v>
      </c>
      <c r="AO194" s="59">
        <f t="shared" si="144"/>
        <v>123.46226548411437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-2.8421709430404007E-14</v>
      </c>
      <c r="BE194" s="13">
        <f>BD194*VLOOKUP('Données projet'!$B$11,Paramètres!$A$1:$I$89,3,0)*VLOOKUP('Données projet'!$B$11,Paramètres!$A$1:$I$89,5,0)</f>
        <v>-2.5715962692629544E-14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242.89078317348179</v>
      </c>
      <c r="BJ194" s="59">
        <f t="shared" si="146"/>
        <v>123.46226548411437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194.59898508144084</v>
      </c>
      <c r="T195" s="59">
        <f t="shared" si="142"/>
        <v>237.00037875392565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5.9130426976143505E-25</v>
      </c>
      <c r="AC195" s="22">
        <f t="shared" si="163"/>
        <v>5.9130426976143505E-25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-2.8421709430404007E-14</v>
      </c>
      <c r="AJ195" s="13">
        <f>AI195*VLOOKUP('Données projet'!$B$10,Paramètres!$A$1:$I$89,3,0)*VLOOKUP('Données projet'!$B$10,Paramètres!$A$1:$I$89,5,0)</f>
        <v>-2.5715962692629544E-14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242.89078317348179</v>
      </c>
      <c r="AO195" s="59">
        <f t="shared" si="144"/>
        <v>123.46226548411437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-2.8421709430404007E-14</v>
      </c>
      <c r="BE195" s="13">
        <f>BD195*VLOOKUP('Données projet'!$B$11,Paramètres!$A$1:$I$89,3,0)*VLOOKUP('Données projet'!$B$11,Paramètres!$A$1:$I$89,5,0)</f>
        <v>-2.5715962692629544E-14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242.89078317348179</v>
      </c>
      <c r="BJ195" s="59">
        <f t="shared" si="146"/>
        <v>123.46226548411437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194.59898508144084</v>
      </c>
      <c r="T196" s="59">
        <f t="shared" si="142"/>
        <v>237.00037875392565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4.1811525889287031E-25</v>
      </c>
      <c r="AC196" s="22">
        <f t="shared" si="163"/>
        <v>4.1811525889287031E-25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-2.8421709430404007E-14</v>
      </c>
      <c r="AJ196" s="13">
        <f>AI196*VLOOKUP('Données projet'!$B$10,Paramètres!$A$1:$I$89,3,0)*VLOOKUP('Données projet'!$B$10,Paramètres!$A$1:$I$89,5,0)</f>
        <v>-2.5715962692629544E-14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242.89078317348179</v>
      </c>
      <c r="AO196" s="59">
        <f t="shared" si="144"/>
        <v>123.46226548411437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-2.8421709430404007E-14</v>
      </c>
      <c r="BE196" s="13">
        <f>BD196*VLOOKUP('Données projet'!$B$11,Paramètres!$A$1:$I$89,3,0)*VLOOKUP('Données projet'!$B$11,Paramètres!$A$1:$I$89,5,0)</f>
        <v>-2.5715962692629544E-14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242.89078317348179</v>
      </c>
      <c r="BJ196" s="59">
        <f t="shared" si="146"/>
        <v>123.46226548411437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194.59898508144084</v>
      </c>
      <c r="T197" s="59">
        <f t="shared" ref="T197:T203" si="204">$T$3</f>
        <v>237.00037875392565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2.9565213488071752E-25</v>
      </c>
      <c r="AC197" s="22">
        <f t="shared" si="163"/>
        <v>2.9565213488071752E-25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-2.8421709430404007E-14</v>
      </c>
      <c r="AJ197" s="13">
        <f>AI197*VLOOKUP('Données projet'!$B$10,Paramètres!$A$1:$I$89,3,0)*VLOOKUP('Données projet'!$B$10,Paramètres!$A$1:$I$89,5,0)</f>
        <v>-2.5715962692629544E-14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242.89078317348179</v>
      </c>
      <c r="AO197" s="59">
        <f t="shared" ref="AO197:AO203" si="205">$AO$3</f>
        <v>123.46226548411437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-2.8421709430404007E-14</v>
      </c>
      <c r="BE197" s="13">
        <f>BD197*VLOOKUP('Données projet'!$B$11,Paramètres!$A$1:$I$89,3,0)*VLOOKUP('Données projet'!$B$11,Paramètres!$A$1:$I$89,5,0)</f>
        <v>-2.5715962692629544E-14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242.89078317348179</v>
      </c>
      <c r="BJ197" s="59">
        <f t="shared" ref="BJ197:BJ203" si="206">$BJ$3</f>
        <v>123.46226548411437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194.59898508144084</v>
      </c>
      <c r="T198" s="59">
        <f t="shared" si="204"/>
        <v>237.00037875392565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2.0905762944643516E-25</v>
      </c>
      <c r="AC198" s="22">
        <f t="shared" si="163"/>
        <v>2.0905762944643516E-25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-2.8421709430404007E-14</v>
      </c>
      <c r="AJ198" s="13">
        <f>AI198*VLOOKUP('Données projet'!$B$10,Paramètres!$A$1:$I$89,3,0)*VLOOKUP('Données projet'!$B$10,Paramètres!$A$1:$I$89,5,0)</f>
        <v>-2.5715962692629544E-14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242.89078317348179</v>
      </c>
      <c r="AO198" s="59">
        <f t="shared" si="205"/>
        <v>123.46226548411437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-2.8421709430404007E-14</v>
      </c>
      <c r="BE198" s="13">
        <f>BD198*VLOOKUP('Données projet'!$B$11,Paramètres!$A$1:$I$89,3,0)*VLOOKUP('Données projet'!$B$11,Paramètres!$A$1:$I$89,5,0)</f>
        <v>-2.5715962692629544E-14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242.89078317348179</v>
      </c>
      <c r="BJ198" s="59">
        <f t="shared" si="206"/>
        <v>123.46226548411437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194.59898508144084</v>
      </c>
      <c r="T199" s="59">
        <f t="shared" si="204"/>
        <v>237.00037875392565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1.4782606744035876E-25</v>
      </c>
      <c r="AC199" s="22">
        <f t="shared" si="163"/>
        <v>1.4782606744035876E-25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-2.8421709430404007E-14</v>
      </c>
      <c r="AJ199" s="13">
        <f>AI199*VLOOKUP('Données projet'!$B$10,Paramètres!$A$1:$I$89,3,0)*VLOOKUP('Données projet'!$B$10,Paramètres!$A$1:$I$89,5,0)</f>
        <v>-2.5715962692629544E-14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242.89078317348179</v>
      </c>
      <c r="AO199" s="59">
        <f t="shared" si="205"/>
        <v>123.46226548411437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-2.8421709430404007E-14</v>
      </c>
      <c r="BE199" s="13">
        <f>BD199*VLOOKUP('Données projet'!$B$11,Paramètres!$A$1:$I$89,3,0)*VLOOKUP('Données projet'!$B$11,Paramètres!$A$1:$I$89,5,0)</f>
        <v>-2.5715962692629544E-14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242.89078317348179</v>
      </c>
      <c r="BJ199" s="59">
        <f t="shared" si="206"/>
        <v>123.46226548411437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194.59898508144084</v>
      </c>
      <c r="T200" s="59">
        <f t="shared" si="204"/>
        <v>237.00037875392565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1.0452881472321758E-25</v>
      </c>
      <c r="AC200" s="22">
        <f t="shared" si="163"/>
        <v>1.0452881472321758E-25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-2.8421709430404007E-14</v>
      </c>
      <c r="AJ200" s="13">
        <f>AI200*VLOOKUP('Données projet'!$B$10,Paramètres!$A$1:$I$89,3,0)*VLOOKUP('Données projet'!$B$10,Paramètres!$A$1:$I$89,5,0)</f>
        <v>-2.5715962692629544E-14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242.89078317348179</v>
      </c>
      <c r="AO200" s="59">
        <f t="shared" si="205"/>
        <v>123.46226548411437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-2.8421709430404007E-14</v>
      </c>
      <c r="BE200" s="13">
        <f>BD200*VLOOKUP('Données projet'!$B$11,Paramètres!$A$1:$I$89,3,0)*VLOOKUP('Données projet'!$B$11,Paramètres!$A$1:$I$89,5,0)</f>
        <v>-2.5715962692629544E-14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242.89078317348179</v>
      </c>
      <c r="BJ200" s="59">
        <f t="shared" si="206"/>
        <v>123.46226548411437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194.59898508144084</v>
      </c>
      <c r="T201" s="59">
        <f t="shared" si="204"/>
        <v>237.00037875392565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7.3913033720179381E-26</v>
      </c>
      <c r="AC201" s="22">
        <f t="shared" si="163"/>
        <v>7.3913033720179381E-26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-2.8421709430404007E-14</v>
      </c>
      <c r="AJ201" s="13">
        <f>AI201*VLOOKUP('Données projet'!$B$10,Paramètres!$A$1:$I$89,3,0)*VLOOKUP('Données projet'!$B$10,Paramètres!$A$1:$I$89,5,0)</f>
        <v>-2.5715962692629544E-14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242.89078317348179</v>
      </c>
      <c r="AO201" s="59">
        <f t="shared" si="205"/>
        <v>123.46226548411437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-2.8421709430404007E-14</v>
      </c>
      <c r="BE201" s="13">
        <f>BD201*VLOOKUP('Données projet'!$B$11,Paramètres!$A$1:$I$89,3,0)*VLOOKUP('Données projet'!$B$11,Paramètres!$A$1:$I$89,5,0)</f>
        <v>-2.5715962692629544E-14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242.89078317348179</v>
      </c>
      <c r="BJ201" s="59">
        <f t="shared" si="206"/>
        <v>123.46226548411437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194.59898508144084</v>
      </c>
      <c r="T202" s="59">
        <f t="shared" si="204"/>
        <v>237.00037875392565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5.2264407361608789E-26</v>
      </c>
      <c r="AC202" s="22">
        <f t="shared" si="163"/>
        <v>5.2264407361608789E-26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-2.8421709430404007E-14</v>
      </c>
      <c r="AJ202" s="13">
        <f>AI202*VLOOKUP('Données projet'!$B$10,Paramètres!$A$1:$I$89,3,0)*VLOOKUP('Données projet'!$B$10,Paramètres!$A$1:$I$89,5,0)</f>
        <v>-2.5715962692629544E-14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242.89078317348179</v>
      </c>
      <c r="AO202" s="59">
        <f t="shared" si="205"/>
        <v>123.46226548411437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-2.8421709430404007E-14</v>
      </c>
      <c r="BE202" s="13">
        <f>BD202*VLOOKUP('Données projet'!$B$11,Paramètres!$A$1:$I$89,3,0)*VLOOKUP('Données projet'!$B$11,Paramètres!$A$1:$I$89,5,0)</f>
        <v>-2.5715962692629544E-14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242.89078317348179</v>
      </c>
      <c r="BJ202" s="59">
        <f t="shared" si="206"/>
        <v>123.46226548411437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194.59898508144084</v>
      </c>
      <c r="T203" s="59">
        <f t="shared" si="204"/>
        <v>237.00037875392565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3.695651686008969E-26</v>
      </c>
      <c r="AC203" s="22">
        <f t="shared" si="163"/>
        <v>3.695651686008969E-26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-2.8421709430404007E-14</v>
      </c>
      <c r="AJ203" s="13">
        <f>AI203*VLOOKUP('Données projet'!$B$10,Paramètres!$A$1:$I$89,3,0)*VLOOKUP('Données projet'!$B$10,Paramètres!$A$1:$I$89,5,0)</f>
        <v>-2.5715962692629544E-14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242.89078317348179</v>
      </c>
      <c r="AO203" s="59">
        <f t="shared" si="205"/>
        <v>123.46226548411437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-2.8421709430404007E-14</v>
      </c>
      <c r="BE203" s="13">
        <f>BD203*VLOOKUP('Données projet'!$B$11,Paramètres!$A$1:$I$89,3,0)*VLOOKUP('Données projet'!$B$11,Paramètres!$A$1:$I$89,5,0)</f>
        <v>-2.5715962692629544E-14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242.89078317348179</v>
      </c>
      <c r="BJ203" s="59">
        <f t="shared" si="206"/>
        <v>123.46226548411437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1.2782520032539497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1.1329687128267454</v>
      </c>
      <c r="BA205" s="82">
        <f>EXP(LN('Données projet'!B88)/'Données projet'!A88)</f>
        <v>1.1329687128267454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J23" sqref="J2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2.4059999999999997</v>
      </c>
      <c r="C6" s="147">
        <f ca="1">IF(OR('Données projet'!B9="",'Données projet'!C9="",'Données projet'!C9=0%),0,Calculateur!S3)</f>
        <v>194.59898508144084</v>
      </c>
      <c r="D6" s="147">
        <f>IF(OR('Données projet'!B9="",'Données projet'!C9="",'Données projet'!C9=0%),0,Calculateur!T3)</f>
        <v>237.00037875392565</v>
      </c>
      <c r="E6" s="147">
        <f ca="1">MIN(C6,D6)</f>
        <v>194.59898508144084</v>
      </c>
      <c r="F6" s="147">
        <f ca="1">E6*B6</f>
        <v>468.20515810594662</v>
      </c>
      <c r="G6" s="147">
        <f ca="1">F6*(100%-'Données projet'!$C$24)*(100%-'Données projet'!$C$25)*(100%-'Données projet'!$C$26)*(100%-'Données projet'!$C$27)</f>
        <v>400.31541018058437</v>
      </c>
      <c r="H6" s="148">
        <f>IF(OR('Données projet'!B9="",'Données projet'!C9="",'Données projet'!C9=0%),0,AVERAGE(Calculateur!$AC$3:$AC$33)*B6)</f>
        <v>3.146401620156968</v>
      </c>
      <c r="I6" s="149">
        <f>H6*(100%-'Données projet'!$C$24)*(100%-'Données projet'!$C$25)*(100%-'Données projet'!$C$26)*(100%-'Données projet'!$C$27)</f>
        <v>2.6901733852342078</v>
      </c>
      <c r="J6" s="150">
        <f>IF(OR('Données projet'!B9="",'Données projet'!C9="",'Données projet'!C9=0%),0,SUM(Calculateur!$V$3:$V$33)*VLOOKUP('Données projet'!$B$9,Paramètres!$A$1:$I$89,9,0)*B6)</f>
        <v>58.343093999999986</v>
      </c>
      <c r="K6" s="151">
        <f>J6*(100%-'Données projet'!$C$24)*(100%-'Données projet'!$C$25)*(100%-'Données projet'!$C$26)*(100%-'Données projet'!$C$27)</f>
        <v>49.883345369999986</v>
      </c>
      <c r="L6" s="152">
        <f ca="1">G6+I6+K6</f>
        <v>452.88892893581857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0.80200000000000005</v>
      </c>
      <c r="C7" s="147">
        <f ca="1">IF(OR('Données projet'!B10="",'Données projet'!C10="",'Données projet'!C10=0%),0,Calculateur!AN3)</f>
        <v>242.89078317348179</v>
      </c>
      <c r="D7" s="147">
        <f>IF(OR('Données projet'!B10="",'Données projet'!C10="",'Données projet'!C10=0%),0,Calculateur!AO3)</f>
        <v>123.46226548411437</v>
      </c>
      <c r="E7" s="147">
        <f t="shared" ref="E7:E15" ca="1" si="0">MIN(C7,D7)</f>
        <v>123.46226548411437</v>
      </c>
      <c r="F7" s="147">
        <f t="shared" ref="F7:F15" ca="1" si="1">E7*B7</f>
        <v>99.016736918259724</v>
      </c>
      <c r="G7" s="147">
        <f ca="1">F7*(100%-'Données projet'!$C$24)*(100%-'Données projet'!$C$25)*(100%-'Données projet'!$C$26)*(100%-'Données projet'!$C$27)</f>
        <v>84.659310065112052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84.659310065112052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sessile</v>
      </c>
      <c r="B8" s="154">
        <f>'Données projet'!D11</f>
        <v>0.80200000000000005</v>
      </c>
      <c r="C8" s="147">
        <f ca="1">IF(OR('Données projet'!B11="",'Données projet'!C11="",'Données projet'!C11=0%),0,Calculateur!BI3)</f>
        <v>242.89078317348179</v>
      </c>
      <c r="D8" s="147">
        <f>IF(OR('Données projet'!B11="",'Données projet'!C11="",'Données projet'!C11=0%),0,Calculateur!BJ3)</f>
        <v>123.46226548411437</v>
      </c>
      <c r="E8" s="147">
        <f t="shared" ca="1" si="0"/>
        <v>123.46226548411437</v>
      </c>
      <c r="F8" s="147">
        <f t="shared" ca="1" si="1"/>
        <v>99.016736918259724</v>
      </c>
      <c r="G8" s="147">
        <f ca="1">F8*(100%-'Données projet'!$C$24)*(100%-'Données projet'!$C$25)*(100%-'Données projet'!$C$26)*(100%-'Données projet'!$C$27)</f>
        <v>84.659310065112052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84.659310065112052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666.2386319424661</v>
      </c>
      <c r="G16" s="166">
        <f t="shared" ca="1" si="3"/>
        <v>569.6340303108085</v>
      </c>
      <c r="H16" s="167">
        <f t="shared" si="3"/>
        <v>3.146401620156968</v>
      </c>
      <c r="I16" s="167">
        <f t="shared" si="3"/>
        <v>2.6901733852342078</v>
      </c>
      <c r="J16" s="168">
        <f t="shared" si="3"/>
        <v>58.343093999999986</v>
      </c>
      <c r="K16" s="168">
        <f t="shared" si="3"/>
        <v>49.883345369999986</v>
      </c>
      <c r="L16" s="169">
        <f t="shared" ca="1" si="3"/>
        <v>622.2075490660427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" zoomScale="80" zoomScaleNormal="80" workbookViewId="0">
      <selection activeCell="K27" sqref="K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1904.7557224294169</v>
      </c>
      <c r="U10" s="178">
        <f>'Données projet'!D9</f>
        <v>2.4059999999999997</v>
      </c>
      <c r="V10" s="177">
        <f>U10*T10</f>
        <v>4582.8422681651764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270.91519556266206</v>
      </c>
      <c r="U11" s="178">
        <f>'Données projet'!D10</f>
        <v>0.80200000000000005</v>
      </c>
      <c r="V11" s="177">
        <f t="shared" ref="V11" si="0">U11*T11</f>
        <v>217.27398684125498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278.13620100833327</v>
      </c>
      <c r="U12" s="178">
        <f>'Données projet'!D11</f>
        <v>0.80200000000000005</v>
      </c>
      <c r="V12" s="177">
        <f t="shared" ref="V12:V19" si="1">U12*T12</f>
        <v>223.06523320868331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7035.72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842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842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16</v>
      </c>
      <c r="B23" s="181">
        <f>'Données projet'!D36</f>
        <v>7.6</v>
      </c>
      <c r="C23" s="193">
        <v>5</v>
      </c>
      <c r="D23" s="182">
        <f>B23*C23</f>
        <v>38</v>
      </c>
      <c r="E23" s="193"/>
      <c r="F23" s="230"/>
      <c r="H23" s="190">
        <v>4</v>
      </c>
      <c r="I23" s="191">
        <v>842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-36159.251506450739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24</v>
      </c>
      <c r="B24" s="181">
        <f>'Données projet'!D37</f>
        <v>33.5</v>
      </c>
      <c r="C24" s="193">
        <v>10</v>
      </c>
      <c r="D24" s="182">
        <f t="shared" ref="D24:D42" si="2">B24*C24</f>
        <v>335</v>
      </c>
      <c r="E24" s="193"/>
      <c r="F24" s="233"/>
      <c r="H24" s="190">
        <v>5</v>
      </c>
      <c r="I24" s="191">
        <v>842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34</v>
      </c>
      <c r="B25" s="181">
        <f>'Données projet'!D38</f>
        <v>61.699999999999996</v>
      </c>
      <c r="C25" s="193">
        <v>25</v>
      </c>
      <c r="D25" s="182">
        <f t="shared" si="2"/>
        <v>1542.5</v>
      </c>
      <c r="E25" s="193"/>
      <c r="F25" s="233"/>
      <c r="H25" s="190">
        <v>6</v>
      </c>
      <c r="I25" s="191">
        <v>842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-36159.251506450739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46</v>
      </c>
      <c r="B26" s="181">
        <f>'Données projet'!D39</f>
        <v>53.8</v>
      </c>
      <c r="C26" s="193">
        <v>45</v>
      </c>
      <c r="D26" s="182">
        <f t="shared" si="2"/>
        <v>2421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62</v>
      </c>
      <c r="B27" s="181">
        <f>'Données projet'!D40</f>
        <v>241.7</v>
      </c>
      <c r="C27" s="193">
        <v>70</v>
      </c>
      <c r="D27" s="182">
        <f t="shared" si="2"/>
        <v>16919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35</v>
      </c>
      <c r="B54" s="181">
        <f>'Données projet'!D62</f>
        <v>13</v>
      </c>
      <c r="C54" s="191">
        <v>2</v>
      </c>
      <c r="D54" s="179">
        <f>B54*C54</f>
        <v>26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40</v>
      </c>
      <c r="B55" s="181">
        <f>'Données projet'!D63</f>
        <v>14</v>
      </c>
      <c r="C55" s="191">
        <v>3</v>
      </c>
      <c r="D55" s="179">
        <f t="shared" ref="D55:D73" si="4">B55*C55</f>
        <v>42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45</v>
      </c>
      <c r="B56" s="181">
        <f>'Données projet'!D64</f>
        <v>14</v>
      </c>
      <c r="C56" s="191">
        <v>6</v>
      </c>
      <c r="D56" s="179">
        <f t="shared" si="4"/>
        <v>84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14</v>
      </c>
      <c r="C57" s="191">
        <v>20</v>
      </c>
      <c r="D57" s="179">
        <f t="shared" si="4"/>
        <v>280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55</v>
      </c>
      <c r="B58" s="181">
        <f>'Données projet'!D66</f>
        <v>14</v>
      </c>
      <c r="C58" s="191">
        <v>35</v>
      </c>
      <c r="D58" s="179">
        <f t="shared" si="4"/>
        <v>490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60</v>
      </c>
      <c r="B59" s="181">
        <f>'Données projet'!D67</f>
        <v>14</v>
      </c>
      <c r="C59" s="191">
        <v>55</v>
      </c>
      <c r="D59" s="179">
        <f t="shared" si="4"/>
        <v>770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65</v>
      </c>
      <c r="B60" s="181">
        <f>'Données projet'!D68</f>
        <v>14</v>
      </c>
      <c r="C60" s="191">
        <v>75</v>
      </c>
      <c r="D60" s="179">
        <f t="shared" si="4"/>
        <v>1050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70</v>
      </c>
      <c r="B61" s="181">
        <f>'Données projet'!D69</f>
        <v>14</v>
      </c>
      <c r="C61" s="191">
        <v>100</v>
      </c>
      <c r="D61" s="179">
        <f t="shared" si="4"/>
        <v>1400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75</v>
      </c>
      <c r="B62" s="181">
        <f>'Données projet'!D70</f>
        <v>14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80</v>
      </c>
      <c r="B63" s="181">
        <f>'Données projet'!D71</f>
        <v>14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85</v>
      </c>
      <c r="B64" s="181">
        <f>'Données projet'!D72</f>
        <v>14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90</v>
      </c>
      <c r="B65" s="181">
        <f>'Données projet'!D73</f>
        <v>14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95</v>
      </c>
      <c r="B66" s="181">
        <f>'Données projet'!D74</f>
        <v>14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100</v>
      </c>
      <c r="B67" s="181">
        <f>'Données projet'!D75</f>
        <v>216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35</v>
      </c>
      <c r="B85" s="181">
        <f>'Données projet'!D88</f>
        <v>13</v>
      </c>
      <c r="C85" s="191">
        <v>2</v>
      </c>
      <c r="D85" s="179">
        <f>B85*C85</f>
        <v>26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40</v>
      </c>
      <c r="B86" s="181">
        <f>'Données projet'!D89</f>
        <v>14</v>
      </c>
      <c r="C86" s="191">
        <v>3</v>
      </c>
      <c r="D86" s="179">
        <f t="shared" ref="D86:D104" si="6">B86*C86</f>
        <v>42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45</v>
      </c>
      <c r="B87" s="181">
        <f>'Données projet'!D90</f>
        <v>14</v>
      </c>
      <c r="C87" s="191">
        <v>6</v>
      </c>
      <c r="D87" s="179">
        <f t="shared" si="6"/>
        <v>84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14</v>
      </c>
      <c r="C88" s="191">
        <v>20</v>
      </c>
      <c r="D88" s="179">
        <f t="shared" si="6"/>
        <v>280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55</v>
      </c>
      <c r="B89" s="181">
        <f>'Données projet'!D92</f>
        <v>14</v>
      </c>
      <c r="C89" s="191">
        <v>35</v>
      </c>
      <c r="D89" s="179">
        <f t="shared" si="6"/>
        <v>490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60</v>
      </c>
      <c r="B90" s="181">
        <f>'Données projet'!D93</f>
        <v>14</v>
      </c>
      <c r="C90" s="191">
        <v>55</v>
      </c>
      <c r="D90" s="179">
        <f t="shared" si="6"/>
        <v>770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65</v>
      </c>
      <c r="B91" s="181">
        <f>'Données projet'!D94</f>
        <v>14</v>
      </c>
      <c r="C91" s="191">
        <v>75</v>
      </c>
      <c r="D91" s="179">
        <f t="shared" si="6"/>
        <v>1050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70</v>
      </c>
      <c r="B92" s="181">
        <f>'Données projet'!D95</f>
        <v>14</v>
      </c>
      <c r="C92" s="191">
        <v>100</v>
      </c>
      <c r="D92" s="179">
        <f t="shared" si="6"/>
        <v>1400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75</v>
      </c>
      <c r="B93" s="181">
        <f>'Données projet'!D96</f>
        <v>14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80</v>
      </c>
      <c r="B94" s="181">
        <f>'Données projet'!D97</f>
        <v>14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85</v>
      </c>
      <c r="B95" s="181">
        <f>'Données projet'!D98</f>
        <v>14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90</v>
      </c>
      <c r="B96" s="181">
        <f>'Données projet'!D99</f>
        <v>14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95</v>
      </c>
      <c r="B97" s="181">
        <f>'Données projet'!D100</f>
        <v>14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100</v>
      </c>
      <c r="B98" s="181">
        <f>'Données projet'!D101</f>
        <v>216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Sixte du CREST</cp:lastModifiedBy>
  <dcterms:created xsi:type="dcterms:W3CDTF">2021-02-01T08:22:39Z</dcterms:created>
  <dcterms:modified xsi:type="dcterms:W3CDTF">2025-09-03T08:19:20Z</dcterms:modified>
</cp:coreProperties>
</file>