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_Auxi_le_Château (62)\Dossier d_instruction\"/>
    </mc:Choice>
  </mc:AlternateContent>
  <xr:revisionPtr revIDLastSave="0" documentId="13_ncr:1_{D4E8FCDC-2B6D-4EEA-A9F7-1065C133CA75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HJ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ED155" i="2"/>
  <c r="EY155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Y163" i="2" s="1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HI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HJ200" i="2"/>
  <c r="HG201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Y201" i="2"/>
  <c r="EW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68" i="2" a="1"/>
  <c r="GT68" i="2" s="1"/>
  <c r="GT51" i="2" a="1"/>
  <c r="GT51" i="2" s="1"/>
  <c r="GT122" i="2" a="1"/>
  <c r="GT122" i="2" s="1"/>
  <c r="GT33" i="2" a="1"/>
  <c r="GT33" i="2" s="1"/>
  <c r="GT152" i="2" a="1"/>
  <c r="GT152" i="2" s="1"/>
  <c r="GT102" i="2" a="1"/>
  <c r="GT102" i="2" s="1"/>
  <c r="GT11" i="2" a="1"/>
  <c r="GT11" i="2" s="1"/>
  <c r="EI29" i="2" a="1"/>
  <c r="EI29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71" i="2" a="1"/>
  <c r="EI71" i="2" s="1"/>
  <c r="EI67" i="2" a="1"/>
  <c r="EI67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GT121" i="2" l="1" a="1"/>
  <c r="GT121" i="2" s="1"/>
  <c r="GT184" i="2" a="1"/>
  <c r="GT184" i="2" s="1"/>
  <c r="GT147" i="2" a="1"/>
  <c r="GT147" i="2" s="1"/>
  <c r="GT181" i="2" a="1"/>
  <c r="GT181" i="2" s="1"/>
  <c r="GT115" i="2" a="1"/>
  <c r="GT115" i="2" s="1"/>
  <c r="GT133" i="2" a="1"/>
  <c r="GT133" i="2" s="1"/>
  <c r="FY22" i="2" a="1"/>
  <c r="FY22" i="2" s="1"/>
  <c r="FY90" i="2" a="1"/>
  <c r="FY90" i="2" s="1"/>
  <c r="FY57" i="2" a="1"/>
  <c r="FY57" i="2" s="1"/>
  <c r="FY54" i="2" a="1"/>
  <c r="FY54" i="2" s="1"/>
  <c r="FY109" i="2" a="1"/>
  <c r="FY109" i="2" s="1"/>
  <c r="EI170" i="2" a="1"/>
  <c r="EI170" i="2" s="1"/>
  <c r="EI57" i="2" a="1"/>
  <c r="EI57" i="2" s="1"/>
  <c r="EI106" i="2" a="1"/>
  <c r="EI106" i="2" s="1"/>
  <c r="EY202" i="2"/>
  <c r="EI36" i="2" a="1"/>
  <c r="EI36" i="2" s="1"/>
  <c r="EI153" i="2" a="1"/>
  <c r="EI153" i="2" s="1"/>
  <c r="EI113" i="2" a="1"/>
  <c r="EI113" i="2" s="1"/>
  <c r="EI87" i="2" a="1"/>
  <c r="EI87" i="2" s="1"/>
  <c r="EI142" i="2" a="1"/>
  <c r="EI142" i="2" s="1"/>
  <c r="EI166" i="2" a="1"/>
  <c r="EI166" i="2" s="1"/>
  <c r="EI16" i="2" a="1"/>
  <c r="EI16" i="2" s="1"/>
  <c r="EI128" i="2" a="1"/>
  <c r="EI128" i="2" s="1"/>
  <c r="EI109" i="2" a="1"/>
  <c r="EI109" i="2" s="1"/>
  <c r="EI178" i="2" a="1"/>
  <c r="EI178" i="2" s="1"/>
  <c r="EI198" i="2" a="1"/>
  <c r="EI198" i="2" s="1"/>
  <c r="EI20" i="2" a="1"/>
  <c r="EI20" i="2" s="1"/>
  <c r="EI38" i="2" a="1"/>
  <c r="EI38" i="2" s="1"/>
  <c r="EI145" i="2" a="1"/>
  <c r="EI145" i="2" s="1"/>
  <c r="EI34" i="2" a="1"/>
  <c r="EI34" i="2" s="1"/>
  <c r="EI162" i="2" a="1"/>
  <c r="EI162" i="2" s="1"/>
  <c r="EI35" i="2" a="1"/>
  <c r="EI35" i="2" s="1"/>
  <c r="EI139" i="2" a="1"/>
  <c r="EI139" i="2" s="1"/>
  <c r="EI165" i="2" a="1"/>
  <c r="EI165" i="2" s="1"/>
  <c r="EI150" i="2" a="1"/>
  <c r="EI150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FT20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GZ180" i="2" l="1"/>
  <c r="GZ34" i="2"/>
  <c r="GZ68" i="2"/>
  <c r="GZ120" i="2"/>
  <c r="GZ174" i="2"/>
  <c r="GZ196" i="2"/>
  <c r="GZ138" i="2"/>
  <c r="GZ149" i="2"/>
  <c r="GZ39" i="2"/>
  <c r="GZ101" i="2"/>
  <c r="GZ8" i="2"/>
  <c r="GZ185" i="2"/>
  <c r="GZ30" i="2"/>
  <c r="GZ15" i="2"/>
  <c r="GZ132" i="2"/>
  <c r="GZ195" i="2"/>
  <c r="GZ193" i="2"/>
  <c r="GZ194" i="2"/>
  <c r="GZ99" i="2"/>
  <c r="GZ156" i="2"/>
  <c r="GZ157" i="2"/>
  <c r="GZ168" i="2"/>
  <c r="GZ127" i="2"/>
  <c r="GZ136" i="2"/>
  <c r="GZ78" i="2"/>
  <c r="GZ140" i="2"/>
  <c r="GZ11" i="2"/>
  <c r="GZ64" i="2"/>
  <c r="GZ186" i="2"/>
  <c r="GZ147" i="2"/>
  <c r="GZ10" i="2"/>
  <c r="GZ117" i="2"/>
  <c r="GZ107" i="2"/>
  <c r="GZ48" i="2"/>
  <c r="GZ114" i="2"/>
  <c r="GZ22" i="2"/>
  <c r="GZ137" i="2"/>
  <c r="GZ77" i="2"/>
  <c r="GZ200" i="2"/>
  <c r="GZ148" i="2"/>
  <c r="GZ6" i="2"/>
  <c r="GZ113" i="2"/>
  <c r="GZ98" i="2"/>
  <c r="GZ184" i="2"/>
  <c r="GZ17" i="2"/>
  <c r="GZ61" i="2"/>
  <c r="GZ187" i="2"/>
  <c r="GZ47" i="2"/>
  <c r="GZ133" i="2"/>
  <c r="GZ118" i="2"/>
  <c r="GZ26" i="2"/>
  <c r="GZ112" i="2"/>
  <c r="GZ36" i="2"/>
  <c r="GZ106" i="2"/>
  <c r="GZ144" i="2"/>
  <c r="GZ33" i="2"/>
  <c r="GZ87" i="2"/>
  <c r="GZ67" i="2"/>
  <c r="GZ126" i="2"/>
  <c r="GZ111" i="2"/>
  <c r="GZ197" i="2"/>
  <c r="GZ105" i="2"/>
  <c r="GZ90" i="2"/>
  <c r="GZ176" i="2"/>
  <c r="GZ142" i="2"/>
  <c r="GZ29" i="2"/>
  <c r="GZ91" i="2"/>
  <c r="GZ74" i="2"/>
  <c r="GZ181" i="2"/>
  <c r="GZ52" i="2"/>
  <c r="GZ37" i="2"/>
  <c r="GZ160" i="2"/>
  <c r="GZ70" i="2"/>
  <c r="GZ16" i="2"/>
  <c r="GZ179" i="2"/>
  <c r="GZ201" i="2"/>
  <c r="GZ188" i="2"/>
  <c r="GZ54" i="2"/>
  <c r="GZ159" i="2"/>
  <c r="GZ46" i="2"/>
  <c r="GZ102" i="2"/>
  <c r="GZ134" i="2"/>
  <c r="GZ21" i="2"/>
  <c r="GZ123" i="2"/>
  <c r="GZ66" i="2"/>
  <c r="GZ173" i="2"/>
  <c r="GZ100" i="2"/>
  <c r="GZ56" i="2"/>
  <c r="GZ59" i="2"/>
  <c r="GZ97" i="2"/>
  <c r="GZ5" i="2"/>
  <c r="GZ83" i="2"/>
  <c r="GZ50" i="2"/>
  <c r="GZ139" i="2"/>
  <c r="GZ38" i="2"/>
  <c r="GZ31" i="2"/>
  <c r="GZ14" i="2"/>
  <c r="GZ25" i="2"/>
  <c r="GZ183" i="2"/>
  <c r="GZ94" i="2"/>
  <c r="GZ12" i="2"/>
  <c r="GZ13" i="2"/>
  <c r="GZ27" i="2"/>
  <c r="GZ135" i="2"/>
  <c r="GZ203" i="2"/>
  <c r="GZ51" i="2"/>
  <c r="GZ92" i="2"/>
  <c r="GZ18" i="2"/>
  <c r="GZ131" i="2"/>
  <c r="GZ63" i="2"/>
  <c r="GZ88" i="2"/>
  <c r="GZ190" i="2"/>
  <c r="GZ53" i="2"/>
  <c r="GZ35" i="2"/>
  <c r="GZ169" i="2"/>
  <c r="GZ32" i="2"/>
  <c r="GZ110" i="2"/>
  <c r="GZ172" i="2"/>
  <c r="GZ151" i="2"/>
  <c r="GZ89" i="2"/>
  <c r="GZ103" i="2"/>
  <c r="GZ189" i="2"/>
  <c r="GZ109" i="2"/>
  <c r="GZ7" i="2"/>
  <c r="GZ192" i="2"/>
  <c r="GZ177" i="2"/>
  <c r="GZ162" i="2"/>
  <c r="GZ45" i="2"/>
  <c r="GZ43" i="2"/>
  <c r="GZ81" i="2"/>
  <c r="GZ82" i="2"/>
  <c r="GZ154" i="2"/>
  <c r="GZ182" i="2"/>
  <c r="GZ167" i="2"/>
  <c r="GZ40" i="2"/>
  <c r="GZ161" i="2"/>
  <c r="GZ71" i="2"/>
  <c r="GZ158" i="2"/>
  <c r="GZ76" i="2"/>
  <c r="GZ170" i="2"/>
  <c r="GZ145" i="2"/>
  <c r="GZ199" i="2"/>
  <c r="GZ115" i="2"/>
  <c r="GZ108" i="2"/>
  <c r="GZ178" i="2"/>
  <c r="GZ86" i="2"/>
  <c r="GZ79" i="2"/>
  <c r="GZ202" i="2"/>
  <c r="GZ65" i="2"/>
  <c r="GZ58" i="2"/>
  <c r="GZ93" i="2"/>
  <c r="GZ153" i="2"/>
  <c r="GZ73" i="2"/>
  <c r="GZ28" i="2"/>
  <c r="GZ171" i="2"/>
  <c r="GZ116" i="2"/>
  <c r="GZ24" i="2"/>
  <c r="GZ96" i="2"/>
  <c r="GZ150" i="2"/>
  <c r="GZ143" i="2"/>
  <c r="GZ19" i="2"/>
  <c r="GZ44" i="2"/>
  <c r="GZ122" i="2"/>
  <c r="GZ57" i="2"/>
  <c r="GZ42" i="2"/>
  <c r="GZ128" i="2"/>
  <c r="GZ20" i="2"/>
  <c r="GZ23" i="2"/>
  <c r="GZ146" i="2"/>
  <c r="GZ121" i="2"/>
  <c r="GZ175" i="2"/>
  <c r="GZ62" i="2"/>
  <c r="GZ84" i="2"/>
  <c r="GZ164" i="2"/>
  <c r="GZ41" i="2"/>
  <c r="GZ165" i="2"/>
  <c r="GZ69" i="2"/>
  <c r="GZ129" i="2"/>
  <c r="GZ191" i="2"/>
  <c r="GZ72" i="2"/>
  <c r="GZ49" i="2"/>
  <c r="GZ9" i="2"/>
  <c r="GZ75" i="2"/>
  <c r="GZ152" i="2"/>
  <c r="GZ119" i="2"/>
  <c r="GZ80" i="2"/>
  <c r="GZ124" i="2"/>
  <c r="GZ125" i="2"/>
  <c r="GZ163" i="2"/>
  <c r="GZ95" i="2"/>
  <c r="GZ104" i="2"/>
  <c r="GZ166" i="2"/>
  <c r="GZ198" i="2"/>
  <c r="GZ85" i="2"/>
  <c r="GZ60" i="2"/>
  <c r="GZ130" i="2"/>
  <c r="GZ155" i="2"/>
  <c r="GZ55" i="2"/>
  <c r="GZ141" i="2"/>
  <c r="GZ4" i="2"/>
  <c r="FE29" i="2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162" i="2"/>
  <c r="GE78" i="2"/>
  <c r="GE141" i="2"/>
  <c r="GE91" i="2"/>
  <c r="GE27" i="2"/>
  <c r="GE102" i="2"/>
  <c r="GE34" i="2"/>
  <c r="GE112" i="2"/>
  <c r="GE71" i="2"/>
  <c r="GE49" i="2"/>
  <c r="GE89" i="2"/>
  <c r="GE177" i="2"/>
  <c r="GE7" i="2"/>
  <c r="GE181" i="2"/>
  <c r="GE131" i="2"/>
  <c r="GE189" i="2"/>
  <c r="GE185" i="2"/>
  <c r="GE110" i="2"/>
  <c r="GE135" i="2"/>
  <c r="GE80" i="2"/>
  <c r="GE186" i="2"/>
  <c r="GE84" i="2"/>
  <c r="GE42" i="2"/>
  <c r="GE51" i="2"/>
  <c r="GE191" i="2"/>
  <c r="GE130" i="2"/>
  <c r="GE18" i="2"/>
  <c r="GE145" i="2"/>
  <c r="GE8" i="2"/>
  <c r="GE132" i="2"/>
  <c r="GE123" i="2"/>
  <c r="GE198" i="2"/>
  <c r="GE45" i="2"/>
  <c r="GE188" i="2"/>
  <c r="GE47" i="2"/>
  <c r="GE201" i="2"/>
  <c r="GE172" i="2"/>
  <c r="GE95" i="2"/>
  <c r="GE152" i="2"/>
  <c r="GE41" i="2"/>
  <c r="GE75" i="2"/>
  <c r="GE196" i="2"/>
  <c r="GE50" i="2"/>
  <c r="GE153" i="2"/>
  <c r="GE106" i="2"/>
  <c r="GE199" i="2"/>
  <c r="GE31" i="2"/>
  <c r="GE4" i="2"/>
  <c r="GE23" i="2"/>
  <c r="GE150" i="2"/>
  <c r="GE116" i="2"/>
  <c r="GE164" i="2"/>
  <c r="GE134" i="2"/>
  <c r="GE125" i="2"/>
  <c r="GE182" i="2"/>
  <c r="GE151" i="2"/>
  <c r="GE148" i="2"/>
  <c r="GE175" i="2"/>
  <c r="GE17" i="2"/>
  <c r="GE60" i="2"/>
  <c r="GE195" i="2"/>
  <c r="GE28" i="2"/>
  <c r="GE200" i="2"/>
  <c r="GE43" i="2"/>
  <c r="GE38" i="2"/>
  <c r="GE6" i="2"/>
  <c r="GE54" i="2"/>
  <c r="GE99" i="2"/>
  <c r="GE79" i="2"/>
  <c r="GE171" i="2"/>
  <c r="GE138" i="2"/>
  <c r="GE55" i="2"/>
  <c r="GE3" i="2"/>
  <c r="C14" i="4" s="1"/>
  <c r="E14" i="4" s="1"/>
  <c r="F14" i="4" s="1"/>
  <c r="G14" i="4" s="1"/>
  <c r="L14" i="4" s="1"/>
  <c r="GE115" i="2"/>
  <c r="GE5" i="2"/>
  <c r="GE12" i="2"/>
  <c r="GE33" i="2"/>
  <c r="GE70" i="2"/>
  <c r="GE36" i="2"/>
  <c r="GE121" i="2"/>
  <c r="GE193" i="2"/>
  <c r="GE96" i="2"/>
  <c r="GE90" i="2"/>
  <c r="GE66" i="2"/>
  <c r="GE139" i="2"/>
  <c r="GE197" i="2"/>
  <c r="GE32" i="2"/>
  <c r="GE39" i="2"/>
  <c r="GE109" i="2"/>
  <c r="GE202" i="2"/>
  <c r="GE113" i="2"/>
  <c r="GE61" i="2"/>
  <c r="GE10" i="2"/>
  <c r="GE144" i="2"/>
  <c r="GE72" i="2"/>
  <c r="GE25" i="2"/>
  <c r="GE44" i="2"/>
  <c r="GE59" i="2"/>
  <c r="GE169" i="2"/>
  <c r="GE21" i="2"/>
  <c r="GE40" i="2"/>
  <c r="GE30" i="2"/>
  <c r="GE29" i="2"/>
  <c r="GE101" i="2"/>
  <c r="GE190" i="2"/>
  <c r="GE52" i="2"/>
  <c r="GE103" i="2"/>
  <c r="GE167" i="2"/>
  <c r="GE146" i="2"/>
  <c r="GE129" i="2"/>
  <c r="GE48" i="2"/>
  <c r="GE128" i="2"/>
  <c r="GE57" i="2"/>
  <c r="GE56" i="2"/>
  <c r="GE178" i="2"/>
  <c r="GE133" i="2"/>
  <c r="GE94" i="2"/>
  <c r="GE114" i="2"/>
  <c r="GE160" i="2"/>
  <c r="GE100" i="2"/>
  <c r="GE158" i="2"/>
  <c r="GE176" i="2"/>
  <c r="GE194" i="2"/>
  <c r="GE73" i="2"/>
  <c r="GE22" i="2"/>
  <c r="GE26" i="2"/>
  <c r="GE170" i="2"/>
  <c r="GE63" i="2"/>
  <c r="GE192" i="2"/>
  <c r="GE161" i="2"/>
  <c r="GE180" i="2"/>
  <c r="GE98" i="2"/>
  <c r="GE119" i="2"/>
  <c r="GE82" i="2"/>
  <c r="GE20" i="2"/>
  <c r="GE87" i="2"/>
  <c r="GE140" i="2"/>
  <c r="GE85" i="2"/>
  <c r="GE163" i="2"/>
  <c r="GE117" i="2"/>
  <c r="GE14" i="2"/>
  <c r="GE174" i="2"/>
  <c r="GE19" i="2"/>
  <c r="GE108" i="2"/>
  <c r="GE168" i="2"/>
  <c r="GE173" i="2"/>
  <c r="GE179" i="2"/>
  <c r="GE65" i="2"/>
  <c r="GE124" i="2"/>
  <c r="GE86" i="2"/>
  <c r="GE62" i="2"/>
  <c r="GE142" i="2"/>
  <c r="GE187" i="2"/>
  <c r="GE143" i="2"/>
  <c r="GE58" i="2"/>
  <c r="GE184" i="2"/>
  <c r="GE92" i="2"/>
  <c r="GE77" i="2"/>
  <c r="GE16" i="2"/>
  <c r="GE166" i="2"/>
  <c r="GE83" i="2"/>
  <c r="GE105" i="2"/>
  <c r="GE126" i="2"/>
  <c r="GE76" i="2"/>
  <c r="GE137" i="2"/>
  <c r="GE154" i="2"/>
  <c r="GE69" i="2"/>
  <c r="GE111" i="2"/>
  <c r="GE203" i="2"/>
  <c r="GE37" i="2"/>
  <c r="GE15" i="2"/>
  <c r="GE46" i="2"/>
  <c r="GE120" i="2"/>
  <c r="GE104" i="2"/>
  <c r="GE122" i="2"/>
  <c r="GE97" i="2"/>
  <c r="GE118" i="2"/>
  <c r="GE67" i="2"/>
  <c r="GE53" i="2"/>
  <c r="GE88" i="2"/>
  <c r="GE156" i="2"/>
  <c r="GE93" i="2"/>
  <c r="GE159" i="2"/>
  <c r="GE9" i="2"/>
  <c r="GE155" i="2"/>
  <c r="GE74" i="2"/>
  <c r="GE107" i="2"/>
  <c r="GE147" i="2"/>
  <c r="GE35" i="2"/>
  <c r="GE64" i="2"/>
  <c r="GE149" i="2"/>
  <c r="GE13" i="2"/>
  <c r="GE183" i="2"/>
  <c r="GE127" i="2"/>
  <c r="GE165" i="2"/>
  <c r="GE157" i="2"/>
  <c r="GE136" i="2"/>
  <c r="GE24" i="2"/>
  <c r="GE81" i="2"/>
  <c r="GE68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J18" i="2" l="1"/>
  <c r="FJ156" i="2"/>
  <c r="FJ31" i="2"/>
  <c r="FJ55" i="2"/>
  <c r="FJ134" i="2"/>
  <c r="FJ164" i="2"/>
  <c r="FJ25" i="2"/>
  <c r="FJ148" i="2"/>
  <c r="FJ174" i="2"/>
  <c r="FJ105" i="2"/>
  <c r="FJ129" i="2"/>
  <c r="FJ140" i="2"/>
  <c r="FJ23" i="2"/>
  <c r="FJ14" i="2"/>
  <c r="FJ60" i="2"/>
  <c r="FJ188" i="2"/>
  <c r="FJ98" i="2"/>
  <c r="FJ172" i="2"/>
  <c r="FJ126" i="2"/>
  <c r="FJ196" i="2"/>
  <c r="FJ49" i="2"/>
  <c r="FJ66" i="2"/>
  <c r="FJ135" i="2"/>
  <c r="FJ11" i="2"/>
  <c r="FJ44" i="2"/>
  <c r="FJ195" i="2"/>
  <c r="FJ120" i="2"/>
  <c r="FJ69" i="2"/>
  <c r="FJ117" i="2"/>
  <c r="FJ179" i="2"/>
  <c r="FJ8" i="2"/>
  <c r="FJ160" i="2"/>
  <c r="FJ62" i="2"/>
  <c r="FJ114" i="2"/>
  <c r="FJ138" i="2"/>
  <c r="FJ175" i="2"/>
  <c r="FJ29" i="2"/>
  <c r="FJ27" i="2"/>
  <c r="FJ96" i="2"/>
  <c r="FJ16" i="2"/>
  <c r="FJ91" i="2"/>
  <c r="FJ125" i="2"/>
  <c r="FJ4" i="2"/>
  <c r="FJ89" i="2"/>
  <c r="FJ53" i="2"/>
  <c r="FJ144" i="2"/>
  <c r="FJ34" i="2"/>
  <c r="FJ72" i="2"/>
  <c r="FJ192" i="2"/>
  <c r="FJ63" i="2"/>
  <c r="FJ56" i="2"/>
  <c r="FJ100" i="2"/>
  <c r="FJ136" i="2"/>
  <c r="FJ149" i="2"/>
  <c r="FJ178" i="2"/>
  <c r="FJ169" i="2"/>
  <c r="FJ38" i="2"/>
  <c r="FJ79" i="2"/>
  <c r="FJ24" i="2"/>
  <c r="FJ110" i="2"/>
  <c r="FJ186" i="2"/>
  <c r="FJ158" i="2"/>
  <c r="FJ121" i="2"/>
  <c r="FJ131" i="2"/>
  <c r="FJ197" i="2"/>
  <c r="FJ183" i="2"/>
  <c r="FJ161" i="2"/>
  <c r="FJ102" i="2"/>
  <c r="FJ165" i="2"/>
  <c r="FJ37" i="2"/>
  <c r="FJ13" i="2"/>
  <c r="FJ104" i="2"/>
  <c r="FJ67" i="2"/>
  <c r="FJ166" i="2"/>
  <c r="FJ101" i="2"/>
  <c r="FJ194" i="2"/>
  <c r="FJ10" i="2"/>
  <c r="FJ141" i="2"/>
  <c r="FJ167" i="2"/>
  <c r="FJ112" i="2"/>
  <c r="FJ7" i="2"/>
  <c r="FJ147" i="2"/>
  <c r="FJ170" i="2"/>
  <c r="FJ86" i="2"/>
  <c r="FJ127" i="2"/>
  <c r="FJ71" i="2"/>
  <c r="FJ173" i="2"/>
  <c r="FJ87" i="2"/>
  <c r="FJ113" i="2"/>
  <c r="FJ43" i="2"/>
  <c r="FJ52" i="2"/>
  <c r="FJ32" i="2"/>
  <c r="FJ50" i="2"/>
  <c r="FJ33" i="2"/>
  <c r="FJ199" i="2"/>
  <c r="FJ154" i="2"/>
  <c r="FJ153" i="2"/>
  <c r="FJ162" i="2"/>
  <c r="FJ190" i="2"/>
  <c r="FJ103" i="2"/>
  <c r="FJ177" i="2"/>
  <c r="FJ176" i="2"/>
  <c r="FJ85" i="2"/>
  <c r="FJ109" i="2"/>
  <c r="FJ122" i="2"/>
  <c r="FJ61" i="2"/>
  <c r="FJ108" i="2"/>
  <c r="FJ182" i="2"/>
  <c r="FJ12" i="2"/>
  <c r="FJ159" i="2"/>
  <c r="FJ146" i="2"/>
  <c r="FJ45" i="2"/>
  <c r="FJ163" i="2"/>
  <c r="FJ94" i="2"/>
  <c r="FJ145" i="2"/>
  <c r="FJ191" i="2"/>
  <c r="FJ35" i="2"/>
  <c r="FJ59" i="2"/>
  <c r="FJ187" i="2"/>
  <c r="FJ82" i="2"/>
  <c r="FJ128" i="2"/>
  <c r="FJ97" i="2"/>
  <c r="FJ70" i="2"/>
  <c r="FJ75" i="2"/>
  <c r="FJ189" i="2"/>
  <c r="FJ115" i="2"/>
  <c r="FJ118" i="2"/>
  <c r="FJ185" i="2"/>
  <c r="FJ90" i="2"/>
  <c r="FJ157" i="2"/>
  <c r="FJ137" i="2"/>
  <c r="FJ193" i="2"/>
  <c r="FJ84" i="2"/>
  <c r="FJ88" i="2"/>
  <c r="FJ123" i="2"/>
  <c r="FJ54" i="2"/>
  <c r="FJ77" i="2"/>
  <c r="FJ42" i="2"/>
  <c r="FJ119" i="2"/>
  <c r="FJ111" i="2"/>
  <c r="FJ95" i="2"/>
  <c r="FJ28" i="2"/>
  <c r="FJ57" i="2"/>
  <c r="FJ130" i="2"/>
  <c r="FJ93" i="2"/>
  <c r="FJ73" i="2"/>
  <c r="FJ107" i="2"/>
  <c r="FJ17" i="2"/>
  <c r="FJ46" i="2"/>
  <c r="FJ9" i="2"/>
  <c r="FJ181" i="2"/>
  <c r="FJ78" i="2"/>
  <c r="FJ99" i="2"/>
  <c r="FJ41" i="2"/>
  <c r="FJ143" i="2"/>
  <c r="FJ203" i="2"/>
  <c r="FJ116" i="2"/>
  <c r="FJ68" i="2"/>
  <c r="FJ155" i="2"/>
  <c r="FJ19" i="2"/>
  <c r="FJ21" i="2"/>
  <c r="FJ151" i="2"/>
  <c r="FJ152" i="2"/>
  <c r="FJ80" i="2"/>
  <c r="FJ5" i="2"/>
  <c r="FJ106" i="2"/>
  <c r="FJ201" i="2"/>
  <c r="FJ202" i="2"/>
  <c r="FJ39" i="2"/>
  <c r="FJ48" i="2"/>
  <c r="FJ20" i="2"/>
  <c r="FJ51" i="2"/>
  <c r="FJ65" i="2"/>
  <c r="FJ40" i="2"/>
  <c r="FJ15" i="2"/>
  <c r="FJ74" i="2"/>
  <c r="FJ198" i="2"/>
  <c r="FJ81" i="2"/>
  <c r="FJ184" i="2"/>
  <c r="FJ168" i="2"/>
  <c r="FJ200" i="2"/>
  <c r="FJ58" i="2"/>
  <c r="FJ76" i="2"/>
  <c r="FJ139" i="2"/>
  <c r="FJ64" i="2"/>
  <c r="FJ3" i="2"/>
  <c r="C13" i="4" s="1"/>
  <c r="E13" i="4" s="1"/>
  <c r="F13" i="4" s="1"/>
  <c r="G13" i="4" s="1"/>
  <c r="L13" i="4" s="1"/>
  <c r="FJ124" i="2"/>
  <c r="FJ180" i="2"/>
  <c r="FJ26" i="2"/>
  <c r="FJ171" i="2"/>
  <c r="FJ6" i="2"/>
  <c r="FJ22" i="2"/>
  <c r="FJ133" i="2"/>
  <c r="FJ47" i="2"/>
  <c r="FJ150" i="2"/>
  <c r="FJ83" i="2"/>
  <c r="FJ36" i="2"/>
  <c r="FJ142" i="2"/>
  <c r="FJ132" i="2"/>
  <c r="FJ30" i="2"/>
  <c r="FJ92" i="2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EO44" i="2" l="1"/>
  <c r="EO194" i="2"/>
  <c r="EO61" i="2"/>
  <c r="EO38" i="2"/>
  <c r="EO81" i="2"/>
  <c r="EO170" i="2"/>
  <c r="EO174" i="2"/>
  <c r="EO103" i="2"/>
  <c r="EO148" i="2"/>
  <c r="EO157" i="2"/>
  <c r="EO161" i="2"/>
  <c r="EO74" i="2"/>
  <c r="EO187" i="2"/>
  <c r="EO164" i="2"/>
  <c r="EO140" i="2"/>
  <c r="EO55" i="2"/>
  <c r="EO76" i="2"/>
  <c r="EO25" i="2"/>
  <c r="EO84" i="2"/>
  <c r="EO147" i="2"/>
  <c r="EO54" i="2"/>
  <c r="EO128" i="2"/>
  <c r="EO21" i="2"/>
  <c r="EO165" i="2"/>
  <c r="EO178" i="2"/>
  <c r="EO193" i="2"/>
  <c r="EO156" i="2"/>
  <c r="EO134" i="2"/>
  <c r="EO47" i="2"/>
  <c r="EO24" i="2"/>
  <c r="EO73" i="2"/>
  <c r="EO177" i="2"/>
  <c r="EO66" i="2"/>
  <c r="EO182" i="2"/>
  <c r="EO142" i="2"/>
  <c r="EO56" i="2"/>
  <c r="EO141" i="2"/>
  <c r="EO58" i="2"/>
  <c r="EO64" i="2"/>
  <c r="EO145" i="2"/>
  <c r="EO92" i="2"/>
  <c r="EO108" i="2"/>
  <c r="EO4" i="2"/>
  <c r="EO79" i="2"/>
  <c r="EO188" i="2"/>
  <c r="EO125" i="2"/>
  <c r="EO151" i="2"/>
  <c r="EO138" i="2"/>
  <c r="EO169" i="2"/>
  <c r="EO62" i="2"/>
  <c r="EO171" i="2"/>
  <c r="EO90" i="2"/>
  <c r="EO75" i="2"/>
  <c r="EO93" i="2"/>
  <c r="EO113" i="2"/>
  <c r="EO26" i="2"/>
  <c r="EO184" i="2"/>
  <c r="EO50" i="2"/>
  <c r="EO82" i="2"/>
  <c r="EO52" i="2"/>
  <c r="EO20" i="2"/>
  <c r="EO132" i="2"/>
  <c r="EO99" i="2"/>
  <c r="EO123" i="2"/>
  <c r="EO102" i="2"/>
  <c r="EO29" i="2"/>
  <c r="EO203" i="2"/>
  <c r="EO137" i="2"/>
  <c r="EO179" i="2"/>
  <c r="EO12" i="2"/>
  <c r="EO70" i="2"/>
  <c r="EO37" i="2"/>
  <c r="EO18" i="2"/>
  <c r="EO78" i="2"/>
  <c r="EO8" i="2"/>
  <c r="EO46" i="2"/>
  <c r="EO101" i="2"/>
  <c r="EO183" i="2"/>
  <c r="EO88" i="2"/>
  <c r="EO83" i="2"/>
  <c r="EO100" i="2"/>
  <c r="EO86" i="2"/>
  <c r="EO11" i="2"/>
  <c r="EO120" i="2"/>
  <c r="EO98" i="2"/>
  <c r="EO28" i="2"/>
  <c r="EO49" i="2"/>
  <c r="EO5" i="2"/>
  <c r="EO111" i="2"/>
  <c r="EO117" i="2"/>
  <c r="EO59" i="2"/>
  <c r="EO185" i="2"/>
  <c r="EO71" i="2"/>
  <c r="EO197" i="2"/>
  <c r="EO173" i="2"/>
  <c r="EO167" i="2"/>
  <c r="EO160" i="2"/>
  <c r="EO116" i="2"/>
  <c r="EO35" i="2"/>
  <c r="EO196" i="2"/>
  <c r="EO96" i="2"/>
  <c r="EO65" i="2"/>
  <c r="EO200" i="2"/>
  <c r="EO163" i="2"/>
  <c r="EO190" i="2"/>
  <c r="EO7" i="2"/>
  <c r="EO67" i="2"/>
  <c r="EO124" i="2"/>
  <c r="EO166" i="2"/>
  <c r="EO118" i="2"/>
  <c r="EO6" i="2"/>
  <c r="EO32" i="2"/>
  <c r="EO158" i="2"/>
  <c r="EO13" i="2"/>
  <c r="EO57" i="2"/>
  <c r="EO10" i="2"/>
  <c r="EO105" i="2"/>
  <c r="EO19" i="2"/>
  <c r="EO69" i="2"/>
  <c r="EO198" i="2"/>
  <c r="EO85" i="2"/>
  <c r="EO191" i="2"/>
  <c r="EO17" i="2"/>
  <c r="EO133" i="2"/>
  <c r="EO130" i="2"/>
  <c r="EO192" i="2"/>
  <c r="EO30" i="2"/>
  <c r="EO181" i="2"/>
  <c r="EO22" i="2"/>
  <c r="EO16" i="2"/>
  <c r="EO42" i="2"/>
  <c r="EO39" i="2"/>
  <c r="EO152" i="2"/>
  <c r="EO33" i="2"/>
  <c r="EO51" i="2"/>
  <c r="EO136" i="2"/>
  <c r="EO199" i="2"/>
  <c r="EO91" i="2"/>
  <c r="EO34" i="2"/>
  <c r="EO168" i="2"/>
  <c r="EO114" i="2"/>
  <c r="EO95" i="2"/>
  <c r="EO45" i="2"/>
  <c r="EO153" i="2"/>
  <c r="EO122" i="2"/>
  <c r="EO126" i="2"/>
  <c r="EO94" i="2"/>
  <c r="EO146" i="2"/>
  <c r="EO154" i="2"/>
  <c r="EO48" i="2"/>
  <c r="EO189" i="2"/>
  <c r="EO60" i="2"/>
  <c r="EO27" i="2"/>
  <c r="EO159" i="2"/>
  <c r="EO139" i="2"/>
  <c r="EO201" i="2"/>
  <c r="EO186" i="2"/>
  <c r="EO41" i="2"/>
  <c r="EO121" i="2"/>
  <c r="EO9" i="2"/>
  <c r="EO149" i="2"/>
  <c r="EO72" i="2"/>
  <c r="EO202" i="2"/>
  <c r="EO63" i="2"/>
  <c r="EO110" i="2"/>
  <c r="EO31" i="2"/>
  <c r="EO77" i="2"/>
  <c r="EO36" i="2"/>
  <c r="EO131" i="2"/>
  <c r="EO3" i="2"/>
  <c r="C12" i="4" s="1"/>
  <c r="E12" i="4" s="1"/>
  <c r="F12" i="4" s="1"/>
  <c r="G12" i="4" s="1"/>
  <c r="L12" i="4" s="1"/>
  <c r="EO162" i="2"/>
  <c r="EO135" i="2"/>
  <c r="EO107" i="2"/>
  <c r="EO23" i="2"/>
  <c r="EO80" i="2"/>
  <c r="EO143" i="2"/>
  <c r="EO14" i="2"/>
  <c r="EO115" i="2"/>
  <c r="EO68" i="2"/>
  <c r="EO172" i="2"/>
  <c r="EO129" i="2"/>
  <c r="EO97" i="2"/>
  <c r="EO109" i="2"/>
  <c r="EO180" i="2"/>
  <c r="EO119" i="2"/>
  <c r="EO127" i="2"/>
  <c r="EO43" i="2"/>
  <c r="EO144" i="2"/>
  <c r="EO112" i="2"/>
  <c r="EO87" i="2"/>
  <c r="EO195" i="2"/>
  <c r="EO40" i="2"/>
  <c r="EO155" i="2"/>
  <c r="EO175" i="2"/>
  <c r="EO89" i="2"/>
  <c r="EO150" i="2"/>
  <c r="EO106" i="2"/>
  <c r="EO15" i="2"/>
  <c r="EO53" i="2"/>
  <c r="EO104" i="2"/>
  <c r="EO176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<sst xmlns="http://schemas.openxmlformats.org/spreadsheetml/2006/main" count="1192" uniqueCount="330">
  <si>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</si>
  <si>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</si>
  <si>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</si>
  <si>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</si>
  <si>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</si>
  <si>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</si>
  <si>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</si>
  <si>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</si>
  <si>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</si>
  <si>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</si>
  <si>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</si>
  <si>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</si>
  <si>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</si>
  <si>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</si>
  <si>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</si>
  <si>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</si>
  <si>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</si>
  <si>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</si>
  <si>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</si>
  <si>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</si>
  <si>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</si>
  <si>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</si>
  <si>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</si>
  <si>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</si>
  <si>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</si>
  <si>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</si>
  <si>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</si>
  <si>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</si>
  <si>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</si>
  <si>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</si>
  <si>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</si>
  <si>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</si>
  <si>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</si>
  <si>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</si>
  <si>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</si>
  <si>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</si>
  <si>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</si>
  <si>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</si>
  <si>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</si>
  <si>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</si>
  <si>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</si>
  <si>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</si>
  <si>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</si>
  <si>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</si>
  <si>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</si>
  <si>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</si>
  <si>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</si>
  <si>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</si>
  <si>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</si>
  <si>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</si>
  <si>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</si>
  <si>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</si>
  <si>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</si>
  <si>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</si>
  <si>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</si>
  <si>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</si>
  <si>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</si>
  <si>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</si>
  <si>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</si>
  <si>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</si>
  <si>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</si>
  <si>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</si>
  <si>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</si>
  <si>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</si>
  <si>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</si>
  <si>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</si>
  <si>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</si>
  <si>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</si>
  <si>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</si>
  <si>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</si>
  <si>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</si>
  <si>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</si>
  <si>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</si>
  <si>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</si>
  <si>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</si>
  <si>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</si>
  <si>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</si>
  <si>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</si>
  <si>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</si>
  <si>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</si>
  <si>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</si>
  <si>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</si>
  <si>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</si>
  <si>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</si>
  <si>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</si>
  <si>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</si>
  <si>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</si>
  <si>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</si>
  <si>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</si>
  <si>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</si>
  <si>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</si>
  <si>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</si>
  <si>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</si>
  <si>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</si>
  <si>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</si>
  <si>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</si>
  <si>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</si>
  <si>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</si>
  <si>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</si>
  <si>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</si>
  <si>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</si>
  <si>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</si>
  <si>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</si>
  <si>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</si>
  <si>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</si>
  <si>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</si>
  <si>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</si>
  <si>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</si>
  <si>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</si>
  <si>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</si>
  <si>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</si>
  <si>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</si>
  <si>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</si>
  <si>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</si>
  <si>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</si>
  <si>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</si>
  <si>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</si>
  <si>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</si>
  <si>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</si>
  <si>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</si>
  <si>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</si>
  <si>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</si>
  <si>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</si>
  <si>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</si>
  <si>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</si>
  <si>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</si>
  <si>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</si>
  <si>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</si>
  <si>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</si>
  <si>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</si>
  <si>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</si>
  <si>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</si>
  <si>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</si>
  <si>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</si>
  <si>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</si>
  <si>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</si>
  <si>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</si>
  <si>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</si>
  <si>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</si>
  <si>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</si>
  <si>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</si>
  <si>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</si>
  <si>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</si>
  <si>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</si>
  <si>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</si>
  <si>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</si>
  <si>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</si>
  <si>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</si>
  <si>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</si>
  <si>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</si>
  <si>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</si>
  <si>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</si>
  <si>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</si>
  <si>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</si>
  <si>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</si>
  <si>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</si>
  <si>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</si>
  <si>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</si>
  <si>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</si>
  <si>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</si>
  <si>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</si>
  <si>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</si>
  <si>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</si>
  <si>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</si>
  <si>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</si>
  <si>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</si>
  <si>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</si>
  <si>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</si>
  <si>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</si>
  <si>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</si>
  <si>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</si>
  <si>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</si>
  <si>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</si>
  <si>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</si>
  <si>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</si>
  <si>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</si>
  <si>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</si>
  <si>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</si>
  <si>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</si>
  <si>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</si>
  <si>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</si>
  <si>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</si>
  <si>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</si>
  <si>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</si>
  <si>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</si>
  <si>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</si>
  <si>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</si>
  <si>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</si>
  <si>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</si>
  <si>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</si>
  <si>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</si>
  <si>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</si>
  <si>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</si>
  <si>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</si>
  <si>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</si>
  <si>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</si>
  <si>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</si>
  <si>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</si>
  <si>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</si>
  <si>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</si>
  <si>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</si>
  <si>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</si>
  <si>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</si>
  <si>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</si>
  <si>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</si>
  <si>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</si>
  <si>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</si>
  <si>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</si>
  <si>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</si>
  <si>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</si>
  <si>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</si>
  <si>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</si>
  <si>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</si>
  <si>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</si>
  <si>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</si>
  <si>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</si>
  <si>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</si>
  <si>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</si>
  <si>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</si>
  <si>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</si>
  <si>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</si>
  <si>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</si>
  <si>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</si>
  <si>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</si>
  <si>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</si>
  <si>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</si>
  <si>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</si>
  <si>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</si>
  <si>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</si>
  <si>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</si>
  <si>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</si>
  <si>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</si>
  <si>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</si>
  <si>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</si>
  <si>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</si>
  <si>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</si>
  <si>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</si>
  <si>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</si>
  <si>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</si>
  <si>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</si>
  <si>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</si>
  <si>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</si>
  <si>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</si>
  <si>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</si>
  <si>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</si>
  <si>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</si>
  <si>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</si>
  <si>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</si>
  <si>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</si>
  <si>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</si>
  <si>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</si>
  <si>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</si>
  <si>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</si>
  <si>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</si>
  <si>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</si>
  <si>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</si>
  <si>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</si>
  <si>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</si>
  <si>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</si>
  <si>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</si>
  <si>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</si>
  <si>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</si>
  <si>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</si>
  <si>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</si>
  <si>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</si>
  <si>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</si>
  <si>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</si>
  <si>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</si>
  <si>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</si>
  <si>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</si>
  <si>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</si>
  <si>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</si>
  <si>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</si>
  <si>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</si>
  <si>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</si>
  <si>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</si>
  <si>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</si>
  <si>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</si>
  <si>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</si>
  <si>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</si>
  <si>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</si>
  <si>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</si>
  <si>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</si>
  <si>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</si>
  <si>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</si>
  <si>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</si>
  <si>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</si>
  <si>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</si>
  <si>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</si>
  <si>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</si>
  <si>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</si>
  <si>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</si>
  <si>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</si>
  <si>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</si>
  <si>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</si>
  <si>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</si>
  <si>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</si>
  <si>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</si>
  <si>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</si>
  <si>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</si>
  <si>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</si>
  <si>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</si>
  <si>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</si>
  <si>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</si>
  <si>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</si>
  <si>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</si>
  <si>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</si>
  <si>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</si>
  <si>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</si>
  <si>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</si>
  <si>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</si>
  <si>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</si>
  <si>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</si>
  <si>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</si>
  <si>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</si>
  <si>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</si>
  <si>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</si>
  <si>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</si>
  <si>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</si>
  <si>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</si>
  <si>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</si>
  <si>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</si>
  <si>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</si>
  <si>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</si>
  <si>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</si>
  <si>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Classe 3/5</t>
  </si>
  <si>
    <t>Classe 1/5</t>
  </si>
  <si>
    <t>Classe 2/5</t>
  </si>
  <si>
    <t>peupliers brenta+diva regroupés</t>
  </si>
  <si>
    <t>tilleul+charme regroupés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</si>
</sst>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274.15159613622387</c:v>
                </c:pt>
                <c:pt idx="32">
                  <c:v>304.95175006239322</c:v>
                </c:pt>
                <c:pt idx="33">
                  <c:v>335.68272446221619</c:v>
                </c:pt>
                <c:pt idx="34">
                  <c:v>366.35173714465219</c:v>
                </c:pt>
                <c:pt idx="35">
                  <c:v>396.96469882146312</c:v>
                </c:pt>
                <c:pt idx="36">
                  <c:v>287.36027167965722</c:v>
                </c:pt>
                <c:pt idx="37">
                  <c:v>312.28499675107349</c:v>
                </c:pt>
                <c:pt idx="38">
                  <c:v>337.16559898912197</c:v>
                </c:pt>
                <c:pt idx="39">
                  <c:v>362.00578971990859</c:v>
                </c:pt>
                <c:pt idx="40">
                  <c:v>386.8087295122084</c:v>
                </c:pt>
                <c:pt idx="41">
                  <c:v>411.57714071757056</c:v>
                </c:pt>
                <c:pt idx="42">
                  <c:v>345.34910174995292</c:v>
                </c:pt>
                <c:pt idx="43">
                  <c:v>370.55926373756284</c:v>
                </c:pt>
                <c:pt idx="44">
                  <c:v>395.73202966467738</c:v>
                </c:pt>
                <c:pt idx="45">
                  <c:v>420.87011059114275</c:v>
                </c:pt>
                <c:pt idx="46">
                  <c:v>445.97586750283381</c:v>
                </c:pt>
                <c:pt idx="47">
                  <c:v>471.05137407996995</c:v>
                </c:pt>
                <c:pt idx="48">
                  <c:v>496.09846540196463</c:v>
                </c:pt>
                <c:pt idx="49">
                  <c:v>402.26313463210448</c:v>
                </c:pt>
                <c:pt idx="50">
                  <c:v>425.87619549343572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496.55301706749265</c:v>
                </c:pt>
                <c:pt idx="54">
                  <c:v>520.06287264987645</c:v>
                </c:pt>
                <c:pt idx="55">
                  <c:v>543.55032717690449</c:v>
                </c:pt>
                <c:pt idx="56">
                  <c:v>454.24481650463161</c:v>
                </c:pt>
                <c:pt idx="57">
                  <c:v>476.59634202129263</c:v>
                </c:pt>
                <c:pt idx="58">
                  <c:v>498.92557909267936</c:v>
                </c:pt>
                <c:pt idx="59">
                  <c:v>521.233664652828</c:v>
                </c:pt>
                <c:pt idx="60">
                  <c:v>543.52163046495309</c:v>
                </c:pt>
                <c:pt idx="61">
                  <c:v>565.79041685083462</c:v>
                </c:pt>
                <c:pt idx="62">
                  <c:v>588.04088414741102</c:v>
                </c:pt>
                <c:pt idx="63">
                  <c:v>610.27382234025083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571.42160804713808</c:v>
                </c:pt>
                <c:pt idx="67">
                  <c:v>592.98726902778128</c:v>
                </c:pt>
                <c:pt idx="68">
                  <c:v>614.53661422900689</c:v>
                </c:pt>
                <c:pt idx="69">
                  <c:v>636.07029571344913</c:v>
                </c:pt>
                <c:pt idx="70">
                  <c:v>657.58891783971956</c:v>
                </c:pt>
                <c:pt idx="71">
                  <c:v>679.09304223054426</c:v>
                </c:pt>
                <c:pt idx="72">
                  <c:v>600.80615581089239</c:v>
                </c:pt>
                <c:pt idx="73">
                  <c:v>621.81796471134885</c:v>
                </c:pt>
                <c:pt idx="74">
                  <c:v>642.81507325128075</c:v>
                </c:pt>
                <c:pt idx="75">
                  <c:v>663.79802870135347</c:v>
                </c:pt>
                <c:pt idx="76">
                  <c:v>684.76734094880157</c:v>
                </c:pt>
                <c:pt idx="77">
                  <c:v>705.7234861406215</c:v>
                </c:pt>
                <c:pt idx="78">
                  <c:v>726.66690987194772</c:v>
                </c:pt>
                <c:pt idx="79">
                  <c:v>747.59802998811347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714.6464205142546</c:v>
                </c:pt>
                <c:pt idx="84">
                  <c:v>734.44382712262222</c:v>
                </c:pt>
                <c:pt idx="85">
                  <c:v>754.23036766119492</c:v>
                </c:pt>
                <c:pt idx="86">
                  <c:v>774.00636701258611</c:v>
                </c:pt>
                <c:pt idx="87">
                  <c:v>793.77213212336176</c:v>
                </c:pt>
                <c:pt idx="88">
                  <c:v>813.52795342520051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748.59390688021494</c:v>
                </c:pt>
                <c:pt idx="92">
                  <c:v>767.49340042346319</c:v>
                </c:pt>
                <c:pt idx="93">
                  <c:v>786.38345937215036</c:v>
                </c:pt>
                <c:pt idx="94">
                  <c:v>805.26434202452185</c:v>
                </c:pt>
                <c:pt idx="95">
                  <c:v>824.13629359258368</c:v>
                </c:pt>
                <c:pt idx="96">
                  <c:v>842.99954715561842</c:v>
                </c:pt>
                <c:pt idx="97">
                  <c:v>861.85432452401585</c:v>
                </c:pt>
                <c:pt idx="98">
                  <c:v>880.70083702367674</c:v>
                </c:pt>
                <c:pt idx="99">
                  <c:v>899.53928620986301</c:v>
                </c:pt>
                <c:pt idx="100">
                  <c:v>798.6332412457042</c:v>
                </c:pt>
                <c:pt idx="101">
                  <c:v>817.06058045885254</c:v>
                </c:pt>
                <c:pt idx="102">
                  <c:v>835.47954754465525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890.6882712536576</c:v>
                </c:pt>
                <c:pt idx="106">
                  <c:v>909.07575862089141</c:v>
                </c:pt>
                <c:pt idx="107">
                  <c:v>927.45583393990819</c:v>
                </c:pt>
                <c:pt idx="108">
                  <c:v>945.82866460402113</c:v>
                </c:pt>
                <c:pt idx="109">
                  <c:v>964.1944109815671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2.2454425811081209</c:v>
                </c:pt>
                <c:pt idx="2">
                  <c:v>3.6611748311412442</c:v>
                </c:pt>
                <c:pt idx="3">
                  <c:v>5.9739366094182316</c:v>
                </c:pt>
                <c:pt idx="4">
                  <c:v>9.7547213393377259</c:v>
                </c:pt>
                <c:pt idx="5">
                  <c:v>15.939528155072226</c:v>
                </c:pt>
                <c:pt idx="6">
                  <c:v>26.063598849210276</c:v>
                </c:pt>
                <c:pt idx="7">
                  <c:v>42.646503928237642</c:v>
                </c:pt>
                <c:pt idx="8">
                  <c:v>69.825534247080341</c:v>
                </c:pt>
                <c:pt idx="9">
                  <c:v>114.39799623630849</c:v>
                </c:pt>
                <c:pt idx="10">
                  <c:v>155.08321710760779</c:v>
                </c:pt>
                <c:pt idx="11">
                  <c:v>195.51269707677628</c:v>
                </c:pt>
                <c:pt idx="12">
                  <c:v>235.74712812965171</c:v>
                </c:pt>
                <c:pt idx="13">
                  <c:v>275.82457525153023</c:v>
                </c:pt>
                <c:pt idx="14">
                  <c:v>315.77107445449661</c:v>
                </c:pt>
                <c:pt idx="15">
                  <c:v>323.74641514623852</c:v>
                </c:pt>
                <c:pt idx="16">
                  <c:v>331.71741346282357</c:v>
                </c:pt>
                <c:pt idx="17">
                  <c:v>339.68418855565068</c:v>
                </c:pt>
                <c:pt idx="18">
                  <c:v>347.64685352629164</c:v>
                </c:pt>
                <c:pt idx="19">
                  <c:v>355.60551586824863</c:v>
                </c:pt>
                <c:pt idx="20">
                  <c:v>358.4986026409133</c:v>
                </c:pt>
                <c:pt idx="21">
                  <c:v>361.39117846792811</c:v>
                </c:pt>
                <c:pt idx="22">
                  <c:v>364.28324802273983</c:v>
                </c:pt>
                <c:pt idx="23">
                  <c:v>367.17481589841714</c:v>
                </c:pt>
                <c:pt idx="24">
                  <c:v>370.06588660966935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3.0087226414689678</c:v>
                </c:pt>
                <c:pt idx="2">
                  <c:v>3.5108476078946986</c:v>
                </c:pt>
                <c:pt idx="3">
                  <c:v>4.0970748640547061</c:v>
                </c:pt>
                <c:pt idx="4">
                  <c:v>4.7815388031042829</c:v>
                </c:pt>
                <c:pt idx="5">
                  <c:v>5.58075681256107</c:v>
                </c:pt>
                <c:pt idx="6">
                  <c:v>6.5140322202239958</c:v>
                </c:pt>
                <c:pt idx="7">
                  <c:v>7.6039255604146936</c:v>
                </c:pt>
                <c:pt idx="8">
                  <c:v>8.8768057733067263</c:v>
                </c:pt>
                <c:pt idx="9">
                  <c:v>10.363494928489947</c:v>
                </c:pt>
                <c:pt idx="10">
                  <c:v>12.100022380040526</c:v>
                </c:pt>
                <c:pt idx="11">
                  <c:v>14.128506971996892</c:v>
                </c:pt>
                <c:pt idx="12">
                  <c:v>16.498189087941249</c:v>
                </c:pt>
                <c:pt idx="13">
                  <c:v>19.266638055612479</c:v>
                </c:pt>
                <c:pt idx="14">
                  <c:v>22.501164769971794</c:v>
                </c:pt>
                <c:pt idx="15">
                  <c:v>26.280474494666397</c:v>
                </c:pt>
                <c:pt idx="16">
                  <c:v>30.696600769797168</c:v>
                </c:pt>
                <c:pt idx="17">
                  <c:v>35.857168342554253</c:v>
                </c:pt>
                <c:pt idx="18">
                  <c:v>41.888041221504999</c:v>
                </c:pt>
                <c:pt idx="19">
                  <c:v>48.936421539970695</c:v>
                </c:pt>
                <c:pt idx="20">
                  <c:v>57.174476139039477</c:v>
                </c:pt>
                <c:pt idx="21">
                  <c:v>66.803580927560347</c:v>
                </c:pt>
                <c:pt idx="22">
                  <c:v>78.059288474458086</c:v>
                </c:pt>
                <c:pt idx="23">
                  <c:v>91.217142323990871</c:v>
                </c:pt>
                <c:pt idx="24">
                  <c:v>106.59948264954546</c:v>
                </c:pt>
                <c:pt idx="25">
                  <c:v>124.58341260634063</c:v>
                </c:pt>
                <c:pt idx="26">
                  <c:v>145.61012372918682</c:v>
                </c:pt>
                <c:pt idx="27">
                  <c:v>170.19581267616408</c:v>
                </c:pt>
                <c:pt idx="28">
                  <c:v>198.94446139578906</c:v>
                </c:pt>
                <c:pt idx="29">
                  <c:v>232.56279939363762</c:v>
                </c:pt>
                <c:pt idx="30">
                  <c:v>271.87782136604341</c:v>
                </c:pt>
                <c:pt idx="31">
                  <c:v>306.396443018696</c:v>
                </c:pt>
                <c:pt idx="32">
                  <c:v>340.82860271743323</c:v>
                </c:pt>
                <c:pt idx="33">
                  <c:v>375.18425512054756</c:v>
                </c:pt>
                <c:pt idx="34">
                  <c:v>409.47138257589313</c:v>
                </c:pt>
                <c:pt idx="35">
                  <c:v>443.69652188121762</c:v>
                </c:pt>
                <c:pt idx="36">
                  <c:v>321.16259971327423</c:v>
                </c:pt>
                <c:pt idx="37">
                  <c:v>349.02672421811872</c:v>
                </c:pt>
                <c:pt idx="38">
                  <c:v>376.84205222440369</c:v>
                </c:pt>
                <c:pt idx="39">
                  <c:v>404.61268817658879</c:v>
                </c:pt>
                <c:pt idx="40">
                  <c:v>432.34212742340668</c:v>
                </c:pt>
                <c:pt idx="41">
                  <c:v>460.03338067866019</c:v>
                </c:pt>
                <c:pt idx="42">
                  <c:v>385.99092681345502</c:v>
                </c:pt>
                <c:pt idx="43">
                  <c:v>414.17533779557908</c:v>
                </c:pt>
                <c:pt idx="44">
                  <c:v>442.31839157842973</c:v>
                </c:pt>
                <c:pt idx="45">
                  <c:v>470.42308638804462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554.5315928587562</c:v>
                </c:pt>
                <c:pt idx="49">
                  <c:v>449.62021107279298</c:v>
                </c:pt>
                <c:pt idx="50">
                  <c:v>476.02000064610456</c:v>
                </c:pt>
                <c:pt idx="51">
                  <c:v>502.38865580151611</c:v>
                </c:pt>
                <c:pt idx="52">
                  <c:v>528.72803854644371</c:v>
                </c:pt>
                <c:pt idx="53">
                  <c:v>555.03981043514455</c:v>
                </c:pt>
                <c:pt idx="54">
                  <c:v>581.32546281777411</c:v>
                </c:pt>
                <c:pt idx="55">
                  <c:v>607.58634133657904</c:v>
                </c:pt>
                <c:pt idx="56">
                  <c:v>507.73703373631133</c:v>
                </c:pt>
                <c:pt idx="57">
                  <c:v>532.72708498714167</c:v>
                </c:pt>
                <c:pt idx="58">
                  <c:v>557.6924869123344</c:v>
                </c:pt>
                <c:pt idx="59">
                  <c:v>582.63449687448031</c:v>
                </c:pt>
                <c:pt idx="60">
                  <c:v>607.55425592523807</c:v>
                </c:pt>
                <c:pt idx="61">
                  <c:v>632.45280398899331</c:v>
                </c:pt>
                <c:pt idx="62">
                  <c:v>657.33109253297937</c:v>
                </c:pt>
                <c:pt idx="63">
                  <c:v>682.18999522116337</c:v>
                </c:pt>
                <c:pt idx="64">
                  <c:v>590.46639820384166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662.86168393782873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735.09421774409839</c:v>
                </c:pt>
                <c:pt idx="71">
                  <c:v>759.13881832330935</c:v>
                </c:pt>
                <c:pt idx="72">
                  <c:v>671.60406336749122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742.03684898831909</c:v>
                </c:pt>
                <c:pt idx="76">
                  <c:v>765.48350186285279</c:v>
                </c:pt>
                <c:pt idx="77">
                  <c:v>788.91559297509764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754.58190540238013</c:v>
                </c:pt>
                <c:pt idx="82">
                  <c:v>776.74375886328153</c:v>
                </c:pt>
                <c:pt idx="83">
                  <c:v>798.89280994562489</c:v>
                </c:pt>
                <c:pt idx="84">
                  <c:v>821.02946309423294</c:v>
                </c:pt>
                <c:pt idx="85">
                  <c:v>843.15409919591423</c:v>
                </c:pt>
                <c:pt idx="86">
                  <c:v>865.26707754613597</c:v>
                </c:pt>
                <c:pt idx="87">
                  <c:v>887.36873760445849</c:v>
                </c:pt>
                <c:pt idx="88">
                  <c:v>909.45940056623385</c:v>
                </c:pt>
                <c:pt idx="89">
                  <c:v>931.53937077386763</c:v>
                </c:pt>
                <c:pt idx="90">
                  <c:v>815.70799587495048</c:v>
                </c:pt>
                <c:pt idx="91">
                  <c:v>836.85158729914474</c:v>
                </c:pt>
                <c:pt idx="92">
                  <c:v>857.9844434817436</c:v>
                </c:pt>
                <c:pt idx="93">
                  <c:v>879.10686572017414</c:v>
                </c:pt>
                <c:pt idx="94">
                  <c:v>900.21913967265436</c:v>
                </c:pt>
                <c:pt idx="95">
                  <c:v>921.321536525017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892.80434571395415</c:v>
                </c:pt>
                <c:pt idx="101">
                  <c:v>913.40954370443831</c:v>
                </c:pt>
                <c:pt idx="102">
                  <c:v>934.00548275870278</c:v>
                </c:pt>
                <c:pt idx="103">
                  <c:v>954.59239551414646</c:v>
                </c:pt>
                <c:pt idx="104">
                  <c:v>975.1705037703191</c:v>
                </c:pt>
                <c:pt idx="105">
                  <c:v>995.74001921643037</c:v>
                </c:pt>
                <c:pt idx="106">
                  <c:v>1016.3011440957075</c:v>
                </c:pt>
                <c:pt idx="107">
                  <c:v>1036.8540718132763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470.18652267359886</c:v>
                </c:pt>
                <c:pt idx="82">
                  <c:v>470.18652267359886</c:v>
                </c:pt>
                <c:pt idx="83">
                  <c:v>470.18652267359886</c:v>
                </c:pt>
                <c:pt idx="84">
                  <c:v>470.18652267359886</c:v>
                </c:pt>
                <c:pt idx="85">
                  <c:v>470.18652267359886</c:v>
                </c:pt>
                <c:pt idx="86">
                  <c:v>470.18652267359886</c:v>
                </c:pt>
                <c:pt idx="87">
                  <c:v>470.18652267359886</c:v>
                </c:pt>
                <c:pt idx="88">
                  <c:v>470.18652267359886</c:v>
                </c:pt>
                <c:pt idx="89">
                  <c:v>470.18652267359886</c:v>
                </c:pt>
                <c:pt idx="90">
                  <c:v>470.18652267359886</c:v>
                </c:pt>
                <c:pt idx="91">
                  <c:v>470.18652267359886</c:v>
                </c:pt>
                <c:pt idx="92">
                  <c:v>470.18652267359886</c:v>
                </c:pt>
                <c:pt idx="93">
                  <c:v>470.18652267359886</c:v>
                </c:pt>
                <c:pt idx="94">
                  <c:v>470.18652267359886</c:v>
                </c:pt>
                <c:pt idx="95">
                  <c:v>470.18652267359886</c:v>
                </c:pt>
                <c:pt idx="96">
                  <c:v>470.18652267359886</c:v>
                </c:pt>
                <c:pt idx="97">
                  <c:v>470.18652267359886</c:v>
                </c:pt>
                <c:pt idx="98">
                  <c:v>470.18652267359886</c:v>
                </c:pt>
                <c:pt idx="99">
                  <c:v>470.18652267359886</c:v>
                </c:pt>
                <c:pt idx="100">
                  <c:v>470.18652267359886</c:v>
                </c:pt>
                <c:pt idx="101">
                  <c:v>470.18652267359886</c:v>
                </c:pt>
                <c:pt idx="102">
                  <c:v>470.18652267359886</c:v>
                </c:pt>
                <c:pt idx="103">
                  <c:v>470.18652267359886</c:v>
                </c:pt>
                <c:pt idx="104">
                  <c:v>470.18652267359886</c:v>
                </c:pt>
                <c:pt idx="105">
                  <c:v>470.18652267359886</c:v>
                </c:pt>
                <c:pt idx="106">
                  <c:v>470.18652267359886</c:v>
                </c:pt>
                <c:pt idx="107">
                  <c:v>470.18652267359886</c:v>
                </c:pt>
                <c:pt idx="108">
                  <c:v>470.18652267359886</c:v>
                </c:pt>
                <c:pt idx="109">
                  <c:v>470.18652267359886</c:v>
                </c:pt>
                <c:pt idx="110">
                  <c:v>470.18652267359886</c:v>
                </c:pt>
                <c:pt idx="111">
                  <c:v>470.18652267359886</c:v>
                </c:pt>
                <c:pt idx="112">
                  <c:v>470.18652267359886</c:v>
                </c:pt>
                <c:pt idx="113">
                  <c:v>470.18652267359886</c:v>
                </c:pt>
                <c:pt idx="114">
                  <c:v>470.18652267359886</c:v>
                </c:pt>
                <c:pt idx="115">
                  <c:v>470.18652267359886</c:v>
                </c:pt>
                <c:pt idx="116">
                  <c:v>470.18652267359886</c:v>
                </c:pt>
                <c:pt idx="117">
                  <c:v>470.18652267359886</c:v>
                </c:pt>
                <c:pt idx="118">
                  <c:v>470.18652267359886</c:v>
                </c:pt>
                <c:pt idx="119">
                  <c:v>470.18652267359886</c:v>
                </c:pt>
                <c:pt idx="120">
                  <c:v>470.18652267359886</c:v>
                </c:pt>
                <c:pt idx="121">
                  <c:v>470.18652267359886</c:v>
                </c:pt>
                <c:pt idx="122">
                  <c:v>470.18652267359886</c:v>
                </c:pt>
                <c:pt idx="123">
                  <c:v>470.18652267359886</c:v>
                </c:pt>
                <c:pt idx="124">
                  <c:v>470.18652267359886</c:v>
                </c:pt>
                <c:pt idx="125">
                  <c:v>470.18652267359886</c:v>
                </c:pt>
                <c:pt idx="126">
                  <c:v>470.18652267359886</c:v>
                </c:pt>
                <c:pt idx="127">
                  <c:v>470.18652267359886</c:v>
                </c:pt>
                <c:pt idx="128">
                  <c:v>470.18652267359886</c:v>
                </c:pt>
                <c:pt idx="129">
                  <c:v>470.18652267359886</c:v>
                </c:pt>
                <c:pt idx="130">
                  <c:v>470.18652267359886</c:v>
                </c:pt>
                <c:pt idx="131">
                  <c:v>470.18652267359886</c:v>
                </c:pt>
                <c:pt idx="132">
                  <c:v>470.18652267359886</c:v>
                </c:pt>
                <c:pt idx="133">
                  <c:v>470.18652267359886</c:v>
                </c:pt>
                <c:pt idx="134">
                  <c:v>470.18652267359886</c:v>
                </c:pt>
                <c:pt idx="135">
                  <c:v>470.18652267359886</c:v>
                </c:pt>
                <c:pt idx="136">
                  <c:v>470.18652267359886</c:v>
                </c:pt>
                <c:pt idx="137">
                  <c:v>470.18652267359886</c:v>
                </c:pt>
                <c:pt idx="138">
                  <c:v>470.18652267359886</c:v>
                </c:pt>
                <c:pt idx="139">
                  <c:v>470.18652267359886</c:v>
                </c:pt>
                <c:pt idx="140">
                  <c:v>470.18652267359886</c:v>
                </c:pt>
                <c:pt idx="141">
                  <c:v>470.18652267359886</c:v>
                </c:pt>
                <c:pt idx="142">
                  <c:v>470.18652267359886</c:v>
                </c:pt>
                <c:pt idx="143">
                  <c:v>470.18652267359886</c:v>
                </c:pt>
                <c:pt idx="144">
                  <c:v>470.18652267359886</c:v>
                </c:pt>
                <c:pt idx="145">
                  <c:v>470.18652267359886</c:v>
                </c:pt>
                <c:pt idx="146">
                  <c:v>470.18652267359886</c:v>
                </c:pt>
                <c:pt idx="147">
                  <c:v>470.18652267359886</c:v>
                </c:pt>
                <c:pt idx="148">
                  <c:v>470.18652267359886</c:v>
                </c:pt>
                <c:pt idx="149">
                  <c:v>470.18652267359886</c:v>
                </c:pt>
                <c:pt idx="150">
                  <c:v>470.18652267359886</c:v>
                </c:pt>
                <c:pt idx="151">
                  <c:v>470.18652267359886</c:v>
                </c:pt>
                <c:pt idx="152">
                  <c:v>470.18652267359886</c:v>
                </c:pt>
                <c:pt idx="153">
                  <c:v>470.18652267359886</c:v>
                </c:pt>
                <c:pt idx="154">
                  <c:v>470.18652267359886</c:v>
                </c:pt>
                <c:pt idx="155">
                  <c:v>470.18652267359886</c:v>
                </c:pt>
                <c:pt idx="156">
                  <c:v>470.18652267359886</c:v>
                </c:pt>
                <c:pt idx="157">
                  <c:v>470.18652267359886</c:v>
                </c:pt>
                <c:pt idx="158">
                  <c:v>470.18652267359886</c:v>
                </c:pt>
                <c:pt idx="159">
                  <c:v>470.18652267359886</c:v>
                </c:pt>
                <c:pt idx="160">
                  <c:v>470.18652267359886</c:v>
                </c:pt>
                <c:pt idx="161">
                  <c:v>470.18652267359886</c:v>
                </c:pt>
                <c:pt idx="162">
                  <c:v>470.18652267359886</c:v>
                </c:pt>
                <c:pt idx="163">
                  <c:v>470.18652267359886</c:v>
                </c:pt>
                <c:pt idx="164">
                  <c:v>470.18652267359886</c:v>
                </c:pt>
                <c:pt idx="165">
                  <c:v>470.18652267359886</c:v>
                </c:pt>
                <c:pt idx="166">
                  <c:v>470.18652267359886</c:v>
                </c:pt>
                <c:pt idx="167">
                  <c:v>470.18652267359886</c:v>
                </c:pt>
                <c:pt idx="168">
                  <c:v>470.18652267359886</c:v>
                </c:pt>
                <c:pt idx="169">
                  <c:v>470.18652267359886</c:v>
                </c:pt>
                <c:pt idx="170">
                  <c:v>470.18652267359886</c:v>
                </c:pt>
                <c:pt idx="171">
                  <c:v>470.18652267359886</c:v>
                </c:pt>
                <c:pt idx="172">
                  <c:v>470.18652267359886</c:v>
                </c:pt>
                <c:pt idx="173">
                  <c:v>470.18652267359886</c:v>
                </c:pt>
                <c:pt idx="174">
                  <c:v>470.18652267359886</c:v>
                </c:pt>
                <c:pt idx="175">
                  <c:v>470.18652267359886</c:v>
                </c:pt>
                <c:pt idx="176">
                  <c:v>470.18652267359886</c:v>
                </c:pt>
                <c:pt idx="177">
                  <c:v>470.18652267359886</c:v>
                </c:pt>
                <c:pt idx="178">
                  <c:v>470.18652267359886</c:v>
                </c:pt>
                <c:pt idx="179">
                  <c:v>470.18652267359886</c:v>
                </c:pt>
                <c:pt idx="180">
                  <c:v>470.18652267359886</c:v>
                </c:pt>
                <c:pt idx="181">
                  <c:v>470.18652267359886</c:v>
                </c:pt>
                <c:pt idx="182">
                  <c:v>470.18652267359886</c:v>
                </c:pt>
                <c:pt idx="183">
                  <c:v>470.18652267359886</c:v>
                </c:pt>
                <c:pt idx="184">
                  <c:v>470.18652267359886</c:v>
                </c:pt>
                <c:pt idx="185">
                  <c:v>470.18652267359886</c:v>
                </c:pt>
                <c:pt idx="186">
                  <c:v>470.18652267359886</c:v>
                </c:pt>
                <c:pt idx="187">
                  <c:v>470.18652267359886</c:v>
                </c:pt>
                <c:pt idx="188">
                  <c:v>470.18652267359886</c:v>
                </c:pt>
                <c:pt idx="189">
                  <c:v>470.18652267359886</c:v>
                </c:pt>
                <c:pt idx="190">
                  <c:v>470.18652267359886</c:v>
                </c:pt>
                <c:pt idx="191">
                  <c:v>470.18652267359886</c:v>
                </c:pt>
                <c:pt idx="192">
                  <c:v>470.18652267359886</c:v>
                </c:pt>
                <c:pt idx="193">
                  <c:v>470.18652267359886</c:v>
                </c:pt>
                <c:pt idx="194">
                  <c:v>470.18652267359886</c:v>
                </c:pt>
                <c:pt idx="195">
                  <c:v>470.18652267359886</c:v>
                </c:pt>
                <c:pt idx="196">
                  <c:v>470.18652267359886</c:v>
                </c:pt>
                <c:pt idx="197">
                  <c:v>470.18652267359886</c:v>
                </c:pt>
                <c:pt idx="198">
                  <c:v>470.18652267359886</c:v>
                </c:pt>
                <c:pt idx="199">
                  <c:v>470.18652267359886</c:v>
                </c:pt>
                <c:pt idx="200">
                  <c:v>470.18652267359886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2.2881336243779393</c:v>
                </c:pt>
                <c:pt idx="2">
                  <c:v>3.1650169817499965</c:v>
                </c:pt>
                <c:pt idx="3">
                  <c:v>4.3793873766688254</c:v>
                </c:pt>
                <c:pt idx="4">
                  <c:v>6.0616545047089643</c:v>
                </c:pt>
                <c:pt idx="5">
                  <c:v>8.392807887196037</c:v>
                </c:pt>
                <c:pt idx="6">
                  <c:v>11.624101814260646</c:v>
                </c:pt>
                <c:pt idx="7">
                  <c:v>16.104425492496834</c:v>
                </c:pt>
                <c:pt idx="8">
                  <c:v>22.318367374056834</c:v>
                </c:pt>
                <c:pt idx="9">
                  <c:v>30.939163798212203</c:v>
                </c:pt>
                <c:pt idx="10">
                  <c:v>42.902367967140272</c:v>
                </c:pt>
                <c:pt idx="11">
                  <c:v>55.501426856815328</c:v>
                </c:pt>
                <c:pt idx="12">
                  <c:v>68.025011369312452</c:v>
                </c:pt>
                <c:pt idx="13">
                  <c:v>80.489071942086085</c:v>
                </c:pt>
                <c:pt idx="14">
                  <c:v>92.90416441214235</c:v>
                </c:pt>
                <c:pt idx="15">
                  <c:v>105.27777328534678</c:v>
                </c:pt>
                <c:pt idx="16">
                  <c:v>120.97465483621151</c:v>
                </c:pt>
                <c:pt idx="17">
                  <c:v>136.62190390444178</c:v>
                </c:pt>
                <c:pt idx="18">
                  <c:v>152.22601311475293</c:v>
                </c:pt>
                <c:pt idx="19">
                  <c:v>167.79203137630657</c:v>
                </c:pt>
                <c:pt idx="20">
                  <c:v>183.32399225800421</c:v>
                </c:pt>
                <c:pt idx="21">
                  <c:v>122.37364016752581</c:v>
                </c:pt>
                <c:pt idx="22">
                  <c:v>136.62190390444178</c:v>
                </c:pt>
                <c:pt idx="23">
                  <c:v>150.83440412130653</c:v>
                </c:pt>
                <c:pt idx="24">
                  <c:v>165.01498831962564</c:v>
                </c:pt>
                <c:pt idx="25">
                  <c:v>179.16678741707778</c:v>
                </c:pt>
                <c:pt idx="26">
                  <c:v>156.67714111279562</c:v>
                </c:pt>
                <c:pt idx="27">
                  <c:v>170.29044260840411</c:v>
                </c:pt>
                <c:pt idx="28">
                  <c:v>183.87811844934708</c:v>
                </c:pt>
                <c:pt idx="29">
                  <c:v>197.4423300434845</c:v>
                </c:pt>
                <c:pt idx="30">
                  <c:v>210.9849172240738</c:v>
                </c:pt>
                <c:pt idx="31">
                  <c:v>186.3712050392503</c:v>
                </c:pt>
                <c:pt idx="32">
                  <c:v>199.10173381956614</c:v>
                </c:pt>
                <c:pt idx="33">
                  <c:v>211.81338924071954</c:v>
                </c:pt>
                <c:pt idx="34">
                  <c:v>224.50746411723344</c:v>
                </c:pt>
                <c:pt idx="35">
                  <c:v>237.18509300501151</c:v>
                </c:pt>
                <c:pt idx="36">
                  <c:v>212.08952995865158</c:v>
                </c:pt>
                <c:pt idx="37">
                  <c:v>224.23168469882569</c:v>
                </c:pt>
                <c:pt idx="38">
                  <c:v>236.3587720882521</c:v>
                </c:pt>
                <c:pt idx="39">
                  <c:v>248.4716745286153</c:v>
                </c:pt>
                <c:pt idx="40">
                  <c:v>260.57118130257919</c:v>
                </c:pt>
                <c:pt idx="41">
                  <c:v>234.43043318750142</c:v>
                </c:pt>
                <c:pt idx="42">
                  <c:v>245.44473414197429</c:v>
                </c:pt>
                <c:pt idx="43">
                  <c:v>256.44780875667237</c:v>
                </c:pt>
                <c:pt idx="44">
                  <c:v>267.44020689106782</c:v>
                </c:pt>
                <c:pt idx="45">
                  <c:v>278.42242948129473</c:v>
                </c:pt>
                <c:pt idx="46">
                  <c:v>252.87300616506943</c:v>
                </c:pt>
                <c:pt idx="47">
                  <c:v>263.04449573588096</c:v>
                </c:pt>
                <c:pt idx="48">
                  <c:v>273.2071125399271</c:v>
                </c:pt>
                <c:pt idx="49">
                  <c:v>283.36123337871362</c:v>
                </c:pt>
                <c:pt idx="50">
                  <c:v>293.50720582421621</c:v>
                </c:pt>
                <c:pt idx="51">
                  <c:v>269.63745021083264</c:v>
                </c:pt>
                <c:pt idx="52">
                  <c:v>278.69685871751233</c:v>
                </c:pt>
                <c:pt idx="53">
                  <c:v>287.74966146535672</c:v>
                </c:pt>
                <c:pt idx="54">
                  <c:v>296.7960957527909</c:v>
                </c:pt>
                <c:pt idx="55">
                  <c:v>305.83638321950082</c:v>
                </c:pt>
                <c:pt idx="56">
                  <c:v>282.53823433014594</c:v>
                </c:pt>
                <c:pt idx="57">
                  <c:v>290.76583591551019</c:v>
                </c:pt>
                <c:pt idx="58">
                  <c:v>298.98823692337123</c:v>
                </c:pt>
                <c:pt idx="59">
                  <c:v>307.20560067683328</c:v>
                </c:pt>
                <c:pt idx="60">
                  <c:v>315.41808104045475</c:v>
                </c:pt>
                <c:pt idx="61">
                  <c:v>294.3295050597672</c:v>
                </c:pt>
                <c:pt idx="62">
                  <c:v>302.00184684630864</c:v>
                </c:pt>
                <c:pt idx="63">
                  <c:v>309.66985077448419</c:v>
                </c:pt>
                <c:pt idx="64">
                  <c:v>317.33363951404203</c:v>
                </c:pt>
                <c:pt idx="65">
                  <c:v>324.99332932034093</c:v>
                </c:pt>
                <c:pt idx="66">
                  <c:v>304.46702943717872</c:v>
                </c:pt>
                <c:pt idx="67">
                  <c:v>311.31244201324165</c:v>
                </c:pt>
                <c:pt idx="68">
                  <c:v>318.15451462800144</c:v>
                </c:pt>
                <c:pt idx="69">
                  <c:v>324.99332932034093</c:v>
                </c:pt>
                <c:pt idx="70">
                  <c:v>331.82896439100062</c:v>
                </c:pt>
                <c:pt idx="71">
                  <c:v>313.22855541340397</c:v>
                </c:pt>
                <c:pt idx="72">
                  <c:v>319.24894183323727</c:v>
                </c:pt>
                <c:pt idx="73">
                  <c:v>325.26681526290184</c:v>
                </c:pt>
                <c:pt idx="74">
                  <c:v>331.28222881219443</c:v>
                </c:pt>
                <c:pt idx="75">
                  <c:v>337.29523350250412</c:v>
                </c:pt>
                <c:pt idx="76">
                  <c:v>320.89042698979466</c:v>
                </c:pt>
                <c:pt idx="77">
                  <c:v>326.36070826153559</c:v>
                </c:pt>
                <c:pt idx="78">
                  <c:v>331.82896439100074</c:v>
                </c:pt>
                <c:pt idx="79">
                  <c:v>337.29523350250412</c:v>
                </c:pt>
                <c:pt idx="80">
                  <c:v>342.75955238227749</c:v>
                </c:pt>
                <c:pt idx="81">
                  <c:v>327.1810748365312</c:v>
                </c:pt>
                <c:pt idx="82">
                  <c:v>332.10232472716143</c:v>
                </c:pt>
                <c:pt idx="83">
                  <c:v>337.02196666546217</c:v>
                </c:pt>
                <c:pt idx="84">
                  <c:v>341.94002746741921</c:v>
                </c:pt>
                <c:pt idx="85">
                  <c:v>346.8565331136702</c:v>
                </c:pt>
                <c:pt idx="86">
                  <c:v>331.82896439100062</c:v>
                </c:pt>
                <c:pt idx="87">
                  <c:v>335.9288504736034</c:v>
                </c:pt>
                <c:pt idx="88">
                  <c:v>340.02763447259463</c:v>
                </c:pt>
                <c:pt idx="89">
                  <c:v>344.12533156754643</c:v>
                </c:pt>
                <c:pt idx="90">
                  <c:v>348.22195654649892</c:v>
                </c:pt>
                <c:pt idx="91">
                  <c:v>335.9288504736034</c:v>
                </c:pt>
                <c:pt idx="92">
                  <c:v>340.02763447259463</c:v>
                </c:pt>
                <c:pt idx="93">
                  <c:v>344.12533156754643</c:v>
                </c:pt>
                <c:pt idx="94">
                  <c:v>348.22195654649892</c:v>
                </c:pt>
                <c:pt idx="95">
                  <c:v>352.31752382065224</c:v>
                </c:pt>
                <c:pt idx="96">
                  <c:v>340.02763447259463</c:v>
                </c:pt>
                <c:pt idx="97">
                  <c:v>344.12533156754643</c:v>
                </c:pt>
                <c:pt idx="98">
                  <c:v>348.22195654649892</c:v>
                </c:pt>
                <c:pt idx="99">
                  <c:v>352.31752382065224</c:v>
                </c:pt>
                <c:pt idx="100">
                  <c:v>356.41204743833867</c:v>
                </c:pt>
                <c:pt idx="101">
                  <c:v>340.02763447259463</c:v>
                </c:pt>
                <c:pt idx="102">
                  <c:v>340.02763447259463</c:v>
                </c:pt>
                <c:pt idx="103">
                  <c:v>340.02763447259463</c:v>
                </c:pt>
                <c:pt idx="104">
                  <c:v>340.02763447259463</c:v>
                </c:pt>
                <c:pt idx="105">
                  <c:v>340.02763447259463</c:v>
                </c:pt>
                <c:pt idx="106">
                  <c:v>340.02763447259463</c:v>
                </c:pt>
                <c:pt idx="107">
                  <c:v>340.02763447259463</c:v>
                </c:pt>
                <c:pt idx="108">
                  <c:v>340.02763447259463</c:v>
                </c:pt>
                <c:pt idx="109">
                  <c:v>340.02763447259463</c:v>
                </c:pt>
                <c:pt idx="110">
                  <c:v>340.02763447259463</c:v>
                </c:pt>
                <c:pt idx="111">
                  <c:v>340.02763447259463</c:v>
                </c:pt>
                <c:pt idx="112">
                  <c:v>340.02763447259463</c:v>
                </c:pt>
                <c:pt idx="113">
                  <c:v>340.02763447259463</c:v>
                </c:pt>
                <c:pt idx="114">
                  <c:v>340.02763447259463</c:v>
                </c:pt>
                <c:pt idx="115">
                  <c:v>340.02763447259463</c:v>
                </c:pt>
                <c:pt idx="116">
                  <c:v>340.02763447259463</c:v>
                </c:pt>
                <c:pt idx="117">
                  <c:v>340.02763447259463</c:v>
                </c:pt>
                <c:pt idx="118">
                  <c:v>340.02763447259463</c:v>
                </c:pt>
                <c:pt idx="119">
                  <c:v>340.02763447259463</c:v>
                </c:pt>
                <c:pt idx="120">
                  <c:v>340.02763447259463</c:v>
                </c:pt>
                <c:pt idx="121">
                  <c:v>340.02763447259463</c:v>
                </c:pt>
                <c:pt idx="122">
                  <c:v>340.02763447259463</c:v>
                </c:pt>
                <c:pt idx="123">
                  <c:v>340.02763447259463</c:v>
                </c:pt>
                <c:pt idx="124">
                  <c:v>340.02763447259463</c:v>
                </c:pt>
                <c:pt idx="125">
                  <c:v>340.02763447259463</c:v>
                </c:pt>
                <c:pt idx="126">
                  <c:v>340.02763447259463</c:v>
                </c:pt>
                <c:pt idx="127">
                  <c:v>340.02763447259463</c:v>
                </c:pt>
                <c:pt idx="128">
                  <c:v>340.02763447259463</c:v>
                </c:pt>
                <c:pt idx="129">
                  <c:v>340.02763447259463</c:v>
                </c:pt>
                <c:pt idx="130">
                  <c:v>340.02763447259463</c:v>
                </c:pt>
                <c:pt idx="131">
                  <c:v>340.02763447259463</c:v>
                </c:pt>
                <c:pt idx="132">
                  <c:v>340.02763447259463</c:v>
                </c:pt>
                <c:pt idx="133">
                  <c:v>340.02763447259463</c:v>
                </c:pt>
                <c:pt idx="134">
                  <c:v>340.02763447259463</c:v>
                </c:pt>
                <c:pt idx="135">
                  <c:v>340.02763447259463</c:v>
                </c:pt>
                <c:pt idx="136">
                  <c:v>340.02763447259463</c:v>
                </c:pt>
                <c:pt idx="137">
                  <c:v>340.02763447259463</c:v>
                </c:pt>
                <c:pt idx="138">
                  <c:v>340.02763447259463</c:v>
                </c:pt>
                <c:pt idx="139">
                  <c:v>340.02763447259463</c:v>
                </c:pt>
                <c:pt idx="140">
                  <c:v>340.02763447259463</c:v>
                </c:pt>
                <c:pt idx="141">
                  <c:v>340.02763447259463</c:v>
                </c:pt>
                <c:pt idx="142">
                  <c:v>340.02763447259463</c:v>
                </c:pt>
                <c:pt idx="143">
                  <c:v>340.02763447259463</c:v>
                </c:pt>
                <c:pt idx="144">
                  <c:v>340.02763447259463</c:v>
                </c:pt>
                <c:pt idx="145">
                  <c:v>340.02763447259463</c:v>
                </c:pt>
                <c:pt idx="146">
                  <c:v>340.02763447259463</c:v>
                </c:pt>
                <c:pt idx="147">
                  <c:v>340.02763447259463</c:v>
                </c:pt>
                <c:pt idx="148">
                  <c:v>340.02763447259463</c:v>
                </c:pt>
                <c:pt idx="149">
                  <c:v>340.02763447259463</c:v>
                </c:pt>
                <c:pt idx="150">
                  <c:v>340.02763447259463</c:v>
                </c:pt>
                <c:pt idx="151">
                  <c:v>340.02763447259463</c:v>
                </c:pt>
                <c:pt idx="152">
                  <c:v>340.02763447259463</c:v>
                </c:pt>
                <c:pt idx="153">
                  <c:v>340.02763447259463</c:v>
                </c:pt>
                <c:pt idx="154">
                  <c:v>340.02763447259463</c:v>
                </c:pt>
                <c:pt idx="155">
                  <c:v>340.02763447259463</c:v>
                </c:pt>
                <c:pt idx="156">
                  <c:v>340.02763447259463</c:v>
                </c:pt>
                <c:pt idx="157">
                  <c:v>340.02763447259463</c:v>
                </c:pt>
                <c:pt idx="158">
                  <c:v>340.02763447259463</c:v>
                </c:pt>
                <c:pt idx="159">
                  <c:v>340.02763447259463</c:v>
                </c:pt>
                <c:pt idx="160">
                  <c:v>340.02763447259463</c:v>
                </c:pt>
                <c:pt idx="161">
                  <c:v>340.02763447259463</c:v>
                </c:pt>
                <c:pt idx="162">
                  <c:v>340.02763447259463</c:v>
                </c:pt>
                <c:pt idx="163">
                  <c:v>340.02763447259463</c:v>
                </c:pt>
                <c:pt idx="164">
                  <c:v>340.02763447259463</c:v>
                </c:pt>
                <c:pt idx="165">
                  <c:v>340.02763447259463</c:v>
                </c:pt>
                <c:pt idx="166">
                  <c:v>340.02763447259463</c:v>
                </c:pt>
                <c:pt idx="167">
                  <c:v>340.02763447259463</c:v>
                </c:pt>
                <c:pt idx="168">
                  <c:v>340.02763447259463</c:v>
                </c:pt>
                <c:pt idx="169">
                  <c:v>340.02763447259463</c:v>
                </c:pt>
                <c:pt idx="170">
                  <c:v>340.02763447259463</c:v>
                </c:pt>
                <c:pt idx="171">
                  <c:v>340.02763447259463</c:v>
                </c:pt>
                <c:pt idx="172">
                  <c:v>340.02763447259463</c:v>
                </c:pt>
                <c:pt idx="173">
                  <c:v>340.02763447259463</c:v>
                </c:pt>
                <c:pt idx="174">
                  <c:v>340.02763447259463</c:v>
                </c:pt>
                <c:pt idx="175">
                  <c:v>340.02763447259463</c:v>
                </c:pt>
                <c:pt idx="176">
                  <c:v>340.02763447259463</c:v>
                </c:pt>
                <c:pt idx="177">
                  <c:v>340.02763447259463</c:v>
                </c:pt>
                <c:pt idx="178">
                  <c:v>340.02763447259463</c:v>
                </c:pt>
                <c:pt idx="179">
                  <c:v>340.02763447259463</c:v>
                </c:pt>
                <c:pt idx="180">
                  <c:v>340.02763447259463</c:v>
                </c:pt>
                <c:pt idx="181">
                  <c:v>340.02763447259463</c:v>
                </c:pt>
                <c:pt idx="182">
                  <c:v>340.02763447259463</c:v>
                </c:pt>
                <c:pt idx="183">
                  <c:v>340.02763447259463</c:v>
                </c:pt>
                <c:pt idx="184">
                  <c:v>340.02763447259463</c:v>
                </c:pt>
                <c:pt idx="185">
                  <c:v>340.02763447259463</c:v>
                </c:pt>
                <c:pt idx="186">
                  <c:v>340.02763447259463</c:v>
                </c:pt>
                <c:pt idx="187">
                  <c:v>340.02763447259463</c:v>
                </c:pt>
                <c:pt idx="188">
                  <c:v>340.02763447259463</c:v>
                </c:pt>
                <c:pt idx="189">
                  <c:v>340.02763447259463</c:v>
                </c:pt>
                <c:pt idx="190">
                  <c:v>340.02763447259463</c:v>
                </c:pt>
                <c:pt idx="191">
                  <c:v>340.02763447259463</c:v>
                </c:pt>
                <c:pt idx="192">
                  <c:v>340.02763447259463</c:v>
                </c:pt>
                <c:pt idx="193">
                  <c:v>340.02763447259463</c:v>
                </c:pt>
                <c:pt idx="194">
                  <c:v>340.02763447259463</c:v>
                </c:pt>
                <c:pt idx="195">
                  <c:v>340.02763447259463</c:v>
                </c:pt>
                <c:pt idx="196">
                  <c:v>340.02763447259463</c:v>
                </c:pt>
                <c:pt idx="197">
                  <c:v>340.02763447259463</c:v>
                </c:pt>
                <c:pt idx="198">
                  <c:v>340.02763447259463</c:v>
                </c:pt>
                <c:pt idx="199">
                  <c:v>340.02763447259463</c:v>
                </c:pt>
                <c:pt idx="200">
                  <c:v>340.02763447259463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2.874782824500985</c:v>
                </c:pt>
                <c:pt idx="2">
                  <c:v>3.3544810996371788</c:v>
                </c:pt>
                <c:pt idx="3">
                  <c:v>3.9145137346086183</c:v>
                </c:pt>
                <c:pt idx="4">
                  <c:v>4.5683800462056032</c:v>
                </c:pt>
                <c:pt idx="5">
                  <c:v>5.3318549871655181</c:v>
                </c:pt>
                <c:pt idx="6">
                  <c:v>6.2233738936308676</c:v>
                </c:pt>
                <c:pt idx="7">
                  <c:v>7.2644824603235216</c:v>
                </c:pt>
                <c:pt idx="8">
                  <c:v>8.4803630294415555</c:v>
                </c:pt>
                <c:pt idx="9">
                  <c:v>9.9004501677575547</c:v>
                </c:pt>
                <c:pt idx="10">
                  <c:v>11.559150717235388</c:v>
                </c:pt>
                <c:pt idx="11">
                  <c:v>13.496686092818514</c:v>
                </c:pt>
                <c:pt idx="12">
                  <c:v>15.760077631453415</c:v>
                </c:pt>
                <c:pt idx="13">
                  <c:v>18.404299344539826</c:v>
                </c:pt>
                <c:pt idx="14">
                  <c:v>21.493626580450933</c:v>
                </c:pt>
                <c:pt idx="15">
                  <c:v>25.103213968339016</c:v>
                </c:pt>
                <c:pt idx="16">
                  <c:v>29.320941710727627</c:v>
                </c:pt>
                <c:pt idx="17">
                  <c:v>34.249575962838712</c:v>
                </c:pt>
                <c:pt idx="18">
                  <c:v>40.009296848092099</c:v>
                </c:pt>
                <c:pt idx="19">
                  <c:v>46.740656807261189</c:v>
                </c:pt>
                <c:pt idx="20">
                  <c:v>54.608042692435284</c:v>
                </c:pt>
                <c:pt idx="21">
                  <c:v>63.803727564608444</c:v>
                </c:pt>
                <c:pt idx="22">
                  <c:v>74.552612849841438</c:v>
                </c:pt>
                <c:pt idx="23">
                  <c:v>87.11777872197564</c:v>
                </c:pt>
                <c:pt idx="24">
                  <c:v>101.80698074154111</c:v>
                </c:pt>
                <c:pt idx="25">
                  <c:v>118.98025439667691</c:v>
                </c:pt>
                <c:pt idx="26">
                  <c:v>139.05881685536514</c:v>
                </c:pt>
                <c:pt idx="27">
                  <c:v>162.53548764372363</c:v>
                </c:pt>
                <c:pt idx="28">
                  <c:v>189.98688792654818</c:v>
                </c:pt>
                <c:pt idx="29">
                  <c:v>222.08772253770795</c:v>
                </c:pt>
                <c:pt idx="30">
                  <c:v>259.62750100735406</c:v>
                </c:pt>
                <c:pt idx="31">
                  <c:v>292.58700280919032</c:v>
                </c:pt>
                <c:pt idx="32">
                  <c:v>325.46357834689451</c:v>
                </c:pt>
                <c:pt idx="33">
                  <c:v>358.26677520279083</c:v>
                </c:pt>
                <c:pt idx="34">
                  <c:v>391.00424930248067</c:v>
                </c:pt>
                <c:pt idx="35">
                  <c:v>423.68227013435853</c:v>
                </c:pt>
                <c:pt idx="36">
                  <c:v>306.68609327791313</c:v>
                </c:pt>
                <c:pt idx="37">
                  <c:v>333.2912733917654</c:v>
                </c:pt>
                <c:pt idx="38">
                  <c:v>359.8496524428956</c:v>
                </c:pt>
                <c:pt idx="39">
                  <c:v>386.36516703266381</c:v>
                </c:pt>
                <c:pt idx="40">
                  <c:v>412.84116957446236</c:v>
                </c:pt>
                <c:pt idx="41">
                  <c:v>439.28054766493636</c:v>
                </c:pt>
                <c:pt idx="42">
                  <c:v>368.58505504712031</c:v>
                </c:pt>
                <c:pt idx="43">
                  <c:v>395.49558146511112</c:v>
                </c:pt>
                <c:pt idx="44">
                  <c:v>422.3664419043053</c:v>
                </c:pt>
                <c:pt idx="45">
                  <c:v>449.20051198424522</c:v>
                </c:pt>
                <c:pt idx="46">
                  <c:v>476.00029600122389</c:v>
                </c:pt>
                <c:pt idx="47">
                  <c:v>502.76799350659803</c:v>
                </c:pt>
                <c:pt idx="48">
                  <c:v>529.50555096799405</c:v>
                </c:pt>
                <c:pt idx="49">
                  <c:v>429.33815859480404</c:v>
                </c:pt>
                <c:pt idx="50">
                  <c:v>454.54436868421567</c:v>
                </c:pt>
                <c:pt idx="51">
                  <c:v>479.72071753587551</c:v>
                </c:pt>
                <c:pt idx="52">
                  <c:v>504.86899101410614</c:v>
                </c:pt>
                <c:pt idx="53">
                  <c:v>529.99078272720578</c:v>
                </c:pt>
                <c:pt idx="54">
                  <c:v>555.08752303952872</c:v>
                </c:pt>
                <c:pt idx="55">
                  <c:v>580.16050256595634</c:v>
                </c:pt>
                <c:pt idx="56">
                  <c:v>484.82724321910905</c:v>
                </c:pt>
                <c:pt idx="57">
                  <c:v>508.68718351521085</c:v>
                </c:pt>
                <c:pt idx="58">
                  <c:v>532.52348247086229</c:v>
                </c:pt>
                <c:pt idx="59">
                  <c:v>556.33734603131006</c:v>
                </c:pt>
                <c:pt idx="60">
                  <c:v>580.12986858717284</c:v>
                </c:pt>
                <c:pt idx="61">
                  <c:v>603.90204753719468</c:v>
                </c:pt>
                <c:pt idx="62">
                  <c:v>627.6547954402472</c:v>
                </c:pt>
                <c:pt idx="63">
                  <c:v>651.38895023354644</c:v>
                </c:pt>
                <c:pt idx="64">
                  <c:v>563.81498425829068</c:v>
                </c:pt>
                <c:pt idx="65">
                  <c:v>586.87363908113412</c:v>
                </c:pt>
                <c:pt idx="66">
                  <c:v>609.91342722683794</c:v>
                </c:pt>
                <c:pt idx="67">
                  <c:v>632.93516088265085</c:v>
                </c:pt>
                <c:pt idx="68">
                  <c:v>655.9395884010836</c:v>
                </c:pt>
                <c:pt idx="69">
                  <c:v>678.92740142457762</c:v>
                </c:pt>
                <c:pt idx="70">
                  <c:v>701.89924099594873</c:v>
                </c:pt>
                <c:pt idx="71">
                  <c:v>724.85570282808249</c:v>
                </c:pt>
                <c:pt idx="72">
                  <c:v>641.28199186449854</c:v>
                </c:pt>
                <c:pt idx="73">
                  <c:v>663.71262388619687</c:v>
                </c:pt>
                <c:pt idx="74">
                  <c:v>686.12766324435916</c:v>
                </c:pt>
                <c:pt idx="75">
                  <c:v>708.52769042865077</c:v>
                </c:pt>
                <c:pt idx="76">
                  <c:v>730.91324627615222</c:v>
                </c:pt>
                <c:pt idx="77">
                  <c:v>753.2848358356963</c:v>
                </c:pt>
                <c:pt idx="78">
                  <c:v>775.64293174977286</c:v>
                </c:pt>
                <c:pt idx="79">
                  <c:v>797.98797722667484</c:v>
                </c:pt>
                <c:pt idx="80">
                  <c:v>820.32038866283062</c:v>
                </c:pt>
                <c:pt idx="81">
                  <c:v>720.50501832026794</c:v>
                </c:pt>
                <c:pt idx="82">
                  <c:v>741.66388860983864</c:v>
                </c:pt>
                <c:pt idx="83">
                  <c:v>762.81048004868137</c:v>
                </c:pt>
                <c:pt idx="84">
                  <c:v>783.94518054265029</c:v>
                </c:pt>
                <c:pt idx="85">
                  <c:v>805.06835540294651</c:v>
                </c:pt>
                <c:pt idx="86">
                  <c:v>826.18034923236155</c:v>
                </c:pt>
                <c:pt idx="87">
                  <c:v>847.28148760893248</c:v>
                </c:pt>
                <c:pt idx="88">
                  <c:v>868.37207859336559</c:v>
                </c:pt>
                <c:pt idx="89">
                  <c:v>889.45241408258869</c:v>
                </c:pt>
                <c:pt idx="90">
                  <c:v>778.86457925997695</c:v>
                </c:pt>
                <c:pt idx="91">
                  <c:v>799.05112899959715</c:v>
                </c:pt>
                <c:pt idx="92">
                  <c:v>819.22738249399345</c:v>
                </c:pt>
                <c:pt idx="93">
                  <c:v>839.3936287196334</c:v>
                </c:pt>
                <c:pt idx="94">
                  <c:v>859.55014165330965</c:v>
                </c:pt>
                <c:pt idx="95">
                  <c:v>879.69718139124927</c:v>
                </c:pt>
                <c:pt idx="96">
                  <c:v>899.83499516050631</c:v>
                </c:pt>
                <c:pt idx="97">
                  <c:v>919.96381823522722</c:v>
                </c:pt>
                <c:pt idx="98">
                  <c:v>940.08387476866801</c:v>
                </c:pt>
                <c:pt idx="99">
                  <c:v>960.19537855037299</c:v>
                </c:pt>
                <c:pt idx="100">
                  <c:v>852.47102334504063</c:v>
                </c:pt>
                <c:pt idx="101">
                  <c:v>872.14338883167966</c:v>
                </c:pt>
                <c:pt idx="102">
                  <c:v>891.80687400789668</c:v>
                </c:pt>
                <c:pt idx="103">
                  <c:v>911.4617019978449</c:v>
                </c:pt>
                <c:pt idx="104">
                  <c:v>931.10808553102299</c:v>
                </c:pt>
                <c:pt idx="105">
                  <c:v>950.74622764003141</c:v>
                </c:pt>
                <c:pt idx="106">
                  <c:v>970.37632229776216</c:v>
                </c:pt>
                <c:pt idx="107">
                  <c:v>989.99855500042293</c:v>
                </c:pt>
                <c:pt idx="108">
                  <c:v>1009.6131033020002</c:v>
                </c:pt>
                <c:pt idx="109">
                  <c:v>1029.2201373050909</c:v>
                </c:pt>
                <c:pt idx="110">
                  <c:v>912.89636748316332</c:v>
                </c:pt>
                <c:pt idx="111">
                  <c:v>931.91917253835834</c:v>
                </c:pt>
                <c:pt idx="112">
                  <c:v>950.93425837707116</c:v>
                </c:pt>
                <c:pt idx="113">
                  <c:v>969.94180088868143</c:v>
                </c:pt>
                <c:pt idx="114">
                  <c:v>988.94196851633842</c:v>
                </c:pt>
                <c:pt idx="115">
                  <c:v>1007.9349227120669</c:v>
                </c:pt>
                <c:pt idx="116">
                  <c:v>1026.9208183558419</c:v>
                </c:pt>
                <c:pt idx="117">
                  <c:v>1045.8998041420966</c:v>
                </c:pt>
                <c:pt idx="118">
                  <c:v>1064.8720229367693</c:v>
                </c:pt>
                <c:pt idx="119">
                  <c:v>1083.837612107613</c:v>
                </c:pt>
                <c:pt idx="120">
                  <c:v>685.22707961918843</c:v>
                </c:pt>
                <c:pt idx="121">
                  <c:v>684.46894237918275</c:v>
                </c:pt>
                <c:pt idx="122">
                  <c:v>683.71078791151388</c:v>
                </c:pt>
                <c:pt idx="123">
                  <c:v>682.95261619436906</c:v>
                </c:pt>
                <c:pt idx="124">
                  <c:v>477.88182239269281</c:v>
                </c:pt>
                <c:pt idx="125">
                  <c:v>478.28681697956364</c:v>
                </c:pt>
                <c:pt idx="126">
                  <c:v>478.69180427339779</c:v>
                </c:pt>
                <c:pt idx="127">
                  <c:v>479.09678428124539</c:v>
                </c:pt>
                <c:pt idx="128">
                  <c:v>345.52979462786629</c:v>
                </c:pt>
                <c:pt idx="129">
                  <c:v>345.73113567518845</c:v>
                </c:pt>
                <c:pt idx="130">
                  <c:v>345.93247414678564</c:v>
                </c:pt>
                <c:pt idx="131">
                  <c:v>346.13381004437218</c:v>
                </c:pt>
                <c:pt idx="132">
                  <c:v>44.27625842724435</c:v>
                </c:pt>
                <c:pt idx="133">
                  <c:v>44.27625842724435</c:v>
                </c:pt>
                <c:pt idx="134">
                  <c:v>44.27625842724435</c:v>
                </c:pt>
                <c:pt idx="135">
                  <c:v>44.27625842724435</c:v>
                </c:pt>
                <c:pt idx="136">
                  <c:v>44.27625842724435</c:v>
                </c:pt>
                <c:pt idx="137">
                  <c:v>44.27625842724435</c:v>
                </c:pt>
                <c:pt idx="138">
                  <c:v>44.27625842724435</c:v>
                </c:pt>
                <c:pt idx="139">
                  <c:v>44.27625842724435</c:v>
                </c:pt>
                <c:pt idx="140">
                  <c:v>44.27625842724435</c:v>
                </c:pt>
                <c:pt idx="141">
                  <c:v>44.27625842724435</c:v>
                </c:pt>
                <c:pt idx="142">
                  <c:v>44.27625842724435</c:v>
                </c:pt>
                <c:pt idx="143">
                  <c:v>44.27625842724435</c:v>
                </c:pt>
                <c:pt idx="144">
                  <c:v>44.27625842724435</c:v>
                </c:pt>
                <c:pt idx="145">
                  <c:v>44.27625842724435</c:v>
                </c:pt>
                <c:pt idx="146">
                  <c:v>44.27625842724435</c:v>
                </c:pt>
                <c:pt idx="147">
                  <c:v>44.27625842724435</c:v>
                </c:pt>
                <c:pt idx="148">
                  <c:v>44.27625842724435</c:v>
                </c:pt>
                <c:pt idx="149">
                  <c:v>44.27625842724435</c:v>
                </c:pt>
                <c:pt idx="150">
                  <c:v>44.27625842724435</c:v>
                </c:pt>
                <c:pt idx="151">
                  <c:v>44.27625842724435</c:v>
                </c:pt>
                <c:pt idx="152">
                  <c:v>44.27625842724435</c:v>
                </c:pt>
                <c:pt idx="153">
                  <c:v>44.27625842724435</c:v>
                </c:pt>
                <c:pt idx="154">
                  <c:v>44.27625842724435</c:v>
                </c:pt>
                <c:pt idx="155">
                  <c:v>44.27625842724435</c:v>
                </c:pt>
                <c:pt idx="156">
                  <c:v>44.27625842724435</c:v>
                </c:pt>
                <c:pt idx="157">
                  <c:v>44.27625842724435</c:v>
                </c:pt>
                <c:pt idx="158">
                  <c:v>44.27625842724435</c:v>
                </c:pt>
                <c:pt idx="159">
                  <c:v>44.27625842724435</c:v>
                </c:pt>
                <c:pt idx="160">
                  <c:v>44.27625842724435</c:v>
                </c:pt>
                <c:pt idx="161">
                  <c:v>44.27625842724435</c:v>
                </c:pt>
                <c:pt idx="162">
                  <c:v>44.27625842724435</c:v>
                </c:pt>
                <c:pt idx="163">
                  <c:v>44.27625842724435</c:v>
                </c:pt>
                <c:pt idx="164">
                  <c:v>44.27625842724435</c:v>
                </c:pt>
                <c:pt idx="165">
                  <c:v>44.27625842724435</c:v>
                </c:pt>
                <c:pt idx="166">
                  <c:v>44.27625842724435</c:v>
                </c:pt>
                <c:pt idx="167">
                  <c:v>44.27625842724435</c:v>
                </c:pt>
                <c:pt idx="168">
                  <c:v>44.27625842724435</c:v>
                </c:pt>
                <c:pt idx="169">
                  <c:v>44.27625842724435</c:v>
                </c:pt>
                <c:pt idx="170">
                  <c:v>44.27625842724435</c:v>
                </c:pt>
                <c:pt idx="171">
                  <c:v>44.27625842724435</c:v>
                </c:pt>
                <c:pt idx="172">
                  <c:v>44.27625842724435</c:v>
                </c:pt>
                <c:pt idx="173">
                  <c:v>44.27625842724435</c:v>
                </c:pt>
                <c:pt idx="174">
                  <c:v>44.27625842724435</c:v>
                </c:pt>
                <c:pt idx="175">
                  <c:v>44.27625842724435</c:v>
                </c:pt>
                <c:pt idx="176">
                  <c:v>44.27625842724435</c:v>
                </c:pt>
                <c:pt idx="177">
                  <c:v>44.27625842724435</c:v>
                </c:pt>
                <c:pt idx="178">
                  <c:v>44.27625842724435</c:v>
                </c:pt>
                <c:pt idx="179">
                  <c:v>44.27625842724435</c:v>
                </c:pt>
                <c:pt idx="180">
                  <c:v>44.27625842724435</c:v>
                </c:pt>
                <c:pt idx="181">
                  <c:v>44.27625842724435</c:v>
                </c:pt>
                <c:pt idx="182">
                  <c:v>44.27625842724435</c:v>
                </c:pt>
                <c:pt idx="183">
                  <c:v>44.27625842724435</c:v>
                </c:pt>
                <c:pt idx="184">
                  <c:v>44.27625842724435</c:v>
                </c:pt>
                <c:pt idx="185">
                  <c:v>44.27625842724435</c:v>
                </c:pt>
                <c:pt idx="186">
                  <c:v>44.27625842724435</c:v>
                </c:pt>
                <c:pt idx="187">
                  <c:v>44.27625842724435</c:v>
                </c:pt>
                <c:pt idx="188">
                  <c:v>44.27625842724435</c:v>
                </c:pt>
                <c:pt idx="189">
                  <c:v>44.27625842724435</c:v>
                </c:pt>
                <c:pt idx="190">
                  <c:v>44.27625842724435</c:v>
                </c:pt>
                <c:pt idx="191">
                  <c:v>44.27625842724435</c:v>
                </c:pt>
                <c:pt idx="192">
                  <c:v>44.27625842724435</c:v>
                </c:pt>
                <c:pt idx="193">
                  <c:v>44.27625842724435</c:v>
                </c:pt>
                <c:pt idx="194">
                  <c:v>44.27625842724435</c:v>
                </c:pt>
                <c:pt idx="195">
                  <c:v>44.27625842724435</c:v>
                </c:pt>
                <c:pt idx="196">
                  <c:v>44.27625842724435</c:v>
                </c:pt>
                <c:pt idx="197">
                  <c:v>44.27625842724435</c:v>
                </c:pt>
                <c:pt idx="198">
                  <c:v>44.27625842724435</c:v>
                </c:pt>
                <c:pt idx="199">
                  <c:v>44.27625842724435</c:v>
                </c:pt>
                <c:pt idx="200">
                  <c:v>44.27625842724435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2.0208949481452367</c:v>
                </c:pt>
                <c:pt idx="2">
                  <c:v>2.3577061646663928</c:v>
                </c:pt>
                <c:pt idx="3">
                  <c:v>2.7508588125952431</c:v>
                </c:pt>
                <c:pt idx="4">
                  <c:v>3.2098103987231901</c:v>
                </c:pt>
                <c:pt idx="5">
                  <c:v>3.7456111416335549</c:v>
                </c:pt>
                <c:pt idx="6">
                  <c:v>4.3711730082502802</c:v>
                </c:pt>
                <c:pt idx="7">
                  <c:v>5.1015843226071391</c:v>
                </c:pt>
                <c:pt idx="8">
                  <c:v>5.9544776862203825</c:v>
                </c:pt>
                <c:pt idx="9">
                  <c:v>6.9504602668994044</c:v>
                </c:pt>
                <c:pt idx="10">
                  <c:v>8.1136170550287403</c:v>
                </c:pt>
                <c:pt idx="11">
                  <c:v>9.4720994917150865</c:v>
                </c:pt>
                <c:pt idx="12">
                  <c:v>11.058813986707358</c:v>
                </c:pt>
                <c:pt idx="13">
                  <c:v>12.912227318363817</c:v>
                </c:pt>
                <c:pt idx="14">
                  <c:v>15.077308804883041</c:v>
                </c:pt>
                <c:pt idx="15">
                  <c:v>17.606632527836044</c:v>
                </c:pt>
                <c:pt idx="16">
                  <c:v>20.561666860427287</c:v>
                </c:pt>
                <c:pt idx="17">
                  <c:v>24.014283203082368</c:v>
                </c:pt>
                <c:pt idx="18">
                  <c:v>28.048521274128948</c:v>
                </c:pt>
                <c:pt idx="19">
                  <c:v>32.762654679655618</c:v>
                </c:pt>
                <c:pt idx="20">
                  <c:v>38.271607953602867</c:v>
                </c:pt>
                <c:pt idx="21">
                  <c:v>44.70978500363038</c:v>
                </c:pt>
                <c:pt idx="22">
                  <c:v>52.234379139246528</c:v>
                </c:pt>
                <c:pt idx="23">
                  <c:v>61.029246852589097</c:v>
                </c:pt>
                <c:pt idx="24">
                  <c:v>71.309441569652833</c:v>
                </c:pt>
                <c:pt idx="25">
                  <c:v>83.326520042809591</c:v>
                </c:pt>
                <c:pt idx="26">
                  <c:v>97.374753326781288</c:v>
                </c:pt>
                <c:pt idx="27">
                  <c:v>113.79839685328822</c:v>
                </c:pt>
                <c:pt idx="28">
                  <c:v>133.00020056095437</c:v>
                </c:pt>
                <c:pt idx="29">
                  <c:v>155.45137101059979</c:v>
                </c:pt>
                <c:pt idx="30">
                  <c:v>181.70323369977314</c:v>
                </c:pt>
                <c:pt idx="31">
                  <c:v>204.74957425724202</c:v>
                </c:pt>
                <c:pt idx="32">
                  <c:v>227.73589874774825</c:v>
                </c:pt>
                <c:pt idx="33">
                  <c:v>250.66911702483722</c:v>
                </c:pt>
                <c:pt idx="34">
                  <c:v>273.5547698969425</c:v>
                </c:pt>
                <c:pt idx="35">
                  <c:v>296.39739476894169</c:v>
                </c:pt>
                <c:pt idx="36">
                  <c:v>214.60747373346987</c:v>
                </c:pt>
                <c:pt idx="37">
                  <c:v>233.20851673157782</c:v>
                </c:pt>
                <c:pt idx="38">
                  <c:v>251.77568848584897</c:v>
                </c:pt>
                <c:pt idx="39">
                  <c:v>270.31183802527545</c:v>
                </c:pt>
                <c:pt idx="40">
                  <c:v>288.81939158560613</c:v>
                </c:pt>
                <c:pt idx="41">
                  <c:v>307.30043900165168</c:v>
                </c:pt>
                <c:pt idx="42">
                  <c:v>257.88244191916129</c:v>
                </c:pt>
                <c:pt idx="43">
                  <c:v>276.69438956287092</c:v>
                </c:pt>
                <c:pt idx="44">
                  <c:v>295.4776298234209</c:v>
                </c:pt>
                <c:pt idx="45">
                  <c:v>314.23424386745637</c:v>
                </c:pt>
                <c:pt idx="46">
                  <c:v>332.96604412455588</c:v>
                </c:pt>
                <c:pt idx="47">
                  <c:v>351.67462247182647</c:v>
                </c:pt>
                <c:pt idx="48">
                  <c:v>370.36138762256996</c:v>
                </c:pt>
                <c:pt idx="49">
                  <c:v>300.35084047589061</c:v>
                </c:pt>
                <c:pt idx="50">
                  <c:v>317.96941663472688</c:v>
                </c:pt>
                <c:pt idx="51">
                  <c:v>335.5663813769342</c:v>
                </c:pt>
                <c:pt idx="52">
                  <c:v>353.14302718269192</c:v>
                </c:pt>
                <c:pt idx="53">
                  <c:v>370.70050739109314</c:v>
                </c:pt>
                <c:pt idx="54">
                  <c:v>388.23985719700346</c:v>
                </c:pt>
                <c:pt idx="55">
                  <c:v>405.76201065466859</c:v>
                </c:pt>
                <c:pt idx="56">
                  <c:v>339.13549224203337</c:v>
                </c:pt>
                <c:pt idx="57">
                  <c:v>355.81158208407214</c:v>
                </c:pt>
                <c:pt idx="58">
                  <c:v>372.47056202388961</c:v>
                </c:pt>
                <c:pt idx="59">
                  <c:v>389.11330483793859</c:v>
                </c:pt>
                <c:pt idx="60">
                  <c:v>405.74060256745355</c:v>
                </c:pt>
                <c:pt idx="61">
                  <c:v>422.35317705792505</c:v>
                </c:pt>
                <c:pt idx="62">
                  <c:v>438.95168875384394</c:v>
                </c:pt>
                <c:pt idx="63">
                  <c:v>455.53674409391311</c:v>
                </c:pt>
                <c:pt idx="64">
                  <c:v>394.33907478597172</c:v>
                </c:pt>
                <c:pt idx="65">
                  <c:v>410.4533631865466</c:v>
                </c:pt>
                <c:pt idx="66">
                  <c:v>426.55399724286889</c:v>
                </c:pt>
                <c:pt idx="67">
                  <c:v>442.64156475766708</c:v>
                </c:pt>
                <c:pt idx="68">
                  <c:v>458.71660733467564</c:v>
                </c:pt>
                <c:pt idx="69">
                  <c:v>474.77962553495928</c:v>
                </c:pt>
                <c:pt idx="70">
                  <c:v>490.83108329921242</c:v>
                </c:pt>
                <c:pt idx="71">
                  <c:v>506.87141176158462</c:v>
                </c:pt>
                <c:pt idx="72">
                  <c:v>448.47421544089451</c:v>
                </c:pt>
                <c:pt idx="73">
                  <c:v>464.14815744680965</c:v>
                </c:pt>
                <c:pt idx="74">
                  <c:v>479.81081460409172</c:v>
                </c:pt>
                <c:pt idx="75">
                  <c:v>495.46260702941845</c:v>
                </c:pt>
                <c:pt idx="76">
                  <c:v>511.10392614177891</c:v>
                </c:pt>
                <c:pt idx="77">
                  <c:v>526.73513745920036</c:v>
                </c:pt>
                <c:pt idx="78">
                  <c:v>542.35658304633125</c:v>
                </c:pt>
                <c:pt idx="79">
                  <c:v>557.96858366546292</c:v>
                </c:pt>
                <c:pt idx="80">
                  <c:v>573.57144067438878</c:v>
                </c:pt>
                <c:pt idx="81">
                  <c:v>503.83149445271061</c:v>
                </c:pt>
                <c:pt idx="82">
                  <c:v>518.6155301187614</c:v>
                </c:pt>
                <c:pt idx="83">
                  <c:v>533.39067923560003</c:v>
                </c:pt>
                <c:pt idx="84">
                  <c:v>548.15722254159118</c:v>
                </c:pt>
                <c:pt idx="85">
                  <c:v>562.91542442271282</c:v>
                </c:pt>
                <c:pt idx="86">
                  <c:v>577.66553427768565</c:v>
                </c:pt>
                <c:pt idx="87">
                  <c:v>592.40778773648196</c:v>
                </c:pt>
                <c:pt idx="88">
                  <c:v>607.14240775128849</c:v>
                </c:pt>
                <c:pt idx="89">
                  <c:v>621.86960557611235</c:v>
                </c:pt>
                <c:pt idx="90">
                  <c:v>544.6074984859016</c:v>
                </c:pt>
                <c:pt idx="91">
                  <c:v>558.71137687549106</c:v>
                </c:pt>
                <c:pt idx="92">
                  <c:v>572.80780358316781</c:v>
                </c:pt>
                <c:pt idx="93">
                  <c:v>586.89698774931958</c:v>
                </c:pt>
                <c:pt idx="94">
                  <c:v>600.97912765864737</c:v>
                </c:pt>
                <c:pt idx="95">
                  <c:v>615.05441155009771</c:v>
                </c:pt>
                <c:pt idx="96">
                  <c:v>629.12301834883465</c:v>
                </c:pt>
                <c:pt idx="97">
                  <c:v>643.1851183293677</c:v>
                </c:pt>
                <c:pt idx="98">
                  <c:v>657.24087371770463</c:v>
                </c:pt>
                <c:pt idx="99">
                  <c:v>671.29043923934501</c:v>
                </c:pt>
                <c:pt idx="100">
                  <c:v>596.0334020589454</c:v>
                </c:pt>
                <c:pt idx="101">
                  <c:v>609.77714884530826</c:v>
                </c:pt>
                <c:pt idx="102">
                  <c:v>623.51446870155098</c:v>
                </c:pt>
                <c:pt idx="103">
                  <c:v>637.24552310889192</c:v>
                </c:pt>
                <c:pt idx="104">
                  <c:v>650.97046602564512</c:v>
                </c:pt>
                <c:pt idx="105">
                  <c:v>664.68944439220661</c:v>
                </c:pt>
                <c:pt idx="106">
                  <c:v>678.40259859220782</c:v>
                </c:pt>
                <c:pt idx="107">
                  <c:v>692.1100628744656</c:v>
                </c:pt>
                <c:pt idx="108">
                  <c:v>705.81196573978696</c:v>
                </c:pt>
                <c:pt idx="109">
                  <c:v>719.50843029620091</c:v>
                </c:pt>
                <c:pt idx="110">
                  <c:v>638.24778602893809</c:v>
                </c:pt>
                <c:pt idx="111">
                  <c:v>651.53708607097724</c:v>
                </c:pt>
                <c:pt idx="112">
                  <c:v>664.82079949919864</c:v>
                </c:pt>
                <c:pt idx="113">
                  <c:v>678.0990536096873</c:v>
                </c:pt>
                <c:pt idx="114">
                  <c:v>691.37197030948164</c:v>
                </c:pt>
                <c:pt idx="115">
                  <c:v>704.63966644594893</c:v>
                </c:pt>
                <c:pt idx="116">
                  <c:v>717.9022541100768</c:v>
                </c:pt>
                <c:pt idx="117">
                  <c:v>731.15984091620464</c:v>
                </c:pt>
                <c:pt idx="118">
                  <c:v>744.41253026042432</c:v>
                </c:pt>
                <c:pt idx="119">
                  <c:v>757.66042155963851</c:v>
                </c:pt>
                <c:pt idx="120">
                  <c:v>479.18153315747281</c:v>
                </c:pt>
                <c:pt idx="121">
                  <c:v>478.65178543699955</c:v>
                </c:pt>
                <c:pt idx="122">
                  <c:v>478.12202524838284</c:v>
                </c:pt>
                <c:pt idx="123">
                  <c:v>477.59225257583557</c:v>
                </c:pt>
                <c:pt idx="124">
                  <c:v>334.2811129207783</c:v>
                </c:pt>
                <c:pt idx="125">
                  <c:v>334.56417819369989</c:v>
                </c:pt>
                <c:pt idx="126">
                  <c:v>334.84723818844589</c:v>
                </c:pt>
                <c:pt idx="127">
                  <c:v>335.1302929101185</c:v>
                </c:pt>
                <c:pt idx="128">
                  <c:v>241.76470011932011</c:v>
                </c:pt>
                <c:pt idx="129">
                  <c:v>241.90545949663775</c:v>
                </c:pt>
                <c:pt idx="130">
                  <c:v>242.0462170098308</c:v>
                </c:pt>
                <c:pt idx="131">
                  <c:v>242.18697266013999</c:v>
                </c:pt>
                <c:pt idx="132">
                  <c:v>31.036853027483627</c:v>
                </c:pt>
                <c:pt idx="133">
                  <c:v>31.036853027483627</c:v>
                </c:pt>
                <c:pt idx="134">
                  <c:v>31.036853027483627</c:v>
                </c:pt>
                <c:pt idx="135">
                  <c:v>31.036853027483627</c:v>
                </c:pt>
                <c:pt idx="136">
                  <c:v>31.036853027483627</c:v>
                </c:pt>
                <c:pt idx="137">
                  <c:v>31.036853027483627</c:v>
                </c:pt>
                <c:pt idx="138">
                  <c:v>31.036853027483627</c:v>
                </c:pt>
                <c:pt idx="139">
                  <c:v>31.036853027483627</c:v>
                </c:pt>
                <c:pt idx="140">
                  <c:v>31.036853027483627</c:v>
                </c:pt>
                <c:pt idx="141">
                  <c:v>31.036853027483627</c:v>
                </c:pt>
                <c:pt idx="142">
                  <c:v>31.036853027483627</c:v>
                </c:pt>
                <c:pt idx="143">
                  <c:v>31.036853027483627</c:v>
                </c:pt>
                <c:pt idx="144">
                  <c:v>31.036853027483627</c:v>
                </c:pt>
                <c:pt idx="145">
                  <c:v>31.036853027483627</c:v>
                </c:pt>
                <c:pt idx="146">
                  <c:v>31.036853027483627</c:v>
                </c:pt>
                <c:pt idx="147">
                  <c:v>31.036853027483627</c:v>
                </c:pt>
                <c:pt idx="148">
                  <c:v>31.036853027483627</c:v>
                </c:pt>
                <c:pt idx="149">
                  <c:v>31.036853027483627</c:v>
                </c:pt>
                <c:pt idx="150">
                  <c:v>31.036853027483627</c:v>
                </c:pt>
                <c:pt idx="151">
                  <c:v>31.036853027483627</c:v>
                </c:pt>
                <c:pt idx="152">
                  <c:v>31.036853027483627</c:v>
                </c:pt>
                <c:pt idx="153">
                  <c:v>31.036853027483627</c:v>
                </c:pt>
                <c:pt idx="154">
                  <c:v>31.036853027483627</c:v>
                </c:pt>
                <c:pt idx="155">
                  <c:v>31.036853027483627</c:v>
                </c:pt>
                <c:pt idx="156">
                  <c:v>31.036853027483627</c:v>
                </c:pt>
                <c:pt idx="157">
                  <c:v>31.036853027483627</c:v>
                </c:pt>
                <c:pt idx="158">
                  <c:v>31.036853027483627</c:v>
                </c:pt>
                <c:pt idx="159">
                  <c:v>31.036853027483627</c:v>
                </c:pt>
                <c:pt idx="160">
                  <c:v>31.036853027483627</c:v>
                </c:pt>
                <c:pt idx="161">
                  <c:v>31.036853027483627</c:v>
                </c:pt>
                <c:pt idx="162">
                  <c:v>31.036853027483627</c:v>
                </c:pt>
                <c:pt idx="163">
                  <c:v>31.036853027483627</c:v>
                </c:pt>
                <c:pt idx="164">
                  <c:v>31.036853027483627</c:v>
                </c:pt>
                <c:pt idx="165">
                  <c:v>31.036853027483627</c:v>
                </c:pt>
                <c:pt idx="166">
                  <c:v>31.036853027483627</c:v>
                </c:pt>
                <c:pt idx="167">
                  <c:v>31.036853027483627</c:v>
                </c:pt>
                <c:pt idx="168">
                  <c:v>31.036853027483627</c:v>
                </c:pt>
                <c:pt idx="169">
                  <c:v>31.036853027483627</c:v>
                </c:pt>
                <c:pt idx="170">
                  <c:v>31.036853027483627</c:v>
                </c:pt>
                <c:pt idx="171">
                  <c:v>31.036853027483627</c:v>
                </c:pt>
                <c:pt idx="172">
                  <c:v>31.036853027483627</c:v>
                </c:pt>
                <c:pt idx="173">
                  <c:v>31.036853027483627</c:v>
                </c:pt>
                <c:pt idx="174">
                  <c:v>31.036853027483627</c:v>
                </c:pt>
                <c:pt idx="175">
                  <c:v>31.036853027483627</c:v>
                </c:pt>
                <c:pt idx="176">
                  <c:v>31.036853027483627</c:v>
                </c:pt>
                <c:pt idx="177">
                  <c:v>31.036853027483627</c:v>
                </c:pt>
                <c:pt idx="178">
                  <c:v>31.036853027483627</c:v>
                </c:pt>
                <c:pt idx="179">
                  <c:v>31.036853027483627</c:v>
                </c:pt>
                <c:pt idx="180">
                  <c:v>31.036853027483627</c:v>
                </c:pt>
                <c:pt idx="181">
                  <c:v>31.036853027483627</c:v>
                </c:pt>
                <c:pt idx="182">
                  <c:v>31.036853027483627</c:v>
                </c:pt>
                <c:pt idx="183">
                  <c:v>31.036853027483627</c:v>
                </c:pt>
                <c:pt idx="184">
                  <c:v>31.036853027483627</c:v>
                </c:pt>
                <c:pt idx="185">
                  <c:v>31.036853027483627</c:v>
                </c:pt>
                <c:pt idx="186">
                  <c:v>31.036853027483627</c:v>
                </c:pt>
                <c:pt idx="187">
                  <c:v>31.036853027483627</c:v>
                </c:pt>
                <c:pt idx="188">
                  <c:v>31.036853027483627</c:v>
                </c:pt>
                <c:pt idx="189">
                  <c:v>31.036853027483627</c:v>
                </c:pt>
                <c:pt idx="190">
                  <c:v>31.036853027483627</c:v>
                </c:pt>
                <c:pt idx="191">
                  <c:v>31.036853027483627</c:v>
                </c:pt>
                <c:pt idx="192">
                  <c:v>31.036853027483627</c:v>
                </c:pt>
                <c:pt idx="193">
                  <c:v>31.036853027483627</c:v>
                </c:pt>
                <c:pt idx="194">
                  <c:v>31.036853027483627</c:v>
                </c:pt>
                <c:pt idx="195">
                  <c:v>31.036853027483627</c:v>
                </c:pt>
                <c:pt idx="196">
                  <c:v>31.036853027483627</c:v>
                </c:pt>
                <c:pt idx="197">
                  <c:v>31.036853027483627</c:v>
                </c:pt>
                <c:pt idx="198">
                  <c:v>31.036853027483627</c:v>
                </c:pt>
                <c:pt idx="199">
                  <c:v>31.036853027483627</c:v>
                </c:pt>
                <c:pt idx="200">
                  <c:v>31.036853027483627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1.4377206581747635</c:v>
                </c:pt>
                <c:pt idx="2">
                  <c:v>1.6869107492739737</c:v>
                </c:pt>
                <c:pt idx="3">
                  <c:v>1.9794540498472124</c:v>
                </c:pt>
                <c:pt idx="4">
                  <c:v>2.32291986509308</c:v>
                </c:pt>
                <c:pt idx="5">
                  <c:v>2.726203488604082</c:v>
                </c:pt>
                <c:pt idx="6">
                  <c:v>3.199759212006402</c:v>
                </c:pt>
                <c:pt idx="7">
                  <c:v>3.7558743983793579</c:v>
                </c:pt>
                <c:pt idx="8">
                  <c:v>4.4089918754319024</c:v>
                </c:pt>
                <c:pt idx="9">
                  <c:v>5.1760891896651691</c:v>
                </c:pt>
                <c:pt idx="10">
                  <c:v>6.0771247761632603</c:v>
                </c:pt>
                <c:pt idx="11">
                  <c:v>7.1355628808147005</c:v>
                </c:pt>
                <c:pt idx="12">
                  <c:v>8.378991170491787</c:v>
                </c:pt>
                <c:pt idx="13">
                  <c:v>9.83984743834616</c:v>
                </c:pt>
                <c:pt idx="14">
                  <c:v>11.556274722302414</c:v>
                </c:pt>
                <c:pt idx="15">
                  <c:v>13.573127583273013</c:v>
                </c:pt>
                <c:pt idx="16">
                  <c:v>15.943156327756114</c:v>
                </c:pt>
                <c:pt idx="17">
                  <c:v>18.728400715938637</c:v>
                </c:pt>
                <c:pt idx="18">
                  <c:v>22.001830299220078</c:v>
                </c:pt>
                <c:pt idx="19">
                  <c:v>25.849275131059283</c:v>
                </c:pt>
                <c:pt idx="20">
                  <c:v>30.371698370020116</c:v>
                </c:pt>
                <c:pt idx="21">
                  <c:v>35.687871453399147</c:v>
                </c:pt>
                <c:pt idx="22">
                  <c:v>41.937523310830301</c:v>
                </c:pt>
                <c:pt idx="23">
                  <c:v>49.285047800875581</c:v>
                </c:pt>
                <c:pt idx="24">
                  <c:v>57.923868532938087</c:v>
                </c:pt>
                <c:pt idx="25">
                  <c:v>68.081577886310939</c:v>
                </c:pt>
                <c:pt idx="26">
                  <c:v>80.025987834536735</c:v>
                </c:pt>
                <c:pt idx="27">
                  <c:v>94.072254688474018</c:v>
                </c:pt>
                <c:pt idx="28">
                  <c:v>110.59126874802261</c:v>
                </c:pt>
                <c:pt idx="29">
                  <c:v>130.01953388132486</c:v>
                </c:pt>
                <c:pt idx="30">
                  <c:v>152.87080215212242</c:v>
                </c:pt>
                <c:pt idx="31">
                  <c:v>169.65915113688018</c:v>
                </c:pt>
                <c:pt idx="32">
                  <c:v>186.40835894763052</c:v>
                </c:pt>
                <c:pt idx="33">
                  <c:v>203.12243907508991</c:v>
                </c:pt>
                <c:pt idx="34">
                  <c:v>219.80468967561649</c:v>
                </c:pt>
                <c:pt idx="35">
                  <c:v>236.45786689034392</c:v>
                </c:pt>
                <c:pt idx="36">
                  <c:v>253.08430665513359</c:v>
                </c:pt>
                <c:pt idx="37">
                  <c:v>269.68601275966461</c:v>
                </c:pt>
                <c:pt idx="38">
                  <c:v>286.26472205280169</c:v>
                </c:pt>
                <c:pt idx="39">
                  <c:v>302.82195373285214</c:v>
                </c:pt>
                <c:pt idx="40">
                  <c:v>319.359047282863</c:v>
                </c:pt>
                <c:pt idx="41">
                  <c:v>335.87719213129731</c:v>
                </c:pt>
                <c:pt idx="42">
                  <c:v>352.37745116940761</c:v>
                </c:pt>
                <c:pt idx="43">
                  <c:v>263.88557086776916</c:v>
                </c:pt>
                <c:pt idx="44">
                  <c:v>281.04264718908837</c:v>
                </c:pt>
                <c:pt idx="45">
                  <c:v>298.17625094301241</c:v>
                </c:pt>
                <c:pt idx="46">
                  <c:v>315.28792051721973</c:v>
                </c:pt>
                <c:pt idx="47">
                  <c:v>332.37901367223782</c:v>
                </c:pt>
                <c:pt idx="48">
                  <c:v>349.45073714165352</c:v>
                </c:pt>
                <c:pt idx="49">
                  <c:v>366.50417014279401</c:v>
                </c:pt>
                <c:pt idx="50">
                  <c:v>383.5402832813997</c:v>
                </c:pt>
                <c:pt idx="51">
                  <c:v>293.4198752951807</c:v>
                </c:pt>
                <c:pt idx="52">
                  <c:v>309.82259987136587</c:v>
                </c:pt>
                <c:pt idx="53">
                  <c:v>326.20605072251124</c:v>
                </c:pt>
                <c:pt idx="54">
                  <c:v>342.5713319791501</c:v>
                </c:pt>
                <c:pt idx="55">
                  <c:v>358.91943367247535</c:v>
                </c:pt>
                <c:pt idx="56">
                  <c:v>375.25124829375051</c:v>
                </c:pt>
                <c:pt idx="57">
                  <c:v>391.56758431956655</c:v>
                </c:pt>
                <c:pt idx="58">
                  <c:v>407.86917736468848</c:v>
                </c:pt>
                <c:pt idx="59">
                  <c:v>336.62747071784582</c:v>
                </c:pt>
                <c:pt idx="60">
                  <c:v>352.54474716882811</c:v>
                </c:pt>
                <c:pt idx="61">
                  <c:v>368.44627640452944</c:v>
                </c:pt>
                <c:pt idx="62">
                  <c:v>384.33283360873367</c:v>
                </c:pt>
                <c:pt idx="63">
                  <c:v>400.20512466008404</c:v>
                </c:pt>
                <c:pt idx="64">
                  <c:v>416.06379488845647</c:v>
                </c:pt>
                <c:pt idx="65">
                  <c:v>431.90943642660909</c:v>
                </c:pt>
                <c:pt idx="66">
                  <c:v>447.74259442675412</c:v>
                </c:pt>
                <c:pt idx="67">
                  <c:v>375.55407197802145</c:v>
                </c:pt>
                <c:pt idx="68">
                  <c:v>390.71902319988516</c:v>
                </c:pt>
                <c:pt idx="69">
                  <c:v>405.87120811496544</c:v>
                </c:pt>
                <c:pt idx="70">
                  <c:v>421.01117034902131</c:v>
                </c:pt>
                <c:pt idx="71">
                  <c:v>436.13941124658749</c:v>
                </c:pt>
                <c:pt idx="72">
                  <c:v>451.25639454253911</c:v>
                </c:pt>
                <c:pt idx="73">
                  <c:v>466.36255037510381</c:v>
                </c:pt>
                <c:pt idx="74">
                  <c:v>481.45827875190781</c:v>
                </c:pt>
                <c:pt idx="75">
                  <c:v>496.54395255876375</c:v>
                </c:pt>
                <c:pt idx="76">
                  <c:v>423.40314483123649</c:v>
                </c:pt>
                <c:pt idx="77">
                  <c:v>437.66237826853438</c:v>
                </c:pt>
                <c:pt idx="78">
                  <c:v>451.91164839468348</c:v>
                </c:pt>
                <c:pt idx="79">
                  <c:v>466.15131355533964</c:v>
                </c:pt>
                <c:pt idx="80">
                  <c:v>480.38170842202425</c:v>
                </c:pt>
                <c:pt idx="81">
                  <c:v>494.6031462257688</c:v>
                </c:pt>
                <c:pt idx="82">
                  <c:v>508.81592072053917</c:v>
                </c:pt>
                <c:pt idx="83">
                  <c:v>523.02030791590926</c:v>
                </c:pt>
                <c:pt idx="84">
                  <c:v>446.63343927814032</c:v>
                </c:pt>
                <c:pt idx="85">
                  <c:v>459.77932579042158</c:v>
                </c:pt>
                <c:pt idx="86">
                  <c:v>472.91719077481588</c:v>
                </c:pt>
                <c:pt idx="87">
                  <c:v>486.04728844130017</c:v>
                </c:pt>
                <c:pt idx="88">
                  <c:v>499.16985814728554</c:v>
                </c:pt>
                <c:pt idx="89">
                  <c:v>512.28512564123855</c:v>
                </c:pt>
                <c:pt idx="90">
                  <c:v>525.39330417234487</c:v>
                </c:pt>
                <c:pt idx="91">
                  <c:v>538.49459548369055</c:v>
                </c:pt>
                <c:pt idx="92">
                  <c:v>287.47041232900375</c:v>
                </c:pt>
                <c:pt idx="93">
                  <c:v>296.03076645817242</c:v>
                </c:pt>
                <c:pt idx="94">
                  <c:v>304.58560084390916</c:v>
                </c:pt>
                <c:pt idx="95">
                  <c:v>313.13509251387984</c:v>
                </c:pt>
                <c:pt idx="96">
                  <c:v>321.67940803184018</c:v>
                </c:pt>
                <c:pt idx="97">
                  <c:v>330.2187043837497</c:v>
                </c:pt>
                <c:pt idx="98">
                  <c:v>338.75312976737865</c:v>
                </c:pt>
                <c:pt idx="99">
                  <c:v>347.28282429814044</c:v>
                </c:pt>
                <c:pt idx="100">
                  <c:v>355.80792064191445</c:v>
                </c:pt>
                <c:pt idx="101">
                  <c:v>364.3285445840225</c:v>
                </c:pt>
                <c:pt idx="102">
                  <c:v>6.0554227957464972</c:v>
                </c:pt>
                <c:pt idx="103">
                  <c:v>6.0554227957464972</c:v>
                </c:pt>
                <c:pt idx="104">
                  <c:v>6.0554227957464972</c:v>
                </c:pt>
                <c:pt idx="105">
                  <c:v>6.0554227957464972</c:v>
                </c:pt>
                <c:pt idx="106">
                  <c:v>6.0554227957464972</c:v>
                </c:pt>
                <c:pt idx="107">
                  <c:v>6.0554227957464972</c:v>
                </c:pt>
                <c:pt idx="108">
                  <c:v>6.0554227957464972</c:v>
                </c:pt>
                <c:pt idx="109">
                  <c:v>6.0554227957464972</c:v>
                </c:pt>
                <c:pt idx="110">
                  <c:v>6.0554227957464972</c:v>
                </c:pt>
                <c:pt idx="111">
                  <c:v>6.0554227957464972</c:v>
                </c:pt>
                <c:pt idx="112">
                  <c:v>6.0554227957464972</c:v>
                </c:pt>
                <c:pt idx="113">
                  <c:v>6.0554227957464972</c:v>
                </c:pt>
                <c:pt idx="114">
                  <c:v>6.0554227957464972</c:v>
                </c:pt>
                <c:pt idx="115">
                  <c:v>6.0554227957464972</c:v>
                </c:pt>
                <c:pt idx="116">
                  <c:v>6.0554227957464972</c:v>
                </c:pt>
                <c:pt idx="117">
                  <c:v>6.0554227957464972</c:v>
                </c:pt>
                <c:pt idx="118">
                  <c:v>6.0554227957464972</c:v>
                </c:pt>
                <c:pt idx="119">
                  <c:v>6.0554227957464972</c:v>
                </c:pt>
                <c:pt idx="120">
                  <c:v>6.0554227957464972</c:v>
                </c:pt>
                <c:pt idx="121">
                  <c:v>6.0554227957464972</c:v>
                </c:pt>
                <c:pt idx="122">
                  <c:v>6.0554227957464972</c:v>
                </c:pt>
                <c:pt idx="123">
                  <c:v>6.0554227957464972</c:v>
                </c:pt>
                <c:pt idx="124">
                  <c:v>6.0554227957464972</c:v>
                </c:pt>
                <c:pt idx="125">
                  <c:v>6.0554227957464972</c:v>
                </c:pt>
                <c:pt idx="126">
                  <c:v>6.0554227957464972</c:v>
                </c:pt>
                <c:pt idx="127">
                  <c:v>6.0554227957464972</c:v>
                </c:pt>
                <c:pt idx="128">
                  <c:v>6.0554227957464972</c:v>
                </c:pt>
                <c:pt idx="129">
                  <c:v>6.0554227957464972</c:v>
                </c:pt>
                <c:pt idx="130">
                  <c:v>6.0554227957464972</c:v>
                </c:pt>
                <c:pt idx="131">
                  <c:v>6.0554227957464972</c:v>
                </c:pt>
                <c:pt idx="132">
                  <c:v>6.0554227957464972</c:v>
                </c:pt>
                <c:pt idx="133">
                  <c:v>6.0554227957464972</c:v>
                </c:pt>
                <c:pt idx="134">
                  <c:v>6.0554227957464972</c:v>
                </c:pt>
                <c:pt idx="135">
                  <c:v>6.0554227957464972</c:v>
                </c:pt>
                <c:pt idx="136">
                  <c:v>6.0554227957464972</c:v>
                </c:pt>
                <c:pt idx="137">
                  <c:v>6.0554227957464972</c:v>
                </c:pt>
                <c:pt idx="138">
                  <c:v>6.0554227957464972</c:v>
                </c:pt>
                <c:pt idx="139">
                  <c:v>6.0554227957464972</c:v>
                </c:pt>
                <c:pt idx="140">
                  <c:v>6.0554227957464972</c:v>
                </c:pt>
                <c:pt idx="141">
                  <c:v>6.0554227957464972</c:v>
                </c:pt>
                <c:pt idx="142">
                  <c:v>6.0554227957464972</c:v>
                </c:pt>
                <c:pt idx="143">
                  <c:v>6.0554227957464972</c:v>
                </c:pt>
                <c:pt idx="144">
                  <c:v>6.0554227957464972</c:v>
                </c:pt>
                <c:pt idx="145">
                  <c:v>6.0554227957464972</c:v>
                </c:pt>
                <c:pt idx="146">
                  <c:v>6.0554227957464972</c:v>
                </c:pt>
                <c:pt idx="147">
                  <c:v>6.0554227957464972</c:v>
                </c:pt>
                <c:pt idx="148">
                  <c:v>6.0554227957464972</c:v>
                </c:pt>
                <c:pt idx="149">
                  <c:v>6.0554227957464972</c:v>
                </c:pt>
                <c:pt idx="150">
                  <c:v>6.0554227957464972</c:v>
                </c:pt>
                <c:pt idx="151">
                  <c:v>6.0554227957464972</c:v>
                </c:pt>
                <c:pt idx="152">
                  <c:v>6.0554227957464972</c:v>
                </c:pt>
                <c:pt idx="153">
                  <c:v>6.0554227957464972</c:v>
                </c:pt>
                <c:pt idx="154">
                  <c:v>6.0554227957464972</c:v>
                </c:pt>
                <c:pt idx="155">
                  <c:v>6.0554227957464972</c:v>
                </c:pt>
                <c:pt idx="156">
                  <c:v>6.0554227957464972</c:v>
                </c:pt>
                <c:pt idx="157">
                  <c:v>6.0554227957464972</c:v>
                </c:pt>
                <c:pt idx="158">
                  <c:v>6.0554227957464972</c:v>
                </c:pt>
                <c:pt idx="159">
                  <c:v>6.0554227957464972</c:v>
                </c:pt>
                <c:pt idx="160">
                  <c:v>6.0554227957464972</c:v>
                </c:pt>
                <c:pt idx="161">
                  <c:v>6.0554227957464972</c:v>
                </c:pt>
                <c:pt idx="162">
                  <c:v>6.0554227957464972</c:v>
                </c:pt>
                <c:pt idx="163">
                  <c:v>6.0554227957464972</c:v>
                </c:pt>
                <c:pt idx="164">
                  <c:v>6.0554227957464972</c:v>
                </c:pt>
                <c:pt idx="165">
                  <c:v>6.0554227957464972</c:v>
                </c:pt>
                <c:pt idx="166">
                  <c:v>6.0554227957464972</c:v>
                </c:pt>
                <c:pt idx="167">
                  <c:v>6.0554227957464972</c:v>
                </c:pt>
                <c:pt idx="168">
                  <c:v>6.0554227957464972</c:v>
                </c:pt>
                <c:pt idx="169">
                  <c:v>6.0554227957464972</c:v>
                </c:pt>
                <c:pt idx="170">
                  <c:v>6.0554227957464972</c:v>
                </c:pt>
                <c:pt idx="171">
                  <c:v>6.0554227957464972</c:v>
                </c:pt>
                <c:pt idx="172">
                  <c:v>6.0554227957464972</c:v>
                </c:pt>
                <c:pt idx="173">
                  <c:v>6.0554227957464972</c:v>
                </c:pt>
                <c:pt idx="174">
                  <c:v>6.0554227957464972</c:v>
                </c:pt>
                <c:pt idx="175">
                  <c:v>6.0554227957464972</c:v>
                </c:pt>
                <c:pt idx="176">
                  <c:v>6.0554227957464972</c:v>
                </c:pt>
                <c:pt idx="177">
                  <c:v>6.0554227957464972</c:v>
                </c:pt>
                <c:pt idx="178">
                  <c:v>6.0554227957464972</c:v>
                </c:pt>
                <c:pt idx="179">
                  <c:v>6.0554227957464972</c:v>
                </c:pt>
                <c:pt idx="180">
                  <c:v>6.0554227957464972</c:v>
                </c:pt>
                <c:pt idx="181">
                  <c:v>6.0554227957464972</c:v>
                </c:pt>
                <c:pt idx="182">
                  <c:v>6.0554227957464972</c:v>
                </c:pt>
                <c:pt idx="183">
                  <c:v>6.0554227957464972</c:v>
                </c:pt>
                <c:pt idx="184">
                  <c:v>6.0554227957464972</c:v>
                </c:pt>
                <c:pt idx="185">
                  <c:v>6.0554227957464972</c:v>
                </c:pt>
                <c:pt idx="186">
                  <c:v>6.0554227957464972</c:v>
                </c:pt>
                <c:pt idx="187">
                  <c:v>6.0554227957464972</c:v>
                </c:pt>
                <c:pt idx="188">
                  <c:v>6.0554227957464972</c:v>
                </c:pt>
                <c:pt idx="189">
                  <c:v>6.0554227957464972</c:v>
                </c:pt>
                <c:pt idx="190">
                  <c:v>6.0554227957464972</c:v>
                </c:pt>
                <c:pt idx="191">
                  <c:v>6.0554227957464972</c:v>
                </c:pt>
                <c:pt idx="192">
                  <c:v>6.0554227957464972</c:v>
                </c:pt>
                <c:pt idx="193">
                  <c:v>6.0554227957464972</c:v>
                </c:pt>
                <c:pt idx="194">
                  <c:v>6.0554227957464972</c:v>
                </c:pt>
                <c:pt idx="195">
                  <c:v>6.0554227957464972</c:v>
                </c:pt>
                <c:pt idx="196">
                  <c:v>6.0554227957464972</c:v>
                </c:pt>
                <c:pt idx="197">
                  <c:v>6.0554227957464972</c:v>
                </c:pt>
                <c:pt idx="198">
                  <c:v>6.0554227957464972</c:v>
                </c:pt>
                <c:pt idx="199">
                  <c:v>6.0554227957464972</c:v>
                </c:pt>
                <c:pt idx="200">
                  <c:v>6.0554227957464972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2.1185138067917109</c:v>
                </c:pt>
                <c:pt idx="2">
                  <c:v>2.894402199061441</c:v>
                </c:pt>
                <c:pt idx="3">
                  <c:v>3.9556609928452722</c:v>
                </c:pt>
                <c:pt idx="4">
                  <c:v>5.4076671097938496</c:v>
                </c:pt>
                <c:pt idx="5">
                  <c:v>7.3948535408528118</c:v>
                </c:pt>
                <c:pt idx="6">
                  <c:v>10.115234305738676</c:v>
                </c:pt>
                <c:pt idx="7">
                  <c:v>13.840348195034421</c:v>
                </c:pt>
                <c:pt idx="8">
                  <c:v>18.94264864317968</c:v>
                </c:pt>
                <c:pt idx="9">
                  <c:v>25.93312754435949</c:v>
                </c:pt>
                <c:pt idx="10">
                  <c:v>35.513007205017594</c:v>
                </c:pt>
                <c:pt idx="11">
                  <c:v>48.644774650638844</c:v>
                </c:pt>
                <c:pt idx="12">
                  <c:v>66.649814557549007</c:v>
                </c:pt>
                <c:pt idx="13">
                  <c:v>91.342625587150238</c:v>
                </c:pt>
                <c:pt idx="14">
                  <c:v>125.21536151834833</c:v>
                </c:pt>
                <c:pt idx="15">
                  <c:v>171.69161142115624</c:v>
                </c:pt>
                <c:pt idx="16">
                  <c:v>175.06369642864436</c:v>
                </c:pt>
                <c:pt idx="17">
                  <c:v>205.60586751976879</c:v>
                </c:pt>
                <c:pt idx="18">
                  <c:v>236.04300605613707</c:v>
                </c:pt>
                <c:pt idx="19">
                  <c:v>266.39056723885022</c:v>
                </c:pt>
                <c:pt idx="20">
                  <c:v>296.66018896478846</c:v>
                </c:pt>
                <c:pt idx="21">
                  <c:v>238.8755995449776</c:v>
                </c:pt>
                <c:pt idx="22">
                  <c:v>271.01275486164383</c:v>
                </c:pt>
                <c:pt idx="23">
                  <c:v>303.06413469570208</c:v>
                </c:pt>
                <c:pt idx="24">
                  <c:v>335.04008037896614</c:v>
                </c:pt>
                <c:pt idx="25">
                  <c:v>366.94879686196288</c:v>
                </c:pt>
                <c:pt idx="26">
                  <c:v>311.51274483481569</c:v>
                </c:pt>
                <c:pt idx="27">
                  <c:v>345.513196505407</c:v>
                </c:pt>
                <c:pt idx="28">
                  <c:v>379.44016191597643</c:v>
                </c:pt>
                <c:pt idx="29">
                  <c:v>413.30112748447715</c:v>
                </c:pt>
                <c:pt idx="30">
                  <c:v>447.10225323882645</c:v>
                </c:pt>
                <c:pt idx="31">
                  <c:v>392.17723375565879</c:v>
                </c:pt>
                <c:pt idx="32">
                  <c:v>426.2692346413703</c:v>
                </c:pt>
                <c:pt idx="33">
                  <c:v>460.30260387098588</c:v>
                </c:pt>
                <c:pt idx="34">
                  <c:v>494.28227935737863</c:v>
                </c:pt>
                <c:pt idx="35">
                  <c:v>528.21246537398599</c:v>
                </c:pt>
                <c:pt idx="36">
                  <c:v>472.22673256387026</c:v>
                </c:pt>
                <c:pt idx="37">
                  <c:v>504.92225767518511</c:v>
                </c:pt>
                <c:pt idx="38">
                  <c:v>537.57302517405549</c:v>
                </c:pt>
                <c:pt idx="39">
                  <c:v>570.18213138839008</c:v>
                </c:pt>
                <c:pt idx="40">
                  <c:v>602.75229006275174</c:v>
                </c:pt>
                <c:pt idx="41">
                  <c:v>544.90728253687382</c:v>
                </c:pt>
                <c:pt idx="42">
                  <c:v>575.48683746818995</c:v>
                </c:pt>
                <c:pt idx="43">
                  <c:v>606.03248943815163</c:v>
                </c:pt>
                <c:pt idx="44">
                  <c:v>636.54618486892696</c:v>
                </c:pt>
                <c:pt idx="45">
                  <c:v>667.02966862520361</c:v>
                </c:pt>
                <c:pt idx="46">
                  <c:v>613.85301973416745</c:v>
                </c:pt>
                <c:pt idx="47">
                  <c:v>641.33480510237007</c:v>
                </c:pt>
                <c:pt idx="48">
                  <c:v>668.792285285802</c:v>
                </c:pt>
                <c:pt idx="49">
                  <c:v>696.22659705561784</c:v>
                </c:pt>
                <c:pt idx="50">
                  <c:v>723.63878041944702</c:v>
                </c:pt>
                <c:pt idx="51">
                  <c:v>678.61083748340923</c:v>
                </c:pt>
                <c:pt idx="52">
                  <c:v>704.02493126473883</c:v>
                </c:pt>
                <c:pt idx="53">
                  <c:v>729.42026669230836</c:v>
                </c:pt>
                <c:pt idx="54">
                  <c:v>754.7975878309262</c:v>
                </c:pt>
                <c:pt idx="55">
                  <c:v>780.15758470453693</c:v>
                </c:pt>
                <c:pt idx="56">
                  <c:v>743.24178865133274</c:v>
                </c:pt>
                <c:pt idx="57">
                  <c:v>766.60088957174946</c:v>
                </c:pt>
                <c:pt idx="58">
                  <c:v>789.94556044741057</c:v>
                </c:pt>
                <c:pt idx="59">
                  <c:v>813.27628716107131</c:v>
                </c:pt>
                <c:pt idx="60">
                  <c:v>836.59352548438801</c:v>
                </c:pt>
                <c:pt idx="61">
                  <c:v>804.99920908631259</c:v>
                </c:pt>
                <c:pt idx="62">
                  <c:v>826.064802065957</c:v>
                </c:pt>
                <c:pt idx="63">
                  <c:v>847.11958558738479</c:v>
                </c:pt>
                <c:pt idx="64">
                  <c:v>868.16386579158745</c:v>
                </c:pt>
                <c:pt idx="65">
                  <c:v>889.19793278788904</c:v>
                </c:pt>
                <c:pt idx="66">
                  <c:v>861.65126462088608</c:v>
                </c:pt>
                <c:pt idx="67">
                  <c:v>880.43496141445894</c:v>
                </c:pt>
                <c:pt idx="68">
                  <c:v>899.21064588597585</c:v>
                </c:pt>
                <c:pt idx="69">
                  <c:v>917.97850868750186</c:v>
                </c:pt>
                <c:pt idx="70">
                  <c:v>936.73873204991912</c:v>
                </c:pt>
                <c:pt idx="71">
                  <c:v>911.22296748512326</c:v>
                </c:pt>
                <c:pt idx="72">
                  <c:v>928.23503275558551</c:v>
                </c:pt>
                <c:pt idx="73">
                  <c:v>945.2408972852412</c:v>
                </c:pt>
                <c:pt idx="74">
                  <c:v>962.24068821132141</c:v>
                </c:pt>
                <c:pt idx="75">
                  <c:v>979.23452781819208</c:v>
                </c:pt>
                <c:pt idx="76">
                  <c:v>953.24154789386921</c:v>
                </c:pt>
                <c:pt idx="77">
                  <c:v>968.48910881658685</c:v>
                </c:pt>
                <c:pt idx="78">
                  <c:v>983.73191592447984</c:v>
                </c:pt>
                <c:pt idx="79">
                  <c:v>998.97005316922184</c:v>
                </c:pt>
                <c:pt idx="80">
                  <c:v>1014.2036017355778</c:v>
                </c:pt>
                <c:pt idx="81">
                  <c:v>974.23695045015677</c:v>
                </c:pt>
                <c:pt idx="82">
                  <c:v>974.23695045015677</c:v>
                </c:pt>
                <c:pt idx="83">
                  <c:v>974.23695045015677</c:v>
                </c:pt>
                <c:pt idx="84">
                  <c:v>974.23695045015677</c:v>
                </c:pt>
                <c:pt idx="85">
                  <c:v>974.23695045015677</c:v>
                </c:pt>
                <c:pt idx="86">
                  <c:v>974.23695045015677</c:v>
                </c:pt>
                <c:pt idx="87">
                  <c:v>974.23695045015677</c:v>
                </c:pt>
                <c:pt idx="88">
                  <c:v>974.23695045015677</c:v>
                </c:pt>
                <c:pt idx="89">
                  <c:v>974.23695045015677</c:v>
                </c:pt>
                <c:pt idx="90">
                  <c:v>974.23695045015677</c:v>
                </c:pt>
                <c:pt idx="91">
                  <c:v>974.23695045015677</c:v>
                </c:pt>
                <c:pt idx="92">
                  <c:v>974.23695045015677</c:v>
                </c:pt>
                <c:pt idx="93">
                  <c:v>974.23695045015677</c:v>
                </c:pt>
                <c:pt idx="94">
                  <c:v>974.23695045015677</c:v>
                </c:pt>
                <c:pt idx="95">
                  <c:v>974.23695045015677</c:v>
                </c:pt>
                <c:pt idx="96">
                  <c:v>974.23695045015677</c:v>
                </c:pt>
                <c:pt idx="97">
                  <c:v>974.23695045015677</c:v>
                </c:pt>
                <c:pt idx="98">
                  <c:v>974.23695045015677</c:v>
                </c:pt>
                <c:pt idx="99">
                  <c:v>974.23695045015677</c:v>
                </c:pt>
                <c:pt idx="100">
                  <c:v>974.23695045015677</c:v>
                </c:pt>
                <c:pt idx="101">
                  <c:v>974.23695045015677</c:v>
                </c:pt>
                <c:pt idx="102">
                  <c:v>974.23695045015677</c:v>
                </c:pt>
                <c:pt idx="103">
                  <c:v>974.23695045015677</c:v>
                </c:pt>
                <c:pt idx="104">
                  <c:v>974.23695045015677</c:v>
                </c:pt>
                <c:pt idx="105">
                  <c:v>974.23695045015677</c:v>
                </c:pt>
                <c:pt idx="106">
                  <c:v>974.23695045015677</c:v>
                </c:pt>
                <c:pt idx="107">
                  <c:v>974.23695045015677</c:v>
                </c:pt>
                <c:pt idx="108">
                  <c:v>974.23695045015677</c:v>
                </c:pt>
                <c:pt idx="109">
                  <c:v>974.23695045015677</c:v>
                </c:pt>
                <c:pt idx="110">
                  <c:v>974.23695045015677</c:v>
                </c:pt>
                <c:pt idx="111">
                  <c:v>974.23695045015677</c:v>
                </c:pt>
                <c:pt idx="112">
                  <c:v>974.23695045015677</c:v>
                </c:pt>
                <c:pt idx="113">
                  <c:v>974.23695045015677</c:v>
                </c:pt>
                <c:pt idx="114">
                  <c:v>974.23695045015677</c:v>
                </c:pt>
                <c:pt idx="115">
                  <c:v>974.23695045015677</c:v>
                </c:pt>
                <c:pt idx="116">
                  <c:v>974.23695045015677</c:v>
                </c:pt>
                <c:pt idx="117">
                  <c:v>974.23695045015677</c:v>
                </c:pt>
                <c:pt idx="118">
                  <c:v>974.23695045015677</c:v>
                </c:pt>
                <c:pt idx="119">
                  <c:v>974.23695045015677</c:v>
                </c:pt>
                <c:pt idx="120">
                  <c:v>974.23695045015677</c:v>
                </c:pt>
                <c:pt idx="121">
                  <c:v>974.23695045015677</c:v>
                </c:pt>
                <c:pt idx="122">
                  <c:v>974.23695045015677</c:v>
                </c:pt>
                <c:pt idx="123">
                  <c:v>974.23695045015677</c:v>
                </c:pt>
                <c:pt idx="124">
                  <c:v>974.23695045015677</c:v>
                </c:pt>
                <c:pt idx="125">
                  <c:v>974.23695045015677</c:v>
                </c:pt>
                <c:pt idx="126">
                  <c:v>974.23695045015677</c:v>
                </c:pt>
                <c:pt idx="127">
                  <c:v>974.23695045015677</c:v>
                </c:pt>
                <c:pt idx="128">
                  <c:v>974.23695045015677</c:v>
                </c:pt>
                <c:pt idx="129">
                  <c:v>974.23695045015677</c:v>
                </c:pt>
                <c:pt idx="130">
                  <c:v>974.23695045015677</c:v>
                </c:pt>
                <c:pt idx="131">
                  <c:v>974.23695045015677</c:v>
                </c:pt>
                <c:pt idx="132">
                  <c:v>974.23695045015677</c:v>
                </c:pt>
                <c:pt idx="133">
                  <c:v>974.23695045015677</c:v>
                </c:pt>
                <c:pt idx="134">
                  <c:v>974.23695045015677</c:v>
                </c:pt>
                <c:pt idx="135">
                  <c:v>974.23695045015677</c:v>
                </c:pt>
                <c:pt idx="136">
                  <c:v>974.23695045015677</c:v>
                </c:pt>
                <c:pt idx="137">
                  <c:v>974.23695045015677</c:v>
                </c:pt>
                <c:pt idx="138">
                  <c:v>974.23695045015677</c:v>
                </c:pt>
                <c:pt idx="139">
                  <c:v>974.23695045015677</c:v>
                </c:pt>
                <c:pt idx="140">
                  <c:v>974.23695045015677</c:v>
                </c:pt>
                <c:pt idx="141">
                  <c:v>974.23695045015677</c:v>
                </c:pt>
                <c:pt idx="142">
                  <c:v>974.23695045015677</c:v>
                </c:pt>
                <c:pt idx="143">
                  <c:v>974.23695045015677</c:v>
                </c:pt>
                <c:pt idx="144">
                  <c:v>974.23695045015677</c:v>
                </c:pt>
                <c:pt idx="145">
                  <c:v>974.23695045015677</c:v>
                </c:pt>
                <c:pt idx="146">
                  <c:v>974.23695045015677</c:v>
                </c:pt>
                <c:pt idx="147">
                  <c:v>974.23695045015677</c:v>
                </c:pt>
                <c:pt idx="148">
                  <c:v>974.23695045015677</c:v>
                </c:pt>
                <c:pt idx="149">
                  <c:v>974.23695045015677</c:v>
                </c:pt>
                <c:pt idx="150">
                  <c:v>974.23695045015677</c:v>
                </c:pt>
                <c:pt idx="151">
                  <c:v>974.23695045015677</c:v>
                </c:pt>
                <c:pt idx="152">
                  <c:v>974.23695045015677</c:v>
                </c:pt>
                <c:pt idx="153">
                  <c:v>974.23695045015677</c:v>
                </c:pt>
                <c:pt idx="154">
                  <c:v>974.23695045015677</c:v>
                </c:pt>
                <c:pt idx="155">
                  <c:v>974.23695045015677</c:v>
                </c:pt>
                <c:pt idx="156">
                  <c:v>974.23695045015677</c:v>
                </c:pt>
                <c:pt idx="157">
                  <c:v>974.23695045015677</c:v>
                </c:pt>
                <c:pt idx="158">
                  <c:v>974.23695045015677</c:v>
                </c:pt>
                <c:pt idx="159">
                  <c:v>974.23695045015677</c:v>
                </c:pt>
                <c:pt idx="160">
                  <c:v>974.23695045015677</c:v>
                </c:pt>
                <c:pt idx="161">
                  <c:v>974.23695045015677</c:v>
                </c:pt>
                <c:pt idx="162">
                  <c:v>974.23695045015677</c:v>
                </c:pt>
                <c:pt idx="163">
                  <c:v>974.23695045015677</c:v>
                </c:pt>
                <c:pt idx="164">
                  <c:v>974.23695045015677</c:v>
                </c:pt>
                <c:pt idx="165">
                  <c:v>974.23695045015677</c:v>
                </c:pt>
                <c:pt idx="166">
                  <c:v>974.23695045015677</c:v>
                </c:pt>
                <c:pt idx="167">
                  <c:v>974.23695045015677</c:v>
                </c:pt>
                <c:pt idx="168">
                  <c:v>974.23695045015677</c:v>
                </c:pt>
                <c:pt idx="169">
                  <c:v>974.23695045015677</c:v>
                </c:pt>
                <c:pt idx="170">
                  <c:v>974.23695045015677</c:v>
                </c:pt>
                <c:pt idx="171">
                  <c:v>974.23695045015677</c:v>
                </c:pt>
                <c:pt idx="172">
                  <c:v>974.23695045015677</c:v>
                </c:pt>
                <c:pt idx="173">
                  <c:v>974.23695045015677</c:v>
                </c:pt>
                <c:pt idx="174">
                  <c:v>974.23695045015677</c:v>
                </c:pt>
                <c:pt idx="175">
                  <c:v>974.23695045015677</c:v>
                </c:pt>
                <c:pt idx="176">
                  <c:v>974.23695045015677</c:v>
                </c:pt>
                <c:pt idx="177">
                  <c:v>974.23695045015677</c:v>
                </c:pt>
                <c:pt idx="178">
                  <c:v>974.23695045015677</c:v>
                </c:pt>
                <c:pt idx="179">
                  <c:v>974.23695045015677</c:v>
                </c:pt>
                <c:pt idx="180">
                  <c:v>974.23695045015677</c:v>
                </c:pt>
                <c:pt idx="181">
                  <c:v>974.23695045015677</c:v>
                </c:pt>
                <c:pt idx="182">
                  <c:v>974.23695045015677</c:v>
                </c:pt>
                <c:pt idx="183">
                  <c:v>974.23695045015677</c:v>
                </c:pt>
                <c:pt idx="184">
                  <c:v>974.23695045015677</c:v>
                </c:pt>
                <c:pt idx="185">
                  <c:v>974.23695045015677</c:v>
                </c:pt>
                <c:pt idx="186">
                  <c:v>974.23695045015677</c:v>
                </c:pt>
                <c:pt idx="187">
                  <c:v>974.23695045015677</c:v>
                </c:pt>
                <c:pt idx="188">
                  <c:v>974.23695045015677</c:v>
                </c:pt>
                <c:pt idx="189">
                  <c:v>974.23695045015677</c:v>
                </c:pt>
                <c:pt idx="190">
                  <c:v>974.23695045015677</c:v>
                </c:pt>
                <c:pt idx="191">
                  <c:v>974.23695045015677</c:v>
                </c:pt>
                <c:pt idx="192">
                  <c:v>974.23695045015677</c:v>
                </c:pt>
                <c:pt idx="193">
                  <c:v>974.23695045015677</c:v>
                </c:pt>
                <c:pt idx="194">
                  <c:v>974.23695045015677</c:v>
                </c:pt>
                <c:pt idx="195">
                  <c:v>974.23695045015677</c:v>
                </c:pt>
                <c:pt idx="196">
                  <c:v>974.23695045015677</c:v>
                </c:pt>
                <c:pt idx="197">
                  <c:v>974.23695045015677</c:v>
                </c:pt>
                <c:pt idx="198">
                  <c:v>974.23695045015677</c:v>
                </c:pt>
                <c:pt idx="199">
                  <c:v>974.23695045015677</c:v>
                </c:pt>
                <c:pt idx="200">
                  <c:v>974.23695045015677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Normal="100" workbookViewId="0">
      <selection activeCell="D22" sqref="D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12.1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327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0.111</v>
      </c>
      <c r="D9" s="33">
        <f t="shared" ref="D9:D18" si="0">C9*$C$5</f>
        <v>1.3431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12</v>
      </c>
      <c r="C10" s="264">
        <v>0.2</v>
      </c>
      <c r="D10" s="33">
        <f t="shared" si="0"/>
        <v>2.42</v>
      </c>
      <c r="E10" s="265">
        <v>131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326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30</v>
      </c>
      <c r="C11" s="264">
        <v>0.111</v>
      </c>
      <c r="D11" s="33">
        <f t="shared" si="0"/>
        <v>1.3431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321</v>
      </c>
      <c r="C12" s="264">
        <v>8.0000000000000002E-3</v>
      </c>
      <c r="D12" s="33">
        <f t="shared" si="0"/>
        <v>9.6799999999999997E-2</v>
      </c>
      <c r="E12" s="265">
        <v>100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327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22</v>
      </c>
      <c r="C13" s="32">
        <v>0.06</v>
      </c>
      <c r="D13" s="33">
        <f t="shared" si="0"/>
        <v>0.72599999999999998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326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</v>
      </c>
      <c r="C14" s="32">
        <v>0.06</v>
      </c>
      <c r="D14" s="33">
        <f t="shared" si="0"/>
        <v>0.72599999999999998</v>
      </c>
      <c r="E14" s="34">
        <v>131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327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50</v>
      </c>
      <c r="C15" s="32">
        <v>0.06</v>
      </c>
      <c r="D15" s="33">
        <f t="shared" si="0"/>
        <v>0.72599999999999998</v>
      </c>
      <c r="E15" s="34">
        <v>131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327</v>
      </c>
      <c r="H15" s="23" t="s">
        <v>329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164</v>
      </c>
      <c r="C16" s="32">
        <v>0.14499999999999999</v>
      </c>
      <c r="D16" s="33">
        <f t="shared" si="0"/>
        <v>1.7544999999999997</v>
      </c>
      <c r="E16" s="34">
        <v>101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326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35</v>
      </c>
      <c r="C17" s="32">
        <v>0.14499999999999999</v>
      </c>
      <c r="D17" s="33">
        <f t="shared" si="0"/>
        <v>1.7544999999999997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326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109</v>
      </c>
      <c r="C18" s="32">
        <v>9.9000000000000005E-2</v>
      </c>
      <c r="D18" s="33">
        <f t="shared" si="0"/>
        <v>1.1979</v>
      </c>
      <c r="E18" s="34">
        <v>24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325</v>
      </c>
      <c r="H18" s="23" t="s">
        <v>328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0.99900000000000011</v>
      </c>
      <c r="D19" s="38">
        <f>SUM(D9:D18)</f>
        <v>12.087899999999999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121.88461538461537</v>
      </c>
      <c r="C36" s="259"/>
      <c r="D36" s="259"/>
      <c r="E36" s="260"/>
      <c r="F36" s="260"/>
      <c r="G36" s="260"/>
      <c r="H36" s="260"/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15.881076923076924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121.8846154</v>
      </c>
      <c r="C62" s="261"/>
      <c r="D62" s="261"/>
      <c r="E62" s="260"/>
      <c r="F62" s="260"/>
      <c r="G62" s="260"/>
      <c r="H62" s="260"/>
      <c r="I62" s="53">
        <f>IFERROR(B62/A62,"")</f>
        <v>4.0628205133333335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35</v>
      </c>
      <c r="B63" s="261">
        <v>201.29</v>
      </c>
      <c r="C63" s="261">
        <v>1</v>
      </c>
      <c r="D63" s="261">
        <v>69.58</v>
      </c>
      <c r="E63" s="260">
        <v>1</v>
      </c>
      <c r="F63" s="260"/>
      <c r="G63" s="260"/>
      <c r="H63" s="260"/>
      <c r="I63" s="49">
        <f>IF(A63&lt;&gt;0,(B63-(B62-D62))/(A63-A62),"")</f>
        <v>15.881076919999998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41</v>
      </c>
      <c r="B64" s="261">
        <v>208.88</v>
      </c>
      <c r="C64" s="261">
        <v>2</v>
      </c>
      <c r="D64" s="261">
        <v>47.41</v>
      </c>
      <c r="E64" s="260">
        <v>1</v>
      </c>
      <c r="F64" s="260"/>
      <c r="G64" s="260"/>
      <c r="H64" s="260"/>
      <c r="I64" s="49">
        <f>IF(A64&lt;&gt;0,(B64-(B63-D63))/(A64-A63),"")</f>
        <v>12.86166666666667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48</v>
      </c>
      <c r="B65" s="261">
        <v>252.89</v>
      </c>
      <c r="C65" s="261">
        <v>3</v>
      </c>
      <c r="D65" s="261">
        <v>61.12</v>
      </c>
      <c r="E65" s="260">
        <v>1</v>
      </c>
      <c r="F65" s="260"/>
      <c r="G65" s="260"/>
      <c r="H65" s="260"/>
      <c r="I65" s="49">
        <f>IF(A65&lt;&gt;0,(B65-(B64-D64))/(A65-A64),"")</f>
        <v>13.059999999999999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55</v>
      </c>
      <c r="B66" s="261">
        <v>277.67</v>
      </c>
      <c r="C66" s="261">
        <v>4</v>
      </c>
      <c r="D66" s="261">
        <v>58.24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12.271428571428576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63</v>
      </c>
      <c r="B67" s="261">
        <v>312.58999999999997</v>
      </c>
      <c r="C67" s="261">
        <v>5</v>
      </c>
      <c r="D67" s="261">
        <v>54.21</v>
      </c>
      <c r="E67" s="260">
        <v>1</v>
      </c>
      <c r="F67" s="260"/>
      <c r="G67" s="260"/>
      <c r="H67" s="260"/>
      <c r="I67" s="49">
        <f t="shared" si="2"/>
        <v>11.644999999999996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71</v>
      </c>
      <c r="B68" s="261">
        <v>348.69</v>
      </c>
      <c r="C68" s="261">
        <v>6</v>
      </c>
      <c r="D68" s="261">
        <v>52.07</v>
      </c>
      <c r="E68" s="260">
        <v>1</v>
      </c>
      <c r="F68" s="260"/>
      <c r="G68" s="260"/>
      <c r="H68" s="260"/>
      <c r="I68" s="49">
        <f t="shared" si="2"/>
        <v>11.28875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80</v>
      </c>
      <c r="B69" s="261">
        <v>395.71</v>
      </c>
      <c r="C69" s="261">
        <v>7</v>
      </c>
      <c r="D69" s="261">
        <v>59.57</v>
      </c>
      <c r="E69" s="260">
        <v>1</v>
      </c>
      <c r="F69" s="260"/>
      <c r="G69" s="260"/>
      <c r="H69" s="260"/>
      <c r="I69" s="49">
        <f t="shared" si="2"/>
        <v>11.009999999999998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89</v>
      </c>
      <c r="B70" s="261">
        <v>429.83</v>
      </c>
      <c r="C70" s="261">
        <v>8</v>
      </c>
      <c r="D70" s="261">
        <v>64.5</v>
      </c>
      <c r="E70" s="260">
        <v>1</v>
      </c>
      <c r="F70" s="260"/>
      <c r="G70" s="260"/>
      <c r="H70" s="260"/>
      <c r="I70" s="49">
        <f t="shared" si="2"/>
        <v>10.41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99</v>
      </c>
      <c r="B71" s="261">
        <v>464.8</v>
      </c>
      <c r="C71" s="261">
        <v>9</v>
      </c>
      <c r="D71" s="261">
        <v>62.94</v>
      </c>
      <c r="E71" s="260">
        <v>1</v>
      </c>
      <c r="F71" s="260"/>
      <c r="G71" s="260"/>
      <c r="H71" s="260"/>
      <c r="I71" s="49">
        <f t="shared" si="2"/>
        <v>9.9470000000000027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109</v>
      </c>
      <c r="B72" s="261">
        <v>498.97</v>
      </c>
      <c r="C72" s="261">
        <v>10</v>
      </c>
      <c r="D72" s="261">
        <v>66.959999999999994</v>
      </c>
      <c r="E72" s="260">
        <v>1</v>
      </c>
      <c r="F72" s="260"/>
      <c r="G72" s="260"/>
      <c r="H72" s="260"/>
      <c r="I72" s="49">
        <f t="shared" si="2"/>
        <v>9.7110000000000021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119</v>
      </c>
      <c r="B73" s="261">
        <v>526.04</v>
      </c>
      <c r="C73" s="261">
        <v>11</v>
      </c>
      <c r="D73" s="261">
        <v>196.46</v>
      </c>
      <c r="E73" s="260">
        <v>1</v>
      </c>
      <c r="F73" s="260"/>
      <c r="G73" s="260"/>
      <c r="H73" s="260"/>
      <c r="I73" s="49">
        <f t="shared" si="2"/>
        <v>9.4029999999999916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123</v>
      </c>
      <c r="B74" s="261">
        <v>328.09</v>
      </c>
      <c r="C74" s="261">
        <v>12</v>
      </c>
      <c r="D74" s="261">
        <v>100.6</v>
      </c>
      <c r="E74" s="260">
        <v>1</v>
      </c>
      <c r="F74" s="260"/>
      <c r="G74" s="260"/>
      <c r="H74" s="260"/>
      <c r="I74" s="49">
        <f t="shared" si="2"/>
        <v>-0.37249999999998806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127</v>
      </c>
      <c r="B75" s="261">
        <v>228.28</v>
      </c>
      <c r="C75" s="261">
        <v>13</v>
      </c>
      <c r="D75" s="261">
        <v>65.02</v>
      </c>
      <c r="E75" s="260">
        <v>1</v>
      </c>
      <c r="F75" s="260"/>
      <c r="G75" s="260"/>
      <c r="H75" s="260"/>
      <c r="I75" s="49">
        <f t="shared" si="2"/>
        <v>0.19750000000000512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131</v>
      </c>
      <c r="B76" s="261">
        <v>163.65</v>
      </c>
      <c r="C76" s="261">
        <v>14</v>
      </c>
      <c r="D76" s="261">
        <v>143.84</v>
      </c>
      <c r="E76" s="260">
        <v>1</v>
      </c>
      <c r="F76" s="260"/>
      <c r="G76" s="260"/>
      <c r="H76" s="260"/>
      <c r="I76" s="49">
        <f t="shared" si="2"/>
        <v>9.7500000000003695E-2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Noyer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37</v>
      </c>
      <c r="C88" s="261">
        <v>1</v>
      </c>
      <c r="D88" s="261">
        <v>15</v>
      </c>
      <c r="E88" s="260"/>
      <c r="F88" s="260"/>
      <c r="G88" s="260"/>
      <c r="H88" s="260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80</v>
      </c>
      <c r="C89" s="261">
        <v>2</v>
      </c>
      <c r="D89" s="261">
        <v>28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115</v>
      </c>
      <c r="C90" s="261">
        <v>3</v>
      </c>
      <c r="D90" s="261">
        <v>28</v>
      </c>
      <c r="E90" s="260"/>
      <c r="F90" s="260"/>
      <c r="G90" s="260"/>
      <c r="H90" s="260">
        <v>1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146</v>
      </c>
      <c r="C91" s="261">
        <v>4</v>
      </c>
      <c r="D91" s="261">
        <v>28</v>
      </c>
      <c r="E91" s="260"/>
      <c r="F91" s="260"/>
      <c r="G91" s="260"/>
      <c r="H91" s="260">
        <v>1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172</v>
      </c>
      <c r="C92" s="261">
        <v>5</v>
      </c>
      <c r="D92" s="261">
        <v>28</v>
      </c>
      <c r="E92" s="260">
        <v>1</v>
      </c>
      <c r="F92" s="260"/>
      <c r="G92" s="260"/>
      <c r="H92" s="260"/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192</v>
      </c>
      <c r="C93" s="261">
        <v>6</v>
      </c>
      <c r="D93" s="261">
        <v>28</v>
      </c>
      <c r="E93" s="260">
        <v>1</v>
      </c>
      <c r="F93" s="260"/>
      <c r="G93" s="260"/>
      <c r="H93" s="260"/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205</v>
      </c>
      <c r="C94" s="261">
        <v>7</v>
      </c>
      <c r="D94" s="261">
        <v>22</v>
      </c>
      <c r="E94" s="260">
        <v>1</v>
      </c>
      <c r="F94" s="260"/>
      <c r="G94" s="260"/>
      <c r="H94" s="260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219</v>
      </c>
      <c r="C95" s="261">
        <v>8</v>
      </c>
      <c r="D95" s="261">
        <v>17</v>
      </c>
      <c r="E95" s="260">
        <v>1</v>
      </c>
      <c r="F95" s="260"/>
      <c r="G95" s="260"/>
      <c r="H95" s="260"/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232</v>
      </c>
      <c r="C96" s="261">
        <v>9</v>
      </c>
      <c r="D96" s="261">
        <v>13</v>
      </c>
      <c r="E96" s="260">
        <v>1</v>
      </c>
      <c r="F96" s="260"/>
      <c r="G96" s="260"/>
      <c r="H96" s="260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245</v>
      </c>
      <c r="C97" s="261">
        <v>10</v>
      </c>
      <c r="D97" s="261">
        <v>12</v>
      </c>
      <c r="E97" s="260">
        <v>1</v>
      </c>
      <c r="F97" s="260"/>
      <c r="G97" s="260"/>
      <c r="H97" s="260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255</v>
      </c>
      <c r="C98" s="261">
        <v>11</v>
      </c>
      <c r="D98" s="261">
        <v>11</v>
      </c>
      <c r="E98" s="260">
        <v>1</v>
      </c>
      <c r="F98" s="260"/>
      <c r="G98" s="260"/>
      <c r="H98" s="260"/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263</v>
      </c>
      <c r="C99" s="261">
        <v>12</v>
      </c>
      <c r="D99" s="261">
        <v>10</v>
      </c>
      <c r="E99" s="260">
        <v>1</v>
      </c>
      <c r="F99" s="260"/>
      <c r="G99" s="260"/>
      <c r="H99" s="260"/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270</v>
      </c>
      <c r="C100" s="261">
        <v>13</v>
      </c>
      <c r="D100" s="261">
        <v>9</v>
      </c>
      <c r="E100" s="260">
        <v>1</v>
      </c>
      <c r="F100" s="260"/>
      <c r="G100" s="260"/>
      <c r="H100" s="260"/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275</v>
      </c>
      <c r="C101" s="261">
        <v>14</v>
      </c>
      <c r="D101" s="261">
        <v>8</v>
      </c>
      <c r="E101" s="260">
        <v>1</v>
      </c>
      <c r="F101" s="260"/>
      <c r="G101" s="260"/>
      <c r="H101" s="260"/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Tulipier de Virginie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29</v>
      </c>
      <c r="C114" s="261"/>
      <c r="D114" s="261">
        <v>0</v>
      </c>
      <c r="E114" s="260"/>
      <c r="F114" s="260"/>
      <c r="G114" s="260"/>
      <c r="H114" s="260"/>
      <c r="I114" s="53">
        <f>IFERROR(B114/A114,"")</f>
        <v>2.9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73</v>
      </c>
      <c r="C115" s="261"/>
      <c r="D115" s="261">
        <v>0</v>
      </c>
      <c r="E115" s="260"/>
      <c r="F115" s="260"/>
      <c r="G115" s="260"/>
      <c r="H115" s="260"/>
      <c r="I115" s="53">
        <f t="shared" ref="I115:I133" si="4">IF(A115&lt;&gt;0,(B115-(B114-D114))/(A115-A114),"")</f>
        <v>8.8000000000000007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129</v>
      </c>
      <c r="C116" s="261">
        <v>1</v>
      </c>
      <c r="D116" s="261">
        <v>54</v>
      </c>
      <c r="E116" s="260"/>
      <c r="F116" s="260"/>
      <c r="G116" s="260"/>
      <c r="H116" s="260">
        <v>1</v>
      </c>
      <c r="I116" s="53">
        <f t="shared" si="4"/>
        <v>11.2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126</v>
      </c>
      <c r="C117" s="261">
        <v>2</v>
      </c>
      <c r="D117" s="261">
        <v>26</v>
      </c>
      <c r="E117" s="260"/>
      <c r="F117" s="260"/>
      <c r="G117" s="260"/>
      <c r="H117" s="260">
        <v>1</v>
      </c>
      <c r="I117" s="53">
        <f t="shared" si="4"/>
        <v>10.199999999999999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149</v>
      </c>
      <c r="C118" s="261">
        <v>3</v>
      </c>
      <c r="D118" s="261">
        <v>27</v>
      </c>
      <c r="E118" s="260"/>
      <c r="F118" s="260"/>
      <c r="G118" s="260"/>
      <c r="H118" s="260">
        <v>1</v>
      </c>
      <c r="I118" s="53">
        <f t="shared" si="4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168</v>
      </c>
      <c r="C119" s="261">
        <v>4</v>
      </c>
      <c r="D119" s="261">
        <v>27</v>
      </c>
      <c r="E119" s="260">
        <v>1</v>
      </c>
      <c r="F119" s="260"/>
      <c r="G119" s="260"/>
      <c r="H119" s="260"/>
      <c r="I119" s="53">
        <f t="shared" si="4"/>
        <v>9.1999999999999993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185</v>
      </c>
      <c r="C120" s="261">
        <v>5</v>
      </c>
      <c r="D120" s="261">
        <v>27</v>
      </c>
      <c r="E120" s="260">
        <v>1</v>
      </c>
      <c r="F120" s="260"/>
      <c r="G120" s="260"/>
      <c r="H120" s="260"/>
      <c r="I120" s="53">
        <f t="shared" si="4"/>
        <v>8.8000000000000007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198</v>
      </c>
      <c r="C121" s="261">
        <v>6</v>
      </c>
      <c r="D121" s="261">
        <v>26</v>
      </c>
      <c r="E121" s="260">
        <v>1</v>
      </c>
      <c r="F121" s="260"/>
      <c r="G121" s="260"/>
      <c r="H121" s="260"/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209</v>
      </c>
      <c r="C122" s="261">
        <v>7</v>
      </c>
      <c r="D122" s="261">
        <v>24</v>
      </c>
      <c r="E122" s="260">
        <v>1</v>
      </c>
      <c r="F122" s="260"/>
      <c r="G122" s="260"/>
      <c r="H122" s="260"/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218</v>
      </c>
      <c r="C123" s="261">
        <v>8</v>
      </c>
      <c r="D123" s="261">
        <v>23</v>
      </c>
      <c r="E123" s="260">
        <v>1</v>
      </c>
      <c r="F123" s="260"/>
      <c r="G123" s="260"/>
      <c r="H123" s="260"/>
      <c r="I123" s="53">
        <f t="shared" si="4"/>
        <v>6.6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225</v>
      </c>
      <c r="C124" s="261">
        <v>9</v>
      </c>
      <c r="D124" s="261">
        <v>21</v>
      </c>
      <c r="E124" s="260">
        <v>1</v>
      </c>
      <c r="F124" s="260"/>
      <c r="G124" s="260"/>
      <c r="H124" s="260"/>
      <c r="I124" s="53">
        <f t="shared" si="4"/>
        <v>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232</v>
      </c>
      <c r="C125" s="261">
        <v>10</v>
      </c>
      <c r="D125" s="261">
        <v>20</v>
      </c>
      <c r="E125" s="260">
        <v>1</v>
      </c>
      <c r="F125" s="260"/>
      <c r="G125" s="260"/>
      <c r="H125" s="260"/>
      <c r="I125" s="53">
        <f t="shared" si="4"/>
        <v>5.6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237</v>
      </c>
      <c r="C126" s="261">
        <v>11</v>
      </c>
      <c r="D126" s="261">
        <v>18</v>
      </c>
      <c r="E126" s="260">
        <v>1</v>
      </c>
      <c r="F126" s="260"/>
      <c r="G126" s="260"/>
      <c r="H126" s="260"/>
      <c r="I126" s="53">
        <f t="shared" si="4"/>
        <v>5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241</v>
      </c>
      <c r="C127" s="261">
        <v>12</v>
      </c>
      <c r="D127" s="261">
        <v>16</v>
      </c>
      <c r="E127" s="260">
        <v>1</v>
      </c>
      <c r="F127" s="260"/>
      <c r="G127" s="260"/>
      <c r="H127" s="260"/>
      <c r="I127" s="53">
        <f t="shared" si="4"/>
        <v>4.4000000000000004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245</v>
      </c>
      <c r="C128" s="261">
        <v>13</v>
      </c>
      <c r="D128" s="261">
        <v>15</v>
      </c>
      <c r="E128" s="260">
        <v>1</v>
      </c>
      <c r="F128" s="260"/>
      <c r="G128" s="260"/>
      <c r="H128" s="260"/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85</v>
      </c>
      <c r="B129" s="261">
        <v>248</v>
      </c>
      <c r="C129" s="261">
        <v>14</v>
      </c>
      <c r="D129" s="261">
        <v>14</v>
      </c>
      <c r="E129" s="260">
        <v>1</v>
      </c>
      <c r="F129" s="260"/>
      <c r="G129" s="260"/>
      <c r="H129" s="260"/>
      <c r="I129" s="53">
        <f t="shared" si="4"/>
        <v>3.6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90</v>
      </c>
      <c r="B130" s="261">
        <v>249</v>
      </c>
      <c r="C130" s="261">
        <v>15</v>
      </c>
      <c r="D130" s="261">
        <v>12</v>
      </c>
      <c r="E130" s="260">
        <v>1</v>
      </c>
      <c r="F130" s="260"/>
      <c r="G130" s="260"/>
      <c r="H130" s="260"/>
      <c r="I130" s="53">
        <f t="shared" si="4"/>
        <v>3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95</v>
      </c>
      <c r="B131" s="261">
        <v>252</v>
      </c>
      <c r="C131" s="261">
        <v>16</v>
      </c>
      <c r="D131" s="261">
        <v>12</v>
      </c>
      <c r="E131" s="260">
        <v>1</v>
      </c>
      <c r="F131" s="260"/>
      <c r="G131" s="260"/>
      <c r="H131" s="260"/>
      <c r="I131" s="53">
        <f t="shared" si="4"/>
        <v>3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100</v>
      </c>
      <c r="B132" s="261">
        <v>255</v>
      </c>
      <c r="C132" s="261">
        <v>17</v>
      </c>
      <c r="D132" s="261">
        <v>12</v>
      </c>
      <c r="E132" s="260">
        <v>1</v>
      </c>
      <c r="F132" s="260"/>
      <c r="G132" s="260"/>
      <c r="H132" s="260"/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plane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19</v>
      </c>
      <c r="C140" s="50">
        <v>1</v>
      </c>
      <c r="D140" s="60">
        <v>7</v>
      </c>
      <c r="E140" s="51"/>
      <c r="F140" s="51"/>
      <c r="G140" s="51"/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85</v>
      </c>
      <c r="C141" s="50">
        <v>2</v>
      </c>
      <c r="D141" s="60">
        <v>42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14.6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123</v>
      </c>
      <c r="C142" s="50">
        <v>3</v>
      </c>
      <c r="D142" s="60">
        <v>42</v>
      </c>
      <c r="E142" s="51"/>
      <c r="F142" s="51"/>
      <c r="G142" s="51"/>
      <c r="H142" s="51">
        <v>1</v>
      </c>
      <c r="I142" s="57">
        <f t="shared" si="5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165</v>
      </c>
      <c r="C143" s="50">
        <v>4</v>
      </c>
      <c r="D143" s="60">
        <v>42</v>
      </c>
      <c r="E143" s="51"/>
      <c r="F143" s="51"/>
      <c r="G143" s="51"/>
      <c r="H143" s="51">
        <v>1</v>
      </c>
      <c r="I143" s="57">
        <f t="shared" si="5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205</v>
      </c>
      <c r="C144" s="50">
        <v>5</v>
      </c>
      <c r="D144" s="60">
        <v>42</v>
      </c>
      <c r="E144" s="51"/>
      <c r="F144" s="51"/>
      <c r="G144" s="51"/>
      <c r="H144" s="51">
        <v>1</v>
      </c>
      <c r="I144" s="57">
        <f t="shared" si="5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239</v>
      </c>
      <c r="C145" s="50">
        <v>6</v>
      </c>
      <c r="D145" s="60">
        <v>42</v>
      </c>
      <c r="E145" s="51">
        <v>1</v>
      </c>
      <c r="F145" s="51"/>
      <c r="G145" s="51"/>
      <c r="H145" s="51"/>
      <c r="I145" s="57">
        <f t="shared" si="5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263</v>
      </c>
      <c r="C146" s="50">
        <v>7</v>
      </c>
      <c r="D146" s="60">
        <v>40</v>
      </c>
      <c r="E146" s="51">
        <v>1</v>
      </c>
      <c r="F146" s="51"/>
      <c r="G146" s="51"/>
      <c r="H146" s="51"/>
      <c r="I146" s="57">
        <f t="shared" si="5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280</v>
      </c>
      <c r="C147" s="50">
        <v>8</v>
      </c>
      <c r="D147" s="60">
        <v>26</v>
      </c>
      <c r="E147" s="51">
        <v>1</v>
      </c>
      <c r="F147" s="51"/>
      <c r="G147" s="51"/>
      <c r="H147" s="51"/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303</v>
      </c>
      <c r="C148" s="50">
        <v>9</v>
      </c>
      <c r="D148" s="60">
        <v>21</v>
      </c>
      <c r="E148" s="51">
        <v>1</v>
      </c>
      <c r="F148" s="51"/>
      <c r="G148" s="51"/>
      <c r="H148" s="51"/>
      <c r="I148" s="57">
        <f t="shared" si="5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324</v>
      </c>
      <c r="C149" s="50">
        <v>10</v>
      </c>
      <c r="D149" s="60">
        <v>18</v>
      </c>
      <c r="E149" s="51">
        <v>1</v>
      </c>
      <c r="F149" s="51"/>
      <c r="G149" s="51"/>
      <c r="H149" s="51"/>
      <c r="I149" s="57">
        <f t="shared" si="5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343</v>
      </c>
      <c r="C150" s="50">
        <v>11</v>
      </c>
      <c r="D150" s="60">
        <v>17</v>
      </c>
      <c r="E150" s="51">
        <v>1</v>
      </c>
      <c r="F150" s="51"/>
      <c r="G150" s="51"/>
      <c r="H150" s="51"/>
      <c r="I150" s="57">
        <f t="shared" si="5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356</v>
      </c>
      <c r="C151" s="50">
        <v>12</v>
      </c>
      <c r="D151" s="60">
        <v>16</v>
      </c>
      <c r="E151" s="51">
        <v>1</v>
      </c>
      <c r="F151" s="51"/>
      <c r="G151" s="51"/>
      <c r="H151" s="51"/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366</v>
      </c>
      <c r="C152" s="50">
        <v>13</v>
      </c>
      <c r="D152" s="60">
        <v>15</v>
      </c>
      <c r="E152" s="54">
        <v>1</v>
      </c>
      <c r="F152" s="54"/>
      <c r="G152" s="54"/>
      <c r="H152" s="54"/>
      <c r="I152" s="57">
        <f t="shared" si="5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375</v>
      </c>
      <c r="C153" s="50">
        <v>14</v>
      </c>
      <c r="D153" s="60">
        <v>14</v>
      </c>
      <c r="E153" s="54">
        <v>1</v>
      </c>
      <c r="F153" s="54"/>
      <c r="G153" s="54"/>
      <c r="H153" s="54"/>
      <c r="I153" s="57">
        <f t="shared" si="5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381</v>
      </c>
      <c r="C154" s="50">
        <v>15</v>
      </c>
      <c r="D154" s="50">
        <v>13</v>
      </c>
      <c r="E154" s="54">
        <v>1</v>
      </c>
      <c r="F154" s="54"/>
      <c r="G154" s="54"/>
      <c r="H154" s="54"/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Alisier torminal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30</v>
      </c>
      <c r="B166" s="60">
        <v>121.8846154</v>
      </c>
      <c r="C166" s="60"/>
      <c r="D166" s="60"/>
      <c r="E166" s="51"/>
      <c r="F166" s="51"/>
      <c r="G166" s="51"/>
      <c r="H166" s="51"/>
      <c r="I166" s="49">
        <f>IFERROR(B166/A166,"")</f>
        <v>4.0628205133333335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35</v>
      </c>
      <c r="B167" s="60">
        <v>201.29</v>
      </c>
      <c r="C167" s="60">
        <v>1</v>
      </c>
      <c r="D167" s="60">
        <v>69.58</v>
      </c>
      <c r="E167" s="51">
        <v>1</v>
      </c>
      <c r="F167" s="51"/>
      <c r="G167" s="51"/>
      <c r="H167" s="51"/>
      <c r="I167" s="49">
        <f t="shared" ref="I167:I185" si="6">IF(A167&lt;&gt;0,(B167-(B166-D166))/(A167-A166),"")</f>
        <v>15.881076919999998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41</v>
      </c>
      <c r="B168" s="60">
        <v>208.88</v>
      </c>
      <c r="C168" s="60">
        <v>2</v>
      </c>
      <c r="D168" s="60">
        <v>47.41</v>
      </c>
      <c r="E168" s="51">
        <v>1</v>
      </c>
      <c r="F168" s="51"/>
      <c r="G168" s="51"/>
      <c r="H168" s="51"/>
      <c r="I168" s="49">
        <f t="shared" si="6"/>
        <v>12.86166666666667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48</v>
      </c>
      <c r="B169" s="60">
        <v>252.89</v>
      </c>
      <c r="C169" s="60">
        <v>3</v>
      </c>
      <c r="D169" s="60">
        <v>61.12</v>
      </c>
      <c r="E169" s="51">
        <v>1</v>
      </c>
      <c r="F169" s="51"/>
      <c r="G169" s="51"/>
      <c r="H169" s="51"/>
      <c r="I169" s="49">
        <f t="shared" si="6"/>
        <v>13.059999999999999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55</v>
      </c>
      <c r="B170" s="60">
        <v>277.67</v>
      </c>
      <c r="C170" s="60">
        <v>4</v>
      </c>
      <c r="D170" s="60">
        <v>58.24</v>
      </c>
      <c r="E170" s="51">
        <v>1</v>
      </c>
      <c r="F170" s="51"/>
      <c r="G170" s="51"/>
      <c r="H170" s="51"/>
      <c r="I170" s="49">
        <f t="shared" si="6"/>
        <v>12.271428571428576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63</v>
      </c>
      <c r="B171" s="60">
        <v>312.58999999999997</v>
      </c>
      <c r="C171" s="60">
        <v>5</v>
      </c>
      <c r="D171" s="60">
        <v>54.21</v>
      </c>
      <c r="E171" s="51">
        <v>1</v>
      </c>
      <c r="F171" s="51"/>
      <c r="G171" s="51"/>
      <c r="H171" s="51"/>
      <c r="I171" s="49">
        <f t="shared" si="6"/>
        <v>11.644999999999996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71</v>
      </c>
      <c r="B172" s="60">
        <v>348.69</v>
      </c>
      <c r="C172" s="60">
        <v>6</v>
      </c>
      <c r="D172" s="60">
        <v>52.07</v>
      </c>
      <c r="E172" s="51">
        <v>1</v>
      </c>
      <c r="F172" s="51"/>
      <c r="G172" s="51"/>
      <c r="H172" s="51"/>
      <c r="I172" s="49">
        <f t="shared" si="6"/>
        <v>11.28875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80</v>
      </c>
      <c r="B173" s="50">
        <v>395.71</v>
      </c>
      <c r="C173" s="50">
        <v>7</v>
      </c>
      <c r="D173" s="50">
        <v>59.57</v>
      </c>
      <c r="E173" s="51">
        <v>1</v>
      </c>
      <c r="F173" s="51"/>
      <c r="G173" s="51"/>
      <c r="H173" s="51"/>
      <c r="I173" s="49">
        <f t="shared" si="6"/>
        <v>11.009999999999998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89</v>
      </c>
      <c r="B174" s="50">
        <v>429.83</v>
      </c>
      <c r="C174" s="50">
        <v>8</v>
      </c>
      <c r="D174" s="50">
        <v>64.5</v>
      </c>
      <c r="E174" s="51">
        <v>1</v>
      </c>
      <c r="F174" s="51"/>
      <c r="G174" s="51"/>
      <c r="H174" s="51"/>
      <c r="I174" s="49">
        <f t="shared" si="6"/>
        <v>10.41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99</v>
      </c>
      <c r="B175" s="50">
        <v>464.8</v>
      </c>
      <c r="C175" s="50">
        <v>9</v>
      </c>
      <c r="D175" s="50">
        <v>62.94</v>
      </c>
      <c r="E175" s="51">
        <v>1</v>
      </c>
      <c r="F175" s="51"/>
      <c r="G175" s="51"/>
      <c r="H175" s="51"/>
      <c r="I175" s="49">
        <f t="shared" si="6"/>
        <v>9.9470000000000027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109</v>
      </c>
      <c r="B176" s="50">
        <v>498.97</v>
      </c>
      <c r="C176" s="50">
        <v>10</v>
      </c>
      <c r="D176" s="50">
        <v>66.959999999999994</v>
      </c>
      <c r="E176" s="51">
        <v>1</v>
      </c>
      <c r="F176" s="51"/>
      <c r="G176" s="51"/>
      <c r="H176" s="51"/>
      <c r="I176" s="49">
        <f t="shared" si="6"/>
        <v>9.7110000000000021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119</v>
      </c>
      <c r="B177" s="50">
        <v>526.04</v>
      </c>
      <c r="C177" s="50">
        <v>11</v>
      </c>
      <c r="D177" s="50">
        <v>196.46</v>
      </c>
      <c r="E177" s="51">
        <v>1</v>
      </c>
      <c r="F177" s="51"/>
      <c r="G177" s="51"/>
      <c r="H177" s="51"/>
      <c r="I177" s="49">
        <f t="shared" si="6"/>
        <v>9.4029999999999916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123</v>
      </c>
      <c r="B178" s="50">
        <v>328.09</v>
      </c>
      <c r="C178" s="50">
        <v>12</v>
      </c>
      <c r="D178" s="50">
        <v>100.6</v>
      </c>
      <c r="E178" s="51">
        <v>1</v>
      </c>
      <c r="F178" s="51"/>
      <c r="G178" s="51"/>
      <c r="H178" s="51"/>
      <c r="I178" s="49">
        <f t="shared" si="6"/>
        <v>-0.37249999999998806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127</v>
      </c>
      <c r="B179" s="50">
        <v>228.28</v>
      </c>
      <c r="C179" s="50">
        <v>13</v>
      </c>
      <c r="D179" s="50">
        <v>65.02</v>
      </c>
      <c r="E179" s="51">
        <v>1</v>
      </c>
      <c r="F179" s="51"/>
      <c r="G179" s="51"/>
      <c r="H179" s="51"/>
      <c r="I179" s="49">
        <f t="shared" si="6"/>
        <v>0.19750000000000512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131</v>
      </c>
      <c r="B180" s="50">
        <v>163.65</v>
      </c>
      <c r="C180" s="50">
        <v>14</v>
      </c>
      <c r="D180" s="50">
        <v>143.84</v>
      </c>
      <c r="E180" s="51">
        <v>1</v>
      </c>
      <c r="F180" s="51"/>
      <c r="G180" s="51"/>
      <c r="H180" s="51"/>
      <c r="I180" s="49">
        <f t="shared" si="6"/>
        <v>9.7500000000003695E-2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Tilleul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30</v>
      </c>
      <c r="B192" s="60">
        <v>121.88461538461537</v>
      </c>
      <c r="C192" s="60"/>
      <c r="D192" s="60"/>
      <c r="E192" s="51"/>
      <c r="F192" s="51"/>
      <c r="G192" s="51"/>
      <c r="H192" s="51"/>
      <c r="I192" s="49">
        <f>IFERROR(B192/A192,"")</f>
        <v>4.0628205128205126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35</v>
      </c>
      <c r="B193" s="60">
        <v>201.29</v>
      </c>
      <c r="C193" s="60">
        <v>1</v>
      </c>
      <c r="D193" s="60">
        <v>69.58</v>
      </c>
      <c r="E193" s="51">
        <v>1</v>
      </c>
      <c r="F193" s="51"/>
      <c r="G193" s="51"/>
      <c r="H193" s="51"/>
      <c r="I193" s="49">
        <f t="shared" ref="I193:I211" si="7">IF(A193&lt;&gt;0,(B193-(B192-D192))/(A193-A192),"")</f>
        <v>15.881076923076924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41</v>
      </c>
      <c r="B194" s="60">
        <v>208.88</v>
      </c>
      <c r="C194" s="60">
        <v>2</v>
      </c>
      <c r="D194" s="60">
        <v>47.41</v>
      </c>
      <c r="E194" s="51">
        <v>1</v>
      </c>
      <c r="F194" s="51"/>
      <c r="G194" s="51"/>
      <c r="H194" s="51"/>
      <c r="I194" s="49">
        <f t="shared" si="7"/>
        <v>12.86166666666667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48</v>
      </c>
      <c r="B195" s="60">
        <v>252.89</v>
      </c>
      <c r="C195" s="60">
        <v>3</v>
      </c>
      <c r="D195" s="60">
        <v>61.12</v>
      </c>
      <c r="E195" s="51">
        <v>1</v>
      </c>
      <c r="F195" s="51"/>
      <c r="G195" s="51"/>
      <c r="H195" s="51"/>
      <c r="I195" s="49">
        <f t="shared" si="7"/>
        <v>13.059999999999999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55</v>
      </c>
      <c r="B196" s="60">
        <v>277.67</v>
      </c>
      <c r="C196" s="60">
        <v>4</v>
      </c>
      <c r="D196" s="60">
        <v>58.24</v>
      </c>
      <c r="E196" s="51">
        <v>1</v>
      </c>
      <c r="F196" s="51"/>
      <c r="G196" s="51"/>
      <c r="H196" s="51"/>
      <c r="I196" s="49">
        <f t="shared" si="7"/>
        <v>12.271428571428576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63</v>
      </c>
      <c r="B197" s="60">
        <v>312.58999999999997</v>
      </c>
      <c r="C197" s="60">
        <v>5</v>
      </c>
      <c r="D197" s="60">
        <v>54.21</v>
      </c>
      <c r="E197" s="51">
        <v>1</v>
      </c>
      <c r="F197" s="51"/>
      <c r="G197" s="51"/>
      <c r="H197" s="51"/>
      <c r="I197" s="49">
        <f t="shared" si="7"/>
        <v>11.644999999999996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71</v>
      </c>
      <c r="B198" s="60">
        <v>348.69</v>
      </c>
      <c r="C198" s="60">
        <v>6</v>
      </c>
      <c r="D198" s="60">
        <v>52.07</v>
      </c>
      <c r="E198" s="51">
        <v>1</v>
      </c>
      <c r="F198" s="51"/>
      <c r="G198" s="51"/>
      <c r="H198" s="51"/>
      <c r="I198" s="49">
        <f t="shared" si="7"/>
        <v>11.28875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80</v>
      </c>
      <c r="B199" s="50">
        <v>395.71</v>
      </c>
      <c r="C199" s="50">
        <v>7</v>
      </c>
      <c r="D199" s="50">
        <v>59.57</v>
      </c>
      <c r="E199" s="51">
        <v>1</v>
      </c>
      <c r="F199" s="51"/>
      <c r="G199" s="51"/>
      <c r="H199" s="51"/>
      <c r="I199" s="49">
        <f t="shared" si="7"/>
        <v>11.009999999999998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89</v>
      </c>
      <c r="B200" s="50">
        <v>429.83</v>
      </c>
      <c r="C200" s="50">
        <v>8</v>
      </c>
      <c r="D200" s="50">
        <v>64.5</v>
      </c>
      <c r="E200" s="51">
        <v>1</v>
      </c>
      <c r="F200" s="51"/>
      <c r="G200" s="51"/>
      <c r="H200" s="51"/>
      <c r="I200" s="49">
        <f t="shared" si="7"/>
        <v>10.41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99</v>
      </c>
      <c r="B201" s="50">
        <v>464.8</v>
      </c>
      <c r="C201" s="50">
        <v>9</v>
      </c>
      <c r="D201" s="50">
        <v>62.94</v>
      </c>
      <c r="E201" s="51">
        <v>1</v>
      </c>
      <c r="F201" s="51"/>
      <c r="G201" s="51"/>
      <c r="H201" s="51"/>
      <c r="I201" s="49">
        <f t="shared" si="7"/>
        <v>9.9470000000000027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109</v>
      </c>
      <c r="B202" s="50">
        <v>498.97</v>
      </c>
      <c r="C202" s="50">
        <v>10</v>
      </c>
      <c r="D202" s="50">
        <v>66.959999999999994</v>
      </c>
      <c r="E202" s="51">
        <v>1</v>
      </c>
      <c r="F202" s="51"/>
      <c r="G202" s="51"/>
      <c r="H202" s="51"/>
      <c r="I202" s="49">
        <f t="shared" si="7"/>
        <v>9.7110000000000021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119</v>
      </c>
      <c r="B203" s="50">
        <v>526.04</v>
      </c>
      <c r="C203" s="50">
        <v>11</v>
      </c>
      <c r="D203" s="50">
        <v>196.46</v>
      </c>
      <c r="E203" s="51">
        <v>1</v>
      </c>
      <c r="F203" s="51"/>
      <c r="G203" s="51"/>
      <c r="H203" s="51"/>
      <c r="I203" s="49">
        <f t="shared" si="7"/>
        <v>9.4029999999999916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123</v>
      </c>
      <c r="B204" s="50">
        <v>328.09</v>
      </c>
      <c r="C204" s="50">
        <v>12</v>
      </c>
      <c r="D204" s="50">
        <v>100.6</v>
      </c>
      <c r="E204" s="51">
        <v>1</v>
      </c>
      <c r="F204" s="51"/>
      <c r="G204" s="51"/>
      <c r="H204" s="51"/>
      <c r="I204" s="49">
        <f t="shared" si="7"/>
        <v>-0.37249999999998806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127</v>
      </c>
      <c r="B205" s="50">
        <v>228.28</v>
      </c>
      <c r="C205" s="50">
        <v>13</v>
      </c>
      <c r="D205" s="50">
        <v>65.02</v>
      </c>
      <c r="E205" s="51">
        <v>1</v>
      </c>
      <c r="F205" s="51"/>
      <c r="G205" s="51"/>
      <c r="H205" s="51"/>
      <c r="I205" s="49">
        <f t="shared" si="7"/>
        <v>0.19750000000000512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131</v>
      </c>
      <c r="B206" s="50">
        <v>163.65</v>
      </c>
      <c r="C206" s="50">
        <v>14</v>
      </c>
      <c r="D206" s="50">
        <v>143.84</v>
      </c>
      <c r="E206" s="51">
        <v>1</v>
      </c>
      <c r="F206" s="51"/>
      <c r="G206" s="51"/>
      <c r="H206" s="51"/>
      <c r="I206" s="49">
        <f t="shared" si="7"/>
        <v>9.7500000000003695E-2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Cèdre de l'Atlas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30</v>
      </c>
      <c r="B218" s="60">
        <v>146.32</v>
      </c>
      <c r="C218" s="50"/>
      <c r="D218" s="60"/>
      <c r="E218" s="63"/>
      <c r="F218" s="63"/>
      <c r="G218" s="63"/>
      <c r="H218" s="63"/>
      <c r="I218" s="53">
        <f>IFERROR(B218/A218,"")</f>
        <v>4.8773333333333335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42</v>
      </c>
      <c r="B219" s="60">
        <v>344.46</v>
      </c>
      <c r="C219" s="50">
        <v>1</v>
      </c>
      <c r="D219" s="60">
        <v>105.41</v>
      </c>
      <c r="E219" s="63">
        <v>1</v>
      </c>
      <c r="F219" s="63"/>
      <c r="G219" s="63"/>
      <c r="H219" s="63"/>
      <c r="I219" s="53">
        <f t="shared" ref="I219:I237" si="8">IF(A219&lt;&gt;0,(B219-(B218-D218))/(A219-A218),"")</f>
        <v>16.511666666666667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50</v>
      </c>
      <c r="B220" s="60">
        <v>375.69</v>
      </c>
      <c r="C220" s="50">
        <v>2</v>
      </c>
      <c r="D220" s="60">
        <v>106.51</v>
      </c>
      <c r="E220" s="63">
        <v>1</v>
      </c>
      <c r="F220" s="63"/>
      <c r="G220" s="63"/>
      <c r="H220" s="63"/>
      <c r="I220" s="53">
        <f t="shared" si="8"/>
        <v>17.080000000000002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58</v>
      </c>
      <c r="B221" s="55">
        <v>400.11</v>
      </c>
      <c r="C221" s="55">
        <v>3</v>
      </c>
      <c r="D221" s="55">
        <v>87.34</v>
      </c>
      <c r="E221" s="63">
        <v>1</v>
      </c>
      <c r="F221" s="63"/>
      <c r="G221" s="63"/>
      <c r="H221" s="63"/>
      <c r="I221" s="53">
        <f t="shared" si="8"/>
        <v>16.366250000000001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66</v>
      </c>
      <c r="B222" s="55">
        <v>440.2</v>
      </c>
      <c r="C222" s="55">
        <v>4</v>
      </c>
      <c r="D222" s="55">
        <v>87.73</v>
      </c>
      <c r="E222" s="63">
        <v>1</v>
      </c>
      <c r="F222" s="63"/>
      <c r="G222" s="63"/>
      <c r="H222" s="63"/>
      <c r="I222" s="53">
        <f t="shared" si="8"/>
        <v>15.928750000000001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75</v>
      </c>
      <c r="B223" s="55">
        <v>489.37</v>
      </c>
      <c r="C223" s="55">
        <v>5</v>
      </c>
      <c r="D223" s="55">
        <v>87.99</v>
      </c>
      <c r="E223" s="63">
        <v>1</v>
      </c>
      <c r="F223" s="63"/>
      <c r="G223" s="63"/>
      <c r="H223" s="63"/>
      <c r="I223" s="53">
        <f t="shared" si="8"/>
        <v>15.211111111111116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83</v>
      </c>
      <c r="B224" s="55">
        <v>516.09</v>
      </c>
      <c r="C224" s="55">
        <v>6</v>
      </c>
      <c r="D224" s="55">
        <v>90.24</v>
      </c>
      <c r="E224" s="63">
        <v>1</v>
      </c>
      <c r="F224" s="63"/>
      <c r="G224" s="63"/>
      <c r="H224" s="63"/>
      <c r="I224" s="53">
        <f t="shared" si="8"/>
        <v>14.338750000000005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91</v>
      </c>
      <c r="B225" s="55">
        <v>531.72</v>
      </c>
      <c r="C225" s="55">
        <v>7</v>
      </c>
      <c r="D225" s="55">
        <v>260.64</v>
      </c>
      <c r="E225" s="63">
        <v>1</v>
      </c>
      <c r="F225" s="63"/>
      <c r="G225" s="63"/>
      <c r="H225" s="63"/>
      <c r="I225" s="53">
        <f t="shared" si="8"/>
        <v>13.233750000000001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101</v>
      </c>
      <c r="B226" s="55">
        <v>356.43</v>
      </c>
      <c r="C226" s="55">
        <v>8</v>
      </c>
      <c r="D226" s="55">
        <v>351.18</v>
      </c>
      <c r="E226" s="63">
        <v>1</v>
      </c>
      <c r="F226" s="63"/>
      <c r="G226" s="63"/>
      <c r="H226" s="63"/>
      <c r="I226" s="53">
        <f t="shared" si="8"/>
        <v>8.5349999999999966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laricio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15</v>
      </c>
      <c r="B244" s="60">
        <v>129</v>
      </c>
      <c r="C244" s="60">
        <v>1</v>
      </c>
      <c r="D244" s="60">
        <v>21</v>
      </c>
      <c r="E244" s="51"/>
      <c r="F244" s="51"/>
      <c r="G244" s="51">
        <v>1</v>
      </c>
      <c r="H244" s="63"/>
      <c r="I244" s="53">
        <f>IFERROR(B244/A244,"")</f>
        <v>8.6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20</v>
      </c>
      <c r="B245" s="60">
        <v>226</v>
      </c>
      <c r="C245" s="60">
        <v>2</v>
      </c>
      <c r="D245" s="60">
        <v>70</v>
      </c>
      <c r="E245" s="63"/>
      <c r="F245" s="63">
        <v>1</v>
      </c>
      <c r="G245" s="63"/>
      <c r="H245" s="63"/>
      <c r="I245" s="53">
        <f>IF(A245&lt;&gt;0,(B245-(B244-D244))/(A245-A244),"")</f>
        <v>23.6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25</v>
      </c>
      <c r="B246" s="60">
        <v>281</v>
      </c>
      <c r="C246" s="60">
        <v>3</v>
      </c>
      <c r="D246" s="60">
        <v>70</v>
      </c>
      <c r="E246" s="63"/>
      <c r="F246" s="63">
        <v>1</v>
      </c>
      <c r="G246" s="63"/>
      <c r="H246" s="63"/>
      <c r="I246" s="53">
        <f>IF(A246&lt;&gt;0,(B246-(B245-D245))/(A246-A245),"")</f>
        <v>25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30</v>
      </c>
      <c r="B247" s="60">
        <v>344</v>
      </c>
      <c r="C247" s="60">
        <v>4</v>
      </c>
      <c r="D247" s="60">
        <v>70</v>
      </c>
      <c r="E247" s="63"/>
      <c r="F247" s="63">
        <v>1</v>
      </c>
      <c r="G247" s="63"/>
      <c r="H247" s="63"/>
      <c r="I247" s="53">
        <f t="shared" ref="I247:I263" si="9">IF(A247&lt;&gt;0,(B247-(B246-D246))/(A247-A246),"")</f>
        <v>26.6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35</v>
      </c>
      <c r="B248" s="60">
        <v>408</v>
      </c>
      <c r="C248" s="60">
        <v>5</v>
      </c>
      <c r="D248" s="60">
        <v>70</v>
      </c>
      <c r="E248" s="63">
        <v>1</v>
      </c>
      <c r="F248" s="63"/>
      <c r="G248" s="63"/>
      <c r="H248" s="63"/>
      <c r="I248" s="53">
        <f t="shared" si="9"/>
        <v>26.8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40</v>
      </c>
      <c r="B249" s="60">
        <v>467</v>
      </c>
      <c r="C249" s="60">
        <v>6</v>
      </c>
      <c r="D249" s="60">
        <v>70</v>
      </c>
      <c r="E249" s="63">
        <v>1</v>
      </c>
      <c r="F249" s="63"/>
      <c r="G249" s="63"/>
      <c r="H249" s="63"/>
      <c r="I249" s="53">
        <f t="shared" si="9"/>
        <v>25.8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45</v>
      </c>
      <c r="B250" s="60">
        <v>518</v>
      </c>
      <c r="C250" s="60">
        <v>7</v>
      </c>
      <c r="D250" s="60">
        <v>64</v>
      </c>
      <c r="E250" s="63">
        <v>1</v>
      </c>
      <c r="F250" s="63"/>
      <c r="G250" s="63"/>
      <c r="H250" s="63"/>
      <c r="I250" s="53">
        <f t="shared" si="9"/>
        <v>24.2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50</v>
      </c>
      <c r="B251" s="55">
        <v>563</v>
      </c>
      <c r="C251" s="55">
        <v>8</v>
      </c>
      <c r="D251" s="55">
        <v>56</v>
      </c>
      <c r="E251" s="63">
        <v>1</v>
      </c>
      <c r="F251" s="63"/>
      <c r="G251" s="63"/>
      <c r="H251" s="63"/>
      <c r="I251" s="53">
        <f t="shared" si="9"/>
        <v>21.8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55</v>
      </c>
      <c r="B252" s="55">
        <v>608</v>
      </c>
      <c r="C252" s="55">
        <v>9</v>
      </c>
      <c r="D252" s="55">
        <v>48</v>
      </c>
      <c r="E252" s="63">
        <v>1</v>
      </c>
      <c r="F252" s="63"/>
      <c r="G252" s="63"/>
      <c r="H252" s="63"/>
      <c r="I252" s="53">
        <f t="shared" si="9"/>
        <v>20.2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60</v>
      </c>
      <c r="B253" s="55">
        <v>653</v>
      </c>
      <c r="C253" s="55">
        <v>10</v>
      </c>
      <c r="D253" s="55">
        <v>42</v>
      </c>
      <c r="E253" s="63">
        <v>1</v>
      </c>
      <c r="F253" s="63"/>
      <c r="G253" s="63"/>
      <c r="H253" s="63"/>
      <c r="I253" s="53">
        <f t="shared" si="9"/>
        <v>18.600000000000001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65</v>
      </c>
      <c r="B254" s="55">
        <v>695</v>
      </c>
      <c r="C254" s="55">
        <v>11</v>
      </c>
      <c r="D254" s="55">
        <v>37</v>
      </c>
      <c r="E254" s="63">
        <v>1</v>
      </c>
      <c r="F254" s="63"/>
      <c r="G254" s="63"/>
      <c r="H254" s="63"/>
      <c r="I254" s="53">
        <f t="shared" si="9"/>
        <v>16.8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70</v>
      </c>
      <c r="B255" s="55">
        <v>733</v>
      </c>
      <c r="C255" s="55">
        <v>12</v>
      </c>
      <c r="D255" s="55">
        <v>34</v>
      </c>
      <c r="E255" s="63">
        <v>1</v>
      </c>
      <c r="F255" s="63"/>
      <c r="G255" s="63"/>
      <c r="H255" s="63"/>
      <c r="I255" s="53">
        <f t="shared" si="9"/>
        <v>15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75</v>
      </c>
      <c r="B256" s="55">
        <v>767</v>
      </c>
      <c r="C256" s="55">
        <v>13</v>
      </c>
      <c r="D256" s="55">
        <v>33</v>
      </c>
      <c r="E256" s="64">
        <v>1</v>
      </c>
      <c r="F256" s="64"/>
      <c r="G256" s="64"/>
      <c r="H256" s="64"/>
      <c r="I256" s="53">
        <f t="shared" si="9"/>
        <v>13.6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>
        <v>80</v>
      </c>
      <c r="B257" s="60">
        <v>795</v>
      </c>
      <c r="C257" s="86">
        <v>14</v>
      </c>
      <c r="D257" s="60">
        <v>32</v>
      </c>
      <c r="E257" s="54">
        <v>1</v>
      </c>
      <c r="F257" s="54"/>
      <c r="G257" s="54"/>
      <c r="H257" s="54"/>
      <c r="I257" s="53">
        <f t="shared" si="9"/>
        <v>12.2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Peuplier Brenta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9</v>
      </c>
      <c r="B270" s="60">
        <v>96.153846150000007</v>
      </c>
      <c r="C270" s="50"/>
      <c r="D270" s="60"/>
      <c r="E270" s="51"/>
      <c r="F270" s="51"/>
      <c r="G270" s="51"/>
      <c r="H270" s="51"/>
      <c r="I270" s="53">
        <f>IFERROR(B270/A270,"")</f>
        <v>10.683760683333334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14</v>
      </c>
      <c r="B271" s="60">
        <v>272.43589739999999</v>
      </c>
      <c r="C271" s="50"/>
      <c r="D271" s="60"/>
      <c r="E271" s="51"/>
      <c r="F271" s="51"/>
      <c r="G271" s="51"/>
      <c r="H271" s="51"/>
      <c r="I271" s="53">
        <f>IF(A271&lt;&gt;0,(B271-(B270-D270))/(A271-A270),"")</f>
        <v>35.256410250000002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19</v>
      </c>
      <c r="B272" s="60">
        <v>307.69230770000001</v>
      </c>
      <c r="C272" s="50"/>
      <c r="D272" s="60"/>
      <c r="E272" s="51"/>
      <c r="F272" s="51"/>
      <c r="G272" s="51"/>
      <c r="H272" s="51"/>
      <c r="I272" s="53">
        <f t="shared" ref="I272:I289" si="10">IF(A272&lt;&gt;0,(B272-(B271-D271))/(A272-A271),"")</f>
        <v>7.0512820600000055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24</v>
      </c>
      <c r="B273" s="60">
        <v>320.51282049999998</v>
      </c>
      <c r="C273" s="50" t="s">
        <v>324</v>
      </c>
      <c r="D273" s="60">
        <v>320.51282049999998</v>
      </c>
      <c r="E273" s="51">
        <v>0.77</v>
      </c>
      <c r="F273" s="51">
        <v>0.21</v>
      </c>
      <c r="G273" s="51">
        <v>0</v>
      </c>
      <c r="H273" s="51">
        <v>0</v>
      </c>
      <c r="I273" s="53">
        <f t="shared" si="10"/>
        <v>2.5641025599999923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6" sqref="C26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0.92149000000000003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7.8509999999999996E-2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pubescent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Noyer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Tulipier de Virginie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Erable plane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Alisier torminal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Tilleul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Cèdre de l'Atlas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Pin laricio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>Peuplier Brenta</v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4.60745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16.893983333333335</v>
      </c>
      <c r="H3" s="66">
        <f>(B3+E3+F3)*44/12+(C3+D3)*0.475*44/12</f>
        <v>189.09073333333333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172.19674999999998</v>
      </c>
      <c r="S3" s="59">
        <f ca="1">AVERAGE(OFFSET($R$3,0,0,'Données projet'!$E$9+1,1))-AVERAGE(OFFSET($H$3,0,0,'Données projet'!$E$9+1,1))</f>
        <v>564.49981446852132</v>
      </c>
      <c r="T3" s="59">
        <f>IF('Données projet'!E9&gt;30,$R$33-$H$33,LOOKUP('Données projet'!$E$9,$A$3:$A$203,R3:R203)-LOOKUP('Données projet'!$E$9,$A$3:$A$203,$H$3:$H$203))</f>
        <v>297.54722913785406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172.19674999999998</v>
      </c>
      <c r="AN3" s="59">
        <f ca="1">AVERAGE(OFFSET($AM$3,0,0,'Données projet'!$E$10+1,1))-AVERAGE(OFFSET($H$3,0,0,'Données projet'!$E$10+1,1))</f>
        <v>623.16549611107564</v>
      </c>
      <c r="AO3" s="59">
        <f>IF('Données projet'!E10&gt;30,$AM$33-$H$33,LOOKUP('Données projet'!$E$10,$A$3:$A$203,AM3:AM203)-LOOKUP('Données projet'!$E$10,$A$3:$A$203,$H$3:$H$203))</f>
        <v>326.15178903425885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172.19674999999998</v>
      </c>
      <c r="BI3" s="59">
        <f ca="1">AVERAGE(OFFSET($BH$3,0,0,'Données projet'!$E$11+1,1))-AVERAGE(OFFSET($H$3,0,0,'Données projet'!$E$11+1,1))</f>
        <v>326.2912419133811</v>
      </c>
      <c r="BJ3" s="59">
        <f>IF('Données projet'!E11&gt;30,$BH$33-$H$33,LOOKUP('Données projet'!$E$11,$A$3:$A$203,BH3:BH203)-LOOKUP('Données projet'!$E$11,$A$3:$A$203,$H$3:$H$203))</f>
        <v>315.07976787459938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172.19674999999998</v>
      </c>
      <c r="CD3" s="59">
        <f ca="1">AVERAGE(OFFSET($CC$3,0,0,'Données projet'!$E$12+1,1))-AVERAGE(OFFSET($H$3,0,0,'Données projet'!$E$12+1,1))</f>
        <v>297.03992602744393</v>
      </c>
      <c r="CE3" s="59">
        <f>IF('Données projet'!E12&gt;30,$CC$33-$H$33,LOOKUP('Données projet'!$E$12,$A$3:$A$203,CC3:CC203)-LOOKUP('Données projet'!$E$12,$A$3:$A$203,$H$3:$H$203))</f>
        <v>265.2588848922893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172.19674999999998</v>
      </c>
      <c r="CY3" s="59">
        <f ca="1">AVERAGE(OFFSET($CX$3,0,0,'Données projet'!$E$13+1,1))-AVERAGE(OFFSET($H$3,0,0,'Données projet'!$E$13+1,1))</f>
        <v>427.42918901489531</v>
      </c>
      <c r="CZ3" s="59">
        <f>IF('Données projet'!E13&gt;30,$CX$33-$H$33,LOOKUP('Données projet'!$E$13,$A$3:$A$203,CX3:CX203)-LOOKUP('Données projet'!$E$13,$A$3:$A$203,$H$3:$H$203))</f>
        <v>410.68601510655412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172.19674999999998</v>
      </c>
      <c r="DT3" s="59">
        <f ca="1">AVERAGE(OFFSET($DS$3,0,0,'Données projet'!$E$14+1,1))-AVERAGE(OFFSET($H$3,0,0,'Données projet'!$E$14+1,1))</f>
        <v>598.03945725240396</v>
      </c>
      <c r="DU3" s="59">
        <f>IF('Données projet'!E14&gt;30,$DS$33-$H$33,LOOKUP('Données projet'!$E$14,$A$3:$A$203,DS3:DS203)-LOOKUP('Données projet'!$E$14,$A$3:$A$203,$H$3:$H$203))</f>
        <v>313.9014686755695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172.19674999999998</v>
      </c>
      <c r="EO3" s="59">
        <f ca="1">AVERAGE(OFFSET($EN$3,0,0,'Données projet'!$E$15+1,1))-AVERAGE(OFFSET($H$3,0,0,'Données projet'!$E$15+1,1))</f>
        <v>438.27475674276604</v>
      </c>
      <c r="EP3" s="59">
        <f>IF('Données projet'!E15&gt;30,$EN$33-$H$33,LOOKUP('Données projet'!$E$15,$A$3:$A$203,EN3:EN203)-LOOKUP('Données projet'!$E$15,$A$3:$A$203,$H$3:$H$203))</f>
        <v>235.97720136798864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172.19674999999998</v>
      </c>
      <c r="FJ3" s="59">
        <f ca="1">AVERAGE(OFFSET($FI$3,0,0,'Données projet'!$E$16+1,1))-AVERAGE(OFFSET($H$3,0,0,'Données projet'!$E$16+1,1))</f>
        <v>329.49463758169588</v>
      </c>
      <c r="FK3" s="59">
        <f>IF('Données projet'!E16&gt;30,$FI$33-$H$33,LOOKUP('Données projet'!$E$16,$A$3:$A$203,FI3:FI203)-LOOKUP('Données projet'!$E$16,$A$3:$A$203,$H$3:$H$203))</f>
        <v>207.1447698203379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172.19674999999998</v>
      </c>
      <c r="GE3" s="59">
        <f ca="1">AVERAGE(OFFSET($GD$3,0,0,'Données projet'!$E$17+1,1))-AVERAGE(OFFSET($H$3,0,0,'Données projet'!$E$17+1,1))</f>
        <v>577.07444926285291</v>
      </c>
      <c r="GF3" s="59">
        <f>IF('Données projet'!E17&gt;30,$GD$33-$H$33,LOOKUP('Données projet'!$E$17,$A$3:$A$203,GD3:GD203)-LOOKUP('Données projet'!$E$17,$A$3:$A$203,$H$3:$H$203))</f>
        <v>501.3762209070419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46.96275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172.19674999999998</v>
      </c>
      <c r="GZ3" s="59">
        <f ca="1">AVERAGE(OFFSET($GY$3,0,0,'Données projet'!$E$18+1,1))-AVERAGE(OFFSET($H$3,0,0,'Données projet'!$E$18+1,1))</f>
        <v>212.75657290802619</v>
      </c>
      <c r="HA3" s="59">
        <f>IF('Données projet'!E18&gt;30,$GY$33-$H$33,LOOKUP('Données projet'!$E$18,$A$3:$A$203,GY3:GY203)-LOOKUP('Données projet'!$E$18,$A$3:$A$203,$H$3:$H$203))</f>
        <v>411.47446316045978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4.60745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16.893983333333335</v>
      </c>
      <c r="H4" s="66">
        <f t="shared" ref="H4:H67" si="1">(B4+E4+F4)*44/12+(C4+D4)*0.475*44/12</f>
        <v>189.09073333333333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177.58019429719926</v>
      </c>
      <c r="S4" s="59">
        <f ca="1">AVERAGE(OFFSET($R$3,0,0,'Données projet'!$E$9+1,1))-AVERAGE(OFFSET($H$3,0,0,'Données projet'!$E$9+1,1))</f>
        <v>564.49981446852132</v>
      </c>
      <c r="T4" s="59">
        <f>$T$3</f>
        <v>297.54722913785406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4.0628205133333335</v>
      </c>
      <c r="AI4" s="13">
        <f>IF('Données projet'!$A$62&gt;35,AI3+AH4-AQ3,IF(A4&lt;'Données projet'!$A$62,$AF$205^A4,IF(A4='Données projet'!$A$62,'Données projet'!$B$62,AI3+AH4-AQ3)))</f>
        <v>1.1736311550493581</v>
      </c>
      <c r="AJ4" s="13">
        <f>AI4*VLOOKUP('Données projet'!$B$10,Paramètres!$A$1:$I$89,3,0)*VLOOKUP('Données projet'!$B$10,Paramètres!$A$1:$I$89,5,0)</f>
        <v>1.1900619912200492</v>
      </c>
      <c r="AK4" s="13">
        <f>EXP(-1.0587+0.8836*LN(AJ4)+0.284)</f>
        <v>0.53743426225495639</v>
      </c>
      <c r="AL4" s="20">
        <f t="shared" ref="AL4:AL67" si="4">(AJ4+AK4)*0.475*44/12</f>
        <v>3.0087226414689678</v>
      </c>
      <c r="AM4" s="59">
        <f t="shared" ref="AM4:AM67" si="5">AL4+(AD4+AE4)*44/12</f>
        <v>177.89305907141542</v>
      </c>
      <c r="AN4" s="59">
        <f ca="1">AVERAGE(OFFSET($AM$3,0,0,'Données projet'!$E$10+1,1))-AVERAGE(OFFSET($H$3,0,0,'Données projet'!$E$10+1,1))</f>
        <v>623.16549611107564</v>
      </c>
      <c r="AO4" s="59">
        <f>$AO$3</f>
        <v>326.15178903425885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1.031988181230463</v>
      </c>
      <c r="BF4" s="13">
        <f>EXP(-1.0587+0.8836*LN(BE4)+0.284)</f>
        <v>0.47384363432899212</v>
      </c>
      <c r="BG4" s="20">
        <f t="shared" ref="BG4:BG67" si="7">(BE4+BF4)*0.475*44/12</f>
        <v>2.6226570787660513</v>
      </c>
      <c r="BH4" s="59">
        <f t="shared" ref="BH4:BH67" si="8">BG4+(AY4+AZ4)*44/12</f>
        <v>177.5069935087125</v>
      </c>
      <c r="BI4" s="59">
        <f ca="1">AVERAGE(OFFSET($BH$3,0,0,'Données projet'!$E$11+1,1))-AVERAGE(OFFSET($H$3,0,0,'Données projet'!$E$11+1,1))</f>
        <v>326.2912419133811</v>
      </c>
      <c r="BJ4" s="59">
        <f>$BJ$3</f>
        <v>315.07976787459938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</v>
      </c>
      <c r="BY4" s="12">
        <f>IF('Données projet'!$A$114&gt;35,BY3+BX4-CG3,IF(A4&lt;'Données projet'!$A$114,$BV$205^A4,IF(A4='Données projet'!$A$114,'Données projet'!$B$114,BY3+BX4-CG3)))</f>
        <v>1.4003603312913959</v>
      </c>
      <c r="BZ4" s="13">
        <f>BY4*VLOOKUP('Données projet'!$B$12,Paramètres!$A$1:$I$89,3,0)*VLOOKUP('Données projet'!$B$12,Paramètres!$A$1:$I$89,5,0)</f>
        <v>0.89567046789397686</v>
      </c>
      <c r="CA4" s="13">
        <f>EXP(-1.0587+0.8836*LN(BZ4)+0.284)</f>
        <v>0.41809046476321332</v>
      </c>
      <c r="CB4" s="20">
        <f t="shared" ref="CB4:CB67" si="10">(BZ4+CA4)*0.475*44/12</f>
        <v>2.2881336243779393</v>
      </c>
      <c r="CC4" s="59">
        <f t="shared" ref="CC4:CC67" si="11">CB4+(BT4+BU4)*44/12</f>
        <v>177.17247005432438</v>
      </c>
      <c r="CD4" s="59">
        <f ca="1">AVERAGE(OFFSET($CC$3,0,0,'Données projet'!$E$12+1,1))-AVERAGE(OFFSET($H$3,0,0,'Données projet'!$E$12+1,1))</f>
        <v>297.03992602744393</v>
      </c>
      <c r="CE4" s="59">
        <f>$CE$3</f>
        <v>265.2588848922893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1.0679972503054507</v>
      </c>
      <c r="CV4" s="13">
        <f>EXP(-1.0587+0.8836*LN(CU4)+0.284)</f>
        <v>0.48842359485523285</v>
      </c>
      <c r="CW4" s="20">
        <f t="shared" ref="CW4:CW67" si="13">(CU4+CV4)*0.475*44/12</f>
        <v>2.7107663053215236</v>
      </c>
      <c r="CX4" s="59">
        <f t="shared" ref="CX4:CX67" si="14">CW4+(CO4+CP4)*44/12</f>
        <v>177.59510273526797</v>
      </c>
      <c r="CY4" s="59">
        <f ca="1">AVERAGE(OFFSET($CX$3,0,0,'Données projet'!$E$13+1,1))-AVERAGE(OFFSET($H$3,0,0,'Données projet'!$E$13+1,1))</f>
        <v>427.42918901489531</v>
      </c>
      <c r="CZ4" s="59">
        <f>$CZ$3</f>
        <v>410.68601510655412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4.0628205133333335</v>
      </c>
      <c r="DO4" s="12">
        <f>IF('Données projet'!$A$166&gt;35,DO3+DN4-DW3,IF(A4&lt;'Données projet'!$A$166,$DL$205^A4,IF(A4='Données projet'!$A$166,'Données projet'!$B$166,DO3+DN4-DW3)))</f>
        <v>1.1736311550493581</v>
      </c>
      <c r="DP4" s="17">
        <f>DO4*VLOOKUP('Données projet'!$B$14,Paramètres!$A$1:$I$89,3,0)*VLOOKUP('Données projet'!$B$14,Paramètres!$A$1:$I$89,5,0)</f>
        <v>1.1351360531637393</v>
      </c>
      <c r="DQ4" s="13">
        <f>EXP(-1.0587+0.8836*LN(DP4)+0.284)</f>
        <v>0.51545695611912312</v>
      </c>
      <c r="DR4" s="20">
        <f t="shared" ref="DR4:DR67" si="16">(DP4+DQ4)*0.475*44/12</f>
        <v>2.874782824500985</v>
      </c>
      <c r="DS4" s="59">
        <f t="shared" ref="DS4:DS67" si="17">DR4+(DJ4+DK4)*44/12</f>
        <v>177.75911925444743</v>
      </c>
      <c r="DT4" s="59">
        <f ca="1">AVERAGE(OFFSET($DS$3,0,0,'Données projet'!$E$14+1,1))-AVERAGE(OFFSET($H$3,0,0,'Données projet'!$E$14+1,1))</f>
        <v>598.03945725240396</v>
      </c>
      <c r="DU4" s="59">
        <f>$DU$3</f>
        <v>313.9014686755695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4.0628205128205126</v>
      </c>
      <c r="EJ4" s="12">
        <f>IF('Données projet'!$A$192&gt;35,EJ3+EI4-ER3,IF(A4&lt;'Données projet'!$A$192,$EG$205^A4,IF(A4='Données projet'!$A$192,'Données projet'!$B$192,EJ3+EI4-ER3)))</f>
        <v>1.1736311550444201</v>
      </c>
      <c r="EK4" s="17">
        <f>EJ4*VLOOKUP('Données projet'!$B$15,Paramètres!$A$1:$I$89,3,0)*VLOOKUP('Données projet'!$B$15,Paramètres!$A$1:$I$89,5,0)</f>
        <v>0.78727177880379695</v>
      </c>
      <c r="EL4" s="13">
        <f>EXP(-1.0587+0.8836*LN(EK4)+0.284)</f>
        <v>0.37305067946141096</v>
      </c>
      <c r="EM4" s="20">
        <f t="shared" ref="EM4:EM67" si="19">(EK4+EL4)*0.475*44/12</f>
        <v>2.0208949481452367</v>
      </c>
      <c r="EN4" s="59">
        <f t="shared" ref="EN4:EN67" si="20">EM4+(EE4+EF4)*44/12</f>
        <v>176.90523137809168</v>
      </c>
      <c r="EO4" s="59">
        <f ca="1">AVERAGE(OFFSET($EN$3,0,0,'Données projet'!$E$15+1,1))-AVERAGE(OFFSET($H$3,0,0,'Données projet'!$E$15+1,1))</f>
        <v>438.27475674276604</v>
      </c>
      <c r="EP4" s="59">
        <f>$EP$3</f>
        <v>235.97720136798864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4.8773333333333335</v>
      </c>
      <c r="FE4" s="12">
        <f>IF('Données projet'!$A$218&gt;35,FE3+FD4-FM3,IF(A4&lt;'Données projet'!$A$218,$FB$205^A4,IF(A4='Données projet'!$A$218,'Données projet'!$B$218,FE3+FD4-FM3)))</f>
        <v>1.1808012106418171</v>
      </c>
      <c r="FF4" s="17">
        <f>FE4*VLOOKUP('Données projet'!$B$16,Paramètres!$A$1:$I$89,3,0)*VLOOKUP('Données projet'!$B$16,Paramètres!$A$1:$I$89,5,0)</f>
        <v>0.55261496658037046</v>
      </c>
      <c r="FG4" s="13">
        <f>EXP(-1.0587+0.8836*LN(FF4)+0.284)</f>
        <v>0.27287057878313026</v>
      </c>
      <c r="FH4" s="20">
        <f t="shared" ref="FH4:FH67" si="22">(FF4+FG4)*0.475*44/12</f>
        <v>1.4377206581747635</v>
      </c>
      <c r="FI4" s="59">
        <f t="shared" ref="FI4:FI67" si="23">FH4+(EZ4+FA4)*44/12</f>
        <v>176.3220570881212</v>
      </c>
      <c r="FJ4" s="59">
        <f ca="1">AVERAGE(OFFSET($FI$3,0,0,'Données projet'!$E$16+1,1))-AVERAGE(OFFSET($H$3,0,0,'Données projet'!$E$16+1,1))</f>
        <v>329.49463758169588</v>
      </c>
      <c r="FK4" s="59">
        <f>$FK$3</f>
        <v>207.1447698203379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8.6</v>
      </c>
      <c r="FZ4" s="12">
        <f>IF('Données projet'!$A$244&gt;35,FZ3+FY4-GH3,IF(A4&lt;'Données projet'!$A$244,$FW$205^A4,IF(A4='Données projet'!$A$244,'Données projet'!$B$244,FZ3+FY4-GH3)))</f>
        <v>1.3826300153206645</v>
      </c>
      <c r="GA4" s="17">
        <f>FZ4*VLOOKUP('Données projet'!$B$17,Paramètres!$A$1:$I$89,3,0)*VLOOKUP('Données projet'!$B$17,Paramètres!$A$1:$I$89,5,0)</f>
        <v>0.82681274916175751</v>
      </c>
      <c r="GB4" s="13">
        <f>EXP(-1.0587+0.8836*LN(GA4)+0.284)</f>
        <v>0.38955881454640179</v>
      </c>
      <c r="GC4" s="20">
        <f t="shared" ref="GC4:GC67" si="25">(GA4+GB4)*0.475*44/12</f>
        <v>2.1185138067917109</v>
      </c>
      <c r="GD4" s="59">
        <f t="shared" ref="GD4:GD67" si="26">GC4+(FU4+FV4)*44/12</f>
        <v>177.00285023673814</v>
      </c>
      <c r="GE4" s="59">
        <f ca="1">AVERAGE(OFFSET($GD$3,0,0,'Données projet'!$E$17+1,1))-AVERAGE(OFFSET($H$3,0,0,'Données projet'!$E$17+1,1))</f>
        <v>577.07444926285291</v>
      </c>
      <c r="GF4" s="59">
        <f>$GF$3</f>
        <v>501.3762209070419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47.362394783924792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10.683760683333334</v>
      </c>
      <c r="GU4" s="12">
        <f>IF('Données projet'!$A$270&gt;35,GU3+GT4-HC3,IF(A4&lt;'Données projet'!$A$270,$GR$205^A4,IF(A4='Données projet'!$A$270,'Données projet'!$B$270,GU3+GT4-HC3)))</f>
        <v>1.660847009958063</v>
      </c>
      <c r="GV4" s="17">
        <f>GU4*VLOOKUP('Données projet'!$B$18,Paramètres!$A$1:$I$89,3,0)*VLOOKUP('Données projet'!$B$18,Paramètres!$A$1:$I$89,5,0)</f>
        <v>0.87832233274622207</v>
      </c>
      <c r="GW4" s="13">
        <f>EXP(-1.0587+0.8836*LN(GV4)+0.284)</f>
        <v>0.41092699611968447</v>
      </c>
      <c r="GX4" s="20">
        <f t="shared" ref="GX4:GX67" si="28">(GV4+GW4)*0.475*44/12</f>
        <v>2.2454425811081209</v>
      </c>
      <c r="GY4" s="59">
        <f t="shared" ref="GY4:GY67" si="29">GX4+(GP4+GQ4)*44/12</f>
        <v>177.12977901105455</v>
      </c>
      <c r="GZ4" s="59">
        <f ca="1">AVERAGE(OFFSET($GY$3,0,0,'Données projet'!$E$18+1,1))-AVERAGE(OFFSET($H$3,0,0,'Données projet'!$E$18+1,1))</f>
        <v>212.75657290802619</v>
      </c>
      <c r="HA4" s="59">
        <f>$HA$3</f>
        <v>411.47446316045978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4.60745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16.893983333333335</v>
      </c>
      <c r="H5" s="66">
        <f t="shared" si="1"/>
        <v>189.09073333333333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180.69210450988191</v>
      </c>
      <c r="S5" s="59">
        <f ca="1">AVERAGE(OFFSET($R$3,0,0,'Données projet'!$E$9+1,1))-AVERAGE(OFFSET($H$3,0,0,'Données projet'!$E$9+1,1))</f>
        <v>564.49981446852132</v>
      </c>
      <c r="T5" s="59">
        <f t="shared" ref="T5:T68" si="34">$T$3</f>
        <v>297.54722913785406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4.0628205133333335</v>
      </c>
      <c r="AI5" s="13">
        <f>IF('Données projet'!$A$62&gt;35,AI4+AH5-AQ4,IF(A5&lt;'Données projet'!$A$62,$AF$205^A5,IF(A5='Données projet'!$A$62,'Données projet'!$B$62,AI4+AH5-AQ4)))</f>
        <v>1.3774100881024904</v>
      </c>
      <c r="AJ5" s="13">
        <f>AI5*VLOOKUP('Données projet'!$B$10,Paramètres!$A$1:$I$89,3,0)*VLOOKUP('Données projet'!$B$10,Paramètres!$A$1:$I$89,5,0)</f>
        <v>1.3966938293359255</v>
      </c>
      <c r="AK5" s="13">
        <f t="shared" ref="AK5:AK68" si="35">EXP(-1.0587+0.8836*LN(AJ5)+0.284)</f>
        <v>0.61910384026868615</v>
      </c>
      <c r="AL5" s="20">
        <f t="shared" si="4"/>
        <v>3.5108476078946986</v>
      </c>
      <c r="AM5" s="59">
        <f t="shared" si="5"/>
        <v>181.05734967484719</v>
      </c>
      <c r="AN5" s="59">
        <f ca="1">AVERAGE(OFFSET($AM$3,0,0,'Données projet'!$E$10+1,1))-AVERAGE(OFFSET($H$3,0,0,'Données projet'!$E$10+1,1))</f>
        <v>623.16549611107564</v>
      </c>
      <c r="AO5" s="59">
        <f t="shared" ref="AO5:AO68" si="36">$AO$3</f>
        <v>326.15178903425885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1.312869337030768</v>
      </c>
      <c r="BF5" s="13">
        <f t="shared" ref="BF5:BF68" si="37">EXP(-1.0587+0.8836*LN(BE5)+0.284)</f>
        <v>0.58615515240543437</v>
      </c>
      <c r="BG5" s="20">
        <f t="shared" si="7"/>
        <v>3.3074676524347191</v>
      </c>
      <c r="BH5" s="59">
        <f t="shared" si="8"/>
        <v>180.85396971938721</v>
      </c>
      <c r="BI5" s="59">
        <f ca="1">AVERAGE(OFFSET($BH$3,0,0,'Données projet'!$E$11+1,1))-AVERAGE(OFFSET($H$3,0,0,'Données projet'!$E$11+1,1))</f>
        <v>326.2912419133811</v>
      </c>
      <c r="BJ5" s="59">
        <f t="shared" ref="BJ5:BJ68" si="38">$BJ$3</f>
        <v>315.07976787459938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</v>
      </c>
      <c r="BY5" s="12">
        <f>IF('Données projet'!$A$114&gt;35,BY4+BX5-CG4,IF(A5&lt;'Données projet'!$A$114,$BV$205^A5,IF(A5='Données projet'!$A$114,'Données projet'!$B$114,BY4+BX5-CG4)))</f>
        <v>1.9610090574545482</v>
      </c>
      <c r="BZ5" s="13">
        <f>BY5*VLOOKUP('Données projet'!$B$12,Paramètres!$A$1:$I$89,3,0)*VLOOKUP('Données projet'!$B$12,Paramètres!$A$1:$I$89,5,0)</f>
        <v>1.2542613931479289</v>
      </c>
      <c r="CA5" s="13">
        <f t="shared" ref="CA5:CA68" si="39">EXP(-1.0587+0.8836*LN(BZ5)+0.284)</f>
        <v>0.56297323752192563</v>
      </c>
      <c r="CB5" s="20">
        <f t="shared" si="10"/>
        <v>3.1650169817499965</v>
      </c>
      <c r="CC5" s="59">
        <f t="shared" si="11"/>
        <v>180.71151904870248</v>
      </c>
      <c r="CD5" s="59">
        <f ca="1">AVERAGE(OFFSET($CC$3,0,0,'Données projet'!$E$12+1,1))-AVERAGE(OFFSET($H$3,0,0,'Données projet'!$E$12+1,1))</f>
        <v>297.03992602744393</v>
      </c>
      <c r="CE5" s="59">
        <f t="shared" ref="CE5:CE68" si="40">$CE$3</f>
        <v>265.2588848922893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1.4336577760935185</v>
      </c>
      <c r="CV5" s="13">
        <f t="shared" ref="CV5:CV68" si="41">EXP(-1.0587+0.8836*LN(CU5)+0.284)</f>
        <v>0.63355934907379652</v>
      </c>
      <c r="CW5" s="20">
        <f t="shared" si="13"/>
        <v>3.6004031596664068</v>
      </c>
      <c r="CX5" s="59">
        <f t="shared" si="14"/>
        <v>181.14690522661888</v>
      </c>
      <c r="CY5" s="59">
        <f ca="1">AVERAGE(OFFSET($CX$3,0,0,'Données projet'!$E$13+1,1))-AVERAGE(OFFSET($H$3,0,0,'Données projet'!$E$13+1,1))</f>
        <v>427.42918901489531</v>
      </c>
      <c r="CZ5" s="59">
        <f t="shared" ref="CZ5:CZ68" si="42">$CZ$3</f>
        <v>410.68601510655412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4.0628205133333335</v>
      </c>
      <c r="DO5" s="12">
        <f>IF('Données projet'!$A$166&gt;35,DO4+DN5-DW4,IF(A5&lt;'Données projet'!$A$166,$DL$205^A5,IF(A5='Données projet'!$A$166,'Données projet'!$B$166,DO4+DN5-DW4)))</f>
        <v>1.3774100881024904</v>
      </c>
      <c r="DP5" s="17">
        <f>DO5*VLOOKUP('Données projet'!$B$14,Paramètres!$A$1:$I$89,3,0)*VLOOKUP('Données projet'!$B$14,Paramètres!$A$1:$I$89,5,0)</f>
        <v>1.3322310372127288</v>
      </c>
      <c r="DQ5" s="13">
        <f t="shared" ref="DQ5:DQ68" si="43">EXP(-1.0587+0.8836*LN(DP5)+0.284)</f>
        <v>0.5937868190382829</v>
      </c>
      <c r="DR5" s="20">
        <f t="shared" si="16"/>
        <v>3.3544810996371788</v>
      </c>
      <c r="DS5" s="59">
        <f t="shared" si="17"/>
        <v>180.90098316658967</v>
      </c>
      <c r="DT5" s="59">
        <f ca="1">AVERAGE(OFFSET($DS$3,0,0,'Données projet'!$E$14+1,1))-AVERAGE(OFFSET($H$3,0,0,'Données projet'!$E$14+1,1))</f>
        <v>598.03945725240396</v>
      </c>
      <c r="DU5" s="59">
        <f t="shared" ref="DU5:DU68" si="44">$DU$3</f>
        <v>313.9014686755695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4.0628205128205126</v>
      </c>
      <c r="EJ5" s="12">
        <f>IF('Données projet'!$A$192&gt;35,EJ4+EI5-ER4,IF(A5&lt;'Données projet'!$A$192,$EG$205^A5,IF(A5='Données projet'!$A$192,'Données projet'!$B$192,EJ4+EI5-ER4)))</f>
        <v>1.3774100880908995</v>
      </c>
      <c r="EK5" s="17">
        <f>EJ5*VLOOKUP('Données projet'!$B$15,Paramètres!$A$1:$I$89,3,0)*VLOOKUP('Données projet'!$B$15,Paramètres!$A$1:$I$89,5,0)</f>
        <v>0.92396668709137542</v>
      </c>
      <c r="EL5" s="13">
        <f t="shared" ref="EL5:EL68" si="45">EXP(-1.0587+0.8836*LN(EK5)+0.284)</f>
        <v>0.42974020171229532</v>
      </c>
      <c r="EM5" s="20">
        <f t="shared" si="19"/>
        <v>2.3577061646663928</v>
      </c>
      <c r="EN5" s="59">
        <f t="shared" si="20"/>
        <v>179.90420823161887</v>
      </c>
      <c r="EO5" s="59">
        <f ca="1">AVERAGE(OFFSET($EN$3,0,0,'Données projet'!$E$15+1,1))-AVERAGE(OFFSET($H$3,0,0,'Données projet'!$E$15+1,1))</f>
        <v>438.27475674276604</v>
      </c>
      <c r="EP5" s="59">
        <f t="shared" ref="EP5:EP68" si="46">$EP$3</f>
        <v>235.97720136798864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4.8773333333333335</v>
      </c>
      <c r="FE5" s="12">
        <f>IF('Données projet'!$A$218&gt;35,FE4+FD5-FM4,IF(A5&lt;'Données projet'!$A$218,$FB$205^A5,IF(A5='Données projet'!$A$218,'Données projet'!$B$218,FE4+FD5-FM4)))</f>
        <v>1.3942914990531809</v>
      </c>
      <c r="FF5" s="17">
        <f>FE5*VLOOKUP('Données projet'!$B$16,Paramètres!$A$1:$I$89,3,0)*VLOOKUP('Données projet'!$B$16,Paramètres!$A$1:$I$89,5,0)</f>
        <v>0.65252842155688862</v>
      </c>
      <c r="FG5" s="13">
        <f t="shared" ref="FG5:FG68" si="47">EXP(-1.0587+0.8836*LN(FF5)+0.284)</f>
        <v>0.31603277419850306</v>
      </c>
      <c r="FH5" s="20">
        <f t="shared" si="22"/>
        <v>1.6869107492739737</v>
      </c>
      <c r="FI5" s="59">
        <f t="shared" si="23"/>
        <v>179.23341281622646</v>
      </c>
      <c r="FJ5" s="59">
        <f ca="1">AVERAGE(OFFSET($FI$3,0,0,'Données projet'!$E$16+1,1))-AVERAGE(OFFSET($H$3,0,0,'Données projet'!$E$16+1,1))</f>
        <v>329.49463758169588</v>
      </c>
      <c r="FK5" s="59">
        <f t="shared" ref="FK5:FK68" si="48">$FK$3</f>
        <v>207.1447698203379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8.6</v>
      </c>
      <c r="FZ5" s="12">
        <f>IF('Données projet'!$A$244&gt;35,FZ4+FY5-GH4,IF(A5&lt;'Données projet'!$A$244,$FW$205^A5,IF(A5='Données projet'!$A$244,'Données projet'!$B$244,FZ4+FY5-GH4)))</f>
        <v>1.911665759265621</v>
      </c>
      <c r="GA5" s="17">
        <f>FZ5*VLOOKUP('Données projet'!$B$17,Paramètres!$A$1:$I$89,3,0)*VLOOKUP('Données projet'!$B$17,Paramètres!$A$1:$I$89,5,0)</f>
        <v>1.1431761240408413</v>
      </c>
      <c r="GB5" s="13">
        <f t="shared" ref="GB5:GB68" si="49">EXP(-1.0587+0.8836*LN(GA5)+0.284)</f>
        <v>0.51868159790831159</v>
      </c>
      <c r="GC5" s="20">
        <f t="shared" si="25"/>
        <v>2.894402199061441</v>
      </c>
      <c r="GD5" s="59">
        <f t="shared" si="26"/>
        <v>180.44090426601392</v>
      </c>
      <c r="GE5" s="59">
        <f ca="1">AVERAGE(OFFSET($GD$3,0,0,'Données projet'!$E$17+1,1))-AVERAGE(OFFSET($H$3,0,0,'Données projet'!$E$17+1,1))</f>
        <v>577.07444926285291</v>
      </c>
      <c r="GF5" s="59">
        <f t="shared" ref="GF5:GF68" si="50">$GF$3</f>
        <v>501.3762209070419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47.755106624320376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10.683760683333334</v>
      </c>
      <c r="GU5" s="12">
        <f>IF('Données projet'!$A$270&gt;35,GU4+GT5-HC4,IF(A5&lt;'Données projet'!$A$270,$GR$205^A5,IF(A5='Données projet'!$A$270,'Données projet'!$B$270,GU4+GT5-HC4)))</f>
        <v>2.7584127904866382</v>
      </c>
      <c r="GV5" s="17">
        <f>GU5*VLOOKUP('Données projet'!$B$18,Paramètres!$A$1:$I$89,3,0)*VLOOKUP('Données projet'!$B$18,Paramètres!$A$1:$I$89,5,0)</f>
        <v>1.4587590201209539</v>
      </c>
      <c r="GW5" s="13">
        <f t="shared" ref="GW5:GW68" si="51">EXP(-1.0587+0.8836*LN(GV5)+0.284)</f>
        <v>0.64335093077354033</v>
      </c>
      <c r="GX5" s="20">
        <f t="shared" si="28"/>
        <v>3.6611748311412442</v>
      </c>
      <c r="GY5" s="59">
        <f t="shared" si="29"/>
        <v>181.20767689809372</v>
      </c>
      <c r="GZ5" s="59">
        <f ca="1">AVERAGE(OFFSET($GY$3,0,0,'Données projet'!$E$18+1,1))-AVERAGE(OFFSET($H$3,0,0,'Données projet'!$E$18+1,1))</f>
        <v>212.75657290802619</v>
      </c>
      <c r="HA5" s="59">
        <f t="shared" ref="HA5:HA68" si="52">$HA$3</f>
        <v>411.47446316045978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4.60745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16.893983333333335</v>
      </c>
      <c r="H6" s="66">
        <f t="shared" si="1"/>
        <v>189.09073333333333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183.85433755925587</v>
      </c>
      <c r="S6" s="59">
        <f ca="1">AVERAGE(OFFSET($R$3,0,0,'Données projet'!$E$9+1,1))-AVERAGE(OFFSET($H$3,0,0,'Données projet'!$E$9+1,1))</f>
        <v>564.49981446852132</v>
      </c>
      <c r="T6" s="59">
        <f t="shared" si="34"/>
        <v>297.54722913785406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4.0628205133333335</v>
      </c>
      <c r="AI6" s="13">
        <f>IF('Données projet'!$A$62&gt;35,AI5+AH6-AQ5,IF(A6&lt;'Données projet'!$A$62,$AF$205^A6,IF(A6='Données projet'!$A$62,'Données projet'!$B$62,AI5+AH6-AQ5)))</f>
        <v>1.6165713926763641</v>
      </c>
      <c r="AJ6" s="13">
        <f>AI6*VLOOKUP('Données projet'!$B$10,Paramètres!$A$1:$I$89,3,0)*VLOOKUP('Données projet'!$B$10,Paramètres!$A$1:$I$89,5,0)</f>
        <v>1.6392033921738332</v>
      </c>
      <c r="AK6" s="13">
        <f t="shared" si="35"/>
        <v>0.71318408958006496</v>
      </c>
      <c r="AL6" s="20">
        <f t="shared" si="4"/>
        <v>4.0970748640547061</v>
      </c>
      <c r="AM6" s="59">
        <f t="shared" si="5"/>
        <v>184.28076276899796</v>
      </c>
      <c r="AN6" s="59">
        <f ca="1">AVERAGE(OFFSET($AM$3,0,0,'Données projet'!$E$10+1,1))-AVERAGE(OFFSET($H$3,0,0,'Données projet'!$E$10+1,1))</f>
        <v>623.16549611107564</v>
      </c>
      <c r="AO6" s="59">
        <f t="shared" si="36"/>
        <v>326.15178903425885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1.6701992595113733</v>
      </c>
      <c r="BF6" s="13">
        <f t="shared" si="37"/>
        <v>0.72508700718957031</v>
      </c>
      <c r="BG6" s="20">
        <f t="shared" si="7"/>
        <v>4.1717902478374764</v>
      </c>
      <c r="BH6" s="59">
        <f t="shared" si="8"/>
        <v>184.35547815278071</v>
      </c>
      <c r="BI6" s="59">
        <f ca="1">AVERAGE(OFFSET($BH$3,0,0,'Données projet'!$E$11+1,1))-AVERAGE(OFFSET($H$3,0,0,'Données projet'!$E$11+1,1))</f>
        <v>326.2912419133811</v>
      </c>
      <c r="BJ6" s="59">
        <f t="shared" si="38"/>
        <v>315.07976787459938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</v>
      </c>
      <c r="BY6" s="12">
        <f>IF('Données projet'!$A$114&gt;35,BY5+BX6-CG5,IF(A6&lt;'Données projet'!$A$114,$BV$205^A6,IF(A6='Données projet'!$A$114,'Données projet'!$B$114,BY5+BX6-CG5)))</f>
        <v>2.7461192933624794</v>
      </c>
      <c r="BZ6" s="13">
        <f>BY6*VLOOKUP('Données projet'!$B$12,Paramètres!$A$1:$I$89,3,0)*VLOOKUP('Données projet'!$B$12,Paramètres!$A$1:$I$89,5,0)</f>
        <v>1.7564179000346416</v>
      </c>
      <c r="CA6" s="13">
        <f t="shared" si="39"/>
        <v>0.75806289039722008</v>
      </c>
      <c r="CB6" s="20">
        <f t="shared" si="10"/>
        <v>4.3793873766688254</v>
      </c>
      <c r="CC6" s="59">
        <f t="shared" si="11"/>
        <v>184.56307528161207</v>
      </c>
      <c r="CD6" s="59">
        <f ca="1">AVERAGE(OFFSET($CC$3,0,0,'Données projet'!$E$12+1,1))-AVERAGE(OFFSET($H$3,0,0,'Données projet'!$E$12+1,1))</f>
        <v>297.03992602744393</v>
      </c>
      <c r="CE6" s="59">
        <f t="shared" si="40"/>
        <v>265.2588848922893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1.9245130250715252</v>
      </c>
      <c r="CV6" s="13">
        <f t="shared" si="41"/>
        <v>0.82182239561499026</v>
      </c>
      <c r="CW6" s="20">
        <f t="shared" si="13"/>
        <v>4.7832008576956815</v>
      </c>
      <c r="CX6" s="59">
        <f t="shared" si="14"/>
        <v>184.96688876263892</v>
      </c>
      <c r="CY6" s="59">
        <f ca="1">AVERAGE(OFFSET($CX$3,0,0,'Données projet'!$E$13+1,1))-AVERAGE(OFFSET($H$3,0,0,'Données projet'!$E$13+1,1))</f>
        <v>427.42918901489531</v>
      </c>
      <c r="CZ6" s="59">
        <f t="shared" si="42"/>
        <v>410.68601510655412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4.0628205133333335</v>
      </c>
      <c r="DO6" s="12">
        <f>IF('Données projet'!$A$166&gt;35,DO5+DN6-DW5,IF(A6&lt;'Données projet'!$A$166,$DL$205^A6,IF(A6='Données projet'!$A$166,'Données projet'!$B$166,DO5+DN6-DW5)))</f>
        <v>1.6165713926763641</v>
      </c>
      <c r="DP6" s="17">
        <f>DO6*VLOOKUP('Données projet'!$B$14,Paramètres!$A$1:$I$89,3,0)*VLOOKUP('Données projet'!$B$14,Paramètres!$A$1:$I$89,5,0)</f>
        <v>1.5635478509965794</v>
      </c>
      <c r="DQ6" s="13">
        <f t="shared" si="43"/>
        <v>0.68401984351554634</v>
      </c>
      <c r="DR6" s="20">
        <f t="shared" si="16"/>
        <v>3.9145137346086183</v>
      </c>
      <c r="DS6" s="59">
        <f t="shared" si="17"/>
        <v>184.09820163955186</v>
      </c>
      <c r="DT6" s="59">
        <f ca="1">AVERAGE(OFFSET($DS$3,0,0,'Données projet'!$E$14+1,1))-AVERAGE(OFFSET($H$3,0,0,'Données projet'!$E$14+1,1))</f>
        <v>598.03945725240396</v>
      </c>
      <c r="DU6" s="59">
        <f t="shared" si="44"/>
        <v>313.9014686755695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4.0628205128205126</v>
      </c>
      <c r="EJ6" s="12">
        <f>IF('Données projet'!$A$192&gt;35,EJ5+EI6-ER5,IF(A6&lt;'Données projet'!$A$192,$EG$205^A6,IF(A6='Données projet'!$A$192,'Données projet'!$B$192,EJ5+EI6-ER5)))</f>
        <v>1.6165713926559588</v>
      </c>
      <c r="EK6" s="17">
        <f>EJ6*VLOOKUP('Données projet'!$B$15,Paramètres!$A$1:$I$89,3,0)*VLOOKUP('Données projet'!$B$15,Paramètres!$A$1:$I$89,5,0)</f>
        <v>1.0843960901936172</v>
      </c>
      <c r="EL6" s="13">
        <f t="shared" si="45"/>
        <v>0.49504437636824505</v>
      </c>
      <c r="EM6" s="20">
        <f t="shared" si="19"/>
        <v>2.7508588125952431</v>
      </c>
      <c r="EN6" s="59">
        <f t="shared" si="20"/>
        <v>182.9345467175385</v>
      </c>
      <c r="EO6" s="59">
        <f ca="1">AVERAGE(OFFSET($EN$3,0,0,'Données projet'!$E$15+1,1))-AVERAGE(OFFSET($H$3,0,0,'Données projet'!$E$15+1,1))</f>
        <v>438.27475674276604</v>
      </c>
      <c r="EP6" s="59">
        <f t="shared" si="46"/>
        <v>235.97720136798864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4.8773333333333335</v>
      </c>
      <c r="FE6" s="12">
        <f>IF('Données projet'!$A$218&gt;35,FE5+FD6-FM5,IF(A6&lt;'Données projet'!$A$218,$FB$205^A6,IF(A6='Données projet'!$A$218,'Données projet'!$B$218,FE5+FD6-FM5)))</f>
        <v>1.6463810900695901</v>
      </c>
      <c r="FF6" s="17">
        <f>FE6*VLOOKUP('Données projet'!$B$16,Paramètres!$A$1:$I$89,3,0)*VLOOKUP('Données projet'!$B$16,Paramètres!$A$1:$I$89,5,0)</f>
        <v>0.77050635015256808</v>
      </c>
      <c r="FG6" s="13">
        <f t="shared" si="47"/>
        <v>0.36602229090803245</v>
      </c>
      <c r="FH6" s="20">
        <f t="shared" si="22"/>
        <v>1.9794540498472124</v>
      </c>
      <c r="FI6" s="59">
        <f t="shared" si="23"/>
        <v>182.16314195479046</v>
      </c>
      <c r="FJ6" s="59">
        <f ca="1">AVERAGE(OFFSET($FI$3,0,0,'Données projet'!$E$16+1,1))-AVERAGE(OFFSET($H$3,0,0,'Données projet'!$E$16+1,1))</f>
        <v>329.49463758169588</v>
      </c>
      <c r="FK6" s="59">
        <f t="shared" si="48"/>
        <v>207.1447698203379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8.6</v>
      </c>
      <c r="FZ6" s="12">
        <f>IF('Données projet'!$A$244&gt;35,FZ5+FY6-GH5,IF(A6&lt;'Données projet'!$A$244,$FW$205^A6,IF(A6='Données projet'!$A$244,'Données projet'!$B$244,FZ5+FY6-GH5)))</f>
        <v>2.6431264580214155</v>
      </c>
      <c r="GA6" s="17">
        <f>FZ6*VLOOKUP('Données projet'!$B$17,Paramètres!$A$1:$I$89,3,0)*VLOOKUP('Données projet'!$B$17,Paramètres!$A$1:$I$89,5,0)</f>
        <v>1.5805896218968065</v>
      </c>
      <c r="GB6" s="13">
        <f t="shared" si="49"/>
        <v>0.69060329265550291</v>
      </c>
      <c r="GC6" s="20">
        <f t="shared" si="25"/>
        <v>3.9556609928452722</v>
      </c>
      <c r="GD6" s="59">
        <f t="shared" si="26"/>
        <v>184.13934889778852</v>
      </c>
      <c r="GE6" s="59">
        <f ca="1">AVERAGE(OFFSET($GD$3,0,0,'Données projet'!$E$17+1,1))-AVERAGE(OFFSET($H$3,0,0,'Données projet'!$E$17+1,1))</f>
        <v>577.07444926285291</v>
      </c>
      <c r="GF6" s="59">
        <f t="shared" si="50"/>
        <v>501.3762209070419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48.141005792257246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10.683760683333334</v>
      </c>
      <c r="GU6" s="12">
        <f>IF('Données projet'!$A$270&gt;35,GU5+GT6-HC5,IF(A6&lt;'Données projet'!$A$270,$GR$205^A6,IF(A6='Données projet'!$A$270,'Données projet'!$B$270,GU5+GT6-HC5)))</f>
        <v>4.5813016353098099</v>
      </c>
      <c r="GV6" s="17">
        <f>GU6*VLOOKUP('Données projet'!$B$18,Paramètres!$A$1:$I$89,3,0)*VLOOKUP('Données projet'!$B$18,Paramètres!$A$1:$I$89,5,0)</f>
        <v>2.4227755568172404</v>
      </c>
      <c r="GW6" s="13">
        <f t="shared" si="51"/>
        <v>1.0072358935664334</v>
      </c>
      <c r="GX6" s="20">
        <f t="shared" si="28"/>
        <v>5.9739366094182316</v>
      </c>
      <c r="GY6" s="59">
        <f t="shared" si="29"/>
        <v>186.15762451436149</v>
      </c>
      <c r="GZ6" s="59">
        <f ca="1">AVERAGE(OFFSET($GY$3,0,0,'Données projet'!$E$18+1,1))-AVERAGE(OFFSET($H$3,0,0,'Données projet'!$E$18+1,1))</f>
        <v>212.75657290802619</v>
      </c>
      <c r="HA6" s="59">
        <f t="shared" si="52"/>
        <v>411.47446316045978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4.60745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16.893983333333335</v>
      </c>
      <c r="H7" s="66">
        <f t="shared" si="1"/>
        <v>189.09073333333333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187.07997814931323</v>
      </c>
      <c r="S7" s="59">
        <f ca="1">AVERAGE(OFFSET($R$3,0,0,'Données projet'!$E$9+1,1))-AVERAGE(OFFSET($H$3,0,0,'Données projet'!$E$9+1,1))</f>
        <v>564.49981446852132</v>
      </c>
      <c r="T7" s="59">
        <f t="shared" si="34"/>
        <v>297.54722913785406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4.0628205133333335</v>
      </c>
      <c r="AI7" s="13">
        <f>IF('Données projet'!$A$62&gt;35,AI6+AH7-AQ6,IF(A7&lt;'Données projet'!$A$62,$AF$205^A7,IF(A7='Données projet'!$A$62,'Données projet'!$B$62,AI6+AH7-AQ6)))</f>
        <v>1.8972585508065105</v>
      </c>
      <c r="AJ7" s="13">
        <f>AI7*VLOOKUP('Données projet'!$B$10,Paramètres!$A$1:$I$89,3,0)*VLOOKUP('Données projet'!$B$10,Paramètres!$A$1:$I$89,5,0)</f>
        <v>1.9238201705178017</v>
      </c>
      <c r="AK7" s="13">
        <f t="shared" si="35"/>
        <v>0.82156096045116445</v>
      </c>
      <c r="AL7" s="20">
        <f t="shared" si="4"/>
        <v>4.7815388031042829</v>
      </c>
      <c r="AM7" s="59">
        <f t="shared" si="5"/>
        <v>187.57786609068938</v>
      </c>
      <c r="AN7" s="59">
        <f ca="1">AVERAGE(OFFSET($AM$3,0,0,'Données projet'!$E$10+1,1))-AVERAGE(OFFSET($H$3,0,0,'Données projet'!$E$10+1,1))</f>
        <v>623.16549611107564</v>
      </c>
      <c r="AO7" s="59">
        <f t="shared" si="36"/>
        <v>326.15178903425885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2.1247853748959664</v>
      </c>
      <c r="BF7" s="13">
        <f t="shared" si="37"/>
        <v>0.89694881267796833</v>
      </c>
      <c r="BG7" s="20">
        <f t="shared" si="7"/>
        <v>5.2628537100246024</v>
      </c>
      <c r="BH7" s="59">
        <f t="shared" si="8"/>
        <v>188.05918099760973</v>
      </c>
      <c r="BI7" s="59">
        <f ca="1">AVERAGE(OFFSET($BH$3,0,0,'Données projet'!$E$11+1,1))-AVERAGE(OFFSET($H$3,0,0,'Données projet'!$E$11+1,1))</f>
        <v>326.2912419133811</v>
      </c>
      <c r="BJ7" s="59">
        <f t="shared" si="38"/>
        <v>315.07976787459938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</v>
      </c>
      <c r="BY7" s="12">
        <f>IF('Données projet'!$A$114&gt;35,BY6+BX7-CG6,IF(A7&lt;'Données projet'!$A$114,$BV$205^A7,IF(A7='Données projet'!$A$114,'Données projet'!$B$114,BY6+BX7-CG6)))</f>
        <v>3.8455565234187756</v>
      </c>
      <c r="BZ7" s="13">
        <f>BY7*VLOOKUP('Données projet'!$B$12,Paramètres!$A$1:$I$89,3,0)*VLOOKUP('Données projet'!$B$12,Paramètres!$A$1:$I$89,5,0)</f>
        <v>2.459617952378649</v>
      </c>
      <c r="CA7" s="13">
        <f t="shared" si="39"/>
        <v>1.0207578397987471</v>
      </c>
      <c r="CB7" s="20">
        <f t="shared" si="10"/>
        <v>6.0616545047089643</v>
      </c>
      <c r="CC7" s="59">
        <f t="shared" si="11"/>
        <v>188.85798179229408</v>
      </c>
      <c r="CD7" s="59">
        <f ca="1">AVERAGE(OFFSET($CC$3,0,0,'Données projet'!$E$12+1,1))-AVERAGE(OFFSET($H$3,0,0,'Données projet'!$E$12+1,1))</f>
        <v>297.03992602744393</v>
      </c>
      <c r="CE7" s="59">
        <f t="shared" si="40"/>
        <v>265.2588848922893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2.5834271228675387</v>
      </c>
      <c r="CV7" s="13">
        <f t="shared" si="41"/>
        <v>1.066028069701316</v>
      </c>
      <c r="CW7" s="20">
        <f t="shared" si="13"/>
        <v>6.3561344603907548</v>
      </c>
      <c r="CX7" s="59">
        <f t="shared" si="14"/>
        <v>189.15246174797588</v>
      </c>
      <c r="CY7" s="59">
        <f ca="1">AVERAGE(OFFSET($CX$3,0,0,'Données projet'!$E$13+1,1))-AVERAGE(OFFSET($H$3,0,0,'Données projet'!$E$13+1,1))</f>
        <v>427.42918901489531</v>
      </c>
      <c r="CZ7" s="59">
        <f t="shared" si="42"/>
        <v>410.68601510655412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4.0628205133333335</v>
      </c>
      <c r="DO7" s="12">
        <f>IF('Données projet'!$A$166&gt;35,DO6+DN7-DW6,IF(A7&lt;'Données projet'!$A$166,$DL$205^A7,IF(A7='Données projet'!$A$166,'Données projet'!$B$166,DO6+DN7-DW6)))</f>
        <v>1.8972585508065105</v>
      </c>
      <c r="DP7" s="17">
        <f>DO7*VLOOKUP('Données projet'!$B$14,Paramètres!$A$1:$I$89,3,0)*VLOOKUP('Données projet'!$B$14,Paramètres!$A$1:$I$89,5,0)</f>
        <v>1.8350284703400572</v>
      </c>
      <c r="DQ7" s="13">
        <f t="shared" si="43"/>
        <v>0.78796485762488266</v>
      </c>
      <c r="DR7" s="20">
        <f t="shared" si="16"/>
        <v>4.5683800462056032</v>
      </c>
      <c r="DS7" s="59">
        <f t="shared" si="17"/>
        <v>187.3647073337907</v>
      </c>
      <c r="DT7" s="59">
        <f ca="1">AVERAGE(OFFSET($DS$3,0,0,'Données projet'!$E$14+1,1))-AVERAGE(OFFSET($H$3,0,0,'Données projet'!$E$14+1,1))</f>
        <v>598.03945725240396</v>
      </c>
      <c r="DU7" s="59">
        <f t="shared" si="44"/>
        <v>313.9014686755695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4.0628205128205126</v>
      </c>
      <c r="EJ7" s="12">
        <f>IF('Données projet'!$A$192&gt;35,EJ6+EI7-ER6,IF(A7&lt;'Données projet'!$A$192,$EG$205^A7,IF(A7='Données projet'!$A$192,'Données projet'!$B$192,EJ6+EI7-ER6)))</f>
        <v>1.8972585507745794</v>
      </c>
      <c r="EK7" s="17">
        <f>EJ7*VLOOKUP('Données projet'!$B$15,Paramètres!$A$1:$I$89,3,0)*VLOOKUP('Données projet'!$B$15,Paramètres!$A$1:$I$89,5,0)</f>
        <v>1.2726810358595879</v>
      </c>
      <c r="EL7" s="13">
        <f t="shared" si="45"/>
        <v>0.57027230312023414</v>
      </c>
      <c r="EM7" s="20">
        <f t="shared" si="19"/>
        <v>3.2098103987231901</v>
      </c>
      <c r="EN7" s="59">
        <f t="shared" si="20"/>
        <v>186.00613768630831</v>
      </c>
      <c r="EO7" s="59">
        <f ca="1">AVERAGE(OFFSET($EN$3,0,0,'Données projet'!$E$15+1,1))-AVERAGE(OFFSET($H$3,0,0,'Données projet'!$E$15+1,1))</f>
        <v>438.27475674276604</v>
      </c>
      <c r="EP7" s="59">
        <f t="shared" si="46"/>
        <v>235.97720136798864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4.8773333333333335</v>
      </c>
      <c r="FE7" s="12">
        <f>IF('Données projet'!$A$218&gt;35,FE6+FD7-FM6,IF(A7&lt;'Données projet'!$A$218,$FB$205^A7,IF(A7='Données projet'!$A$218,'Données projet'!$B$218,FE6+FD7-FM6)))</f>
        <v>1.9440487843319665</v>
      </c>
      <c r="FF7" s="17">
        <f>FE7*VLOOKUP('Données projet'!$B$16,Paramètres!$A$1:$I$89,3,0)*VLOOKUP('Données projet'!$B$16,Paramètres!$A$1:$I$89,5,0)</f>
        <v>0.90981483106736027</v>
      </c>
      <c r="FG7" s="13">
        <f t="shared" si="47"/>
        <v>0.42391906276598723</v>
      </c>
      <c r="FH7" s="20">
        <f t="shared" si="22"/>
        <v>2.32291986509308</v>
      </c>
      <c r="FI7" s="59">
        <f t="shared" si="23"/>
        <v>185.11924715267818</v>
      </c>
      <c r="FJ7" s="59">
        <f ca="1">AVERAGE(OFFSET($FI$3,0,0,'Données projet'!$E$16+1,1))-AVERAGE(OFFSET($H$3,0,0,'Données projet'!$E$16+1,1))</f>
        <v>329.49463758169588</v>
      </c>
      <c r="FK7" s="59">
        <f t="shared" si="48"/>
        <v>207.1447698203379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8.6</v>
      </c>
      <c r="FZ7" s="12">
        <f>IF('Données projet'!$A$244&gt;35,FZ6+FY7-GH6,IF(A7&lt;'Données projet'!$A$244,$FW$205^A7,IF(A7='Données projet'!$A$244,'Données projet'!$B$244,FZ6+FY7-GH6)))</f>
        <v>3.6544659751486033</v>
      </c>
      <c r="GA7" s="17">
        <f>FZ7*VLOOKUP('Données projet'!$B$17,Paramètres!$A$1:$I$89,3,0)*VLOOKUP('Données projet'!$B$17,Paramètres!$A$1:$I$89,5,0)</f>
        <v>2.185370653138865</v>
      </c>
      <c r="GB7" s="13">
        <f t="shared" si="49"/>
        <v>0.9195099840633455</v>
      </c>
      <c r="GC7" s="20">
        <f t="shared" si="25"/>
        <v>5.4076671097938496</v>
      </c>
      <c r="GD7" s="59">
        <f t="shared" si="26"/>
        <v>188.20399439737898</v>
      </c>
      <c r="GE7" s="59">
        <f ca="1">AVERAGE(OFFSET($GD$3,0,0,'Données projet'!$E$17+1,1))-AVERAGE(OFFSET($H$3,0,0,'Données projet'!$E$17+1,1))</f>
        <v>577.07444926285291</v>
      </c>
      <c r="GF7" s="59">
        <f t="shared" si="50"/>
        <v>501.3762209070419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48.520210472371694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10.683760683333334</v>
      </c>
      <c r="GU7" s="12">
        <f>IF('Données projet'!$A$270&gt;35,GU6+GT7-HC6,IF(A7&lt;'Données projet'!$A$270,$GR$205^A7,IF(A7='Données projet'!$A$270,'Données projet'!$B$270,GU6+GT7-HC6)))</f>
        <v>7.6088411227202828</v>
      </c>
      <c r="GV7" s="17">
        <f>GU7*VLOOKUP('Données projet'!$B$18,Paramètres!$A$1:$I$89,3,0)*VLOOKUP('Données projet'!$B$18,Paramètres!$A$1:$I$89,5,0)</f>
        <v>4.0238595393393943</v>
      </c>
      <c r="GW7" s="13">
        <f t="shared" si="51"/>
        <v>1.5769374019071472</v>
      </c>
      <c r="GX7" s="20">
        <f t="shared" si="28"/>
        <v>9.7547213393377259</v>
      </c>
      <c r="GY7" s="59">
        <f t="shared" si="29"/>
        <v>192.55104862692284</v>
      </c>
      <c r="GZ7" s="59">
        <f ca="1">AVERAGE(OFFSET($GY$3,0,0,'Données projet'!$E$18+1,1))-AVERAGE(OFFSET($H$3,0,0,'Données projet'!$E$18+1,1))</f>
        <v>212.75657290802619</v>
      </c>
      <c r="HA7" s="59">
        <f t="shared" si="52"/>
        <v>411.47446316045978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4.60745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16.893983333333335</v>
      </c>
      <c r="H8" s="66">
        <f t="shared" si="1"/>
        <v>189.09073333333333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190.38423577736822</v>
      </c>
      <c r="S8" s="59">
        <f ca="1">AVERAGE(OFFSET($R$3,0,0,'Données projet'!$E$9+1,1))-AVERAGE(OFFSET($H$3,0,0,'Données projet'!$E$9+1,1))</f>
        <v>564.49981446852132</v>
      </c>
      <c r="T8" s="59">
        <f t="shared" si="34"/>
        <v>297.54722913785406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4.0628205133333335</v>
      </c>
      <c r="AI8" s="13">
        <f>IF('Données projet'!$A$62&gt;35,AI7+AH8-AQ7,IF(A8&lt;'Données projet'!$A$62,$AF$205^A8,IF(A8='Données projet'!$A$62,'Données projet'!$B$62,AI7+AH8-AQ7)))</f>
        <v>2.2266817444103162</v>
      </c>
      <c r="AJ8" s="13">
        <f>AI8*VLOOKUP('Données projet'!$B$10,Paramètres!$A$1:$I$89,3,0)*VLOOKUP('Données projet'!$B$10,Paramètres!$A$1:$I$89,5,0)</f>
        <v>2.2578552888320607</v>
      </c>
      <c r="AK8" s="13">
        <f t="shared" si="35"/>
        <v>0.94640699589199906</v>
      </c>
      <c r="AL8" s="20">
        <f t="shared" si="4"/>
        <v>5.58075681256107</v>
      </c>
      <c r="AM8" s="59">
        <f t="shared" si="5"/>
        <v>190.96560285356185</v>
      </c>
      <c r="AN8" s="59">
        <f ca="1">AVERAGE(OFFSET($AM$3,0,0,'Données projet'!$E$10+1,1))-AVERAGE(OFFSET($H$3,0,0,'Données projet'!$E$10+1,1))</f>
        <v>623.16549611107564</v>
      </c>
      <c r="AO8" s="59">
        <f t="shared" si="36"/>
        <v>326.15178903425885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2.703098366055197</v>
      </c>
      <c r="BF8" s="13">
        <f t="shared" si="37"/>
        <v>1.1095457022222992</v>
      </c>
      <c r="BG8" s="20">
        <f t="shared" si="7"/>
        <v>6.6403550855833053</v>
      </c>
      <c r="BH8" s="59">
        <f t="shared" si="8"/>
        <v>192.02520112658408</v>
      </c>
      <c r="BI8" s="59">
        <f ca="1">AVERAGE(OFFSET($BH$3,0,0,'Données projet'!$E$11+1,1))-AVERAGE(OFFSET($H$3,0,0,'Données projet'!$E$11+1,1))</f>
        <v>326.2912419133811</v>
      </c>
      <c r="BJ8" s="59">
        <f t="shared" si="38"/>
        <v>315.07976787459938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</v>
      </c>
      <c r="BY8" s="12">
        <f>IF('Données projet'!$A$114&gt;35,BY7+BX8-CG7,IF(A8&lt;'Données projet'!$A$114,$BV$205^A8,IF(A8='Données projet'!$A$114,'Données projet'!$B$114,BY7+BX8-CG7)))</f>
        <v>5.3851648071345055</v>
      </c>
      <c r="BZ8" s="13">
        <f>BY8*VLOOKUP('Données projet'!$B$12,Paramètres!$A$1:$I$89,3,0)*VLOOKUP('Données projet'!$B$12,Paramètres!$A$1:$I$89,5,0)</f>
        <v>3.4443514106432298</v>
      </c>
      <c r="CA8" s="13">
        <f t="shared" si="39"/>
        <v>1.3744856537755477</v>
      </c>
      <c r="CB8" s="20">
        <f t="shared" si="10"/>
        <v>8.392807887196037</v>
      </c>
      <c r="CC8" s="59">
        <f t="shared" si="11"/>
        <v>193.7776539281968</v>
      </c>
      <c r="CD8" s="59">
        <f ca="1">AVERAGE(OFFSET($CC$3,0,0,'Données projet'!$E$12+1,1))-AVERAGE(OFFSET($H$3,0,0,'Données projet'!$E$12+1,1))</f>
        <v>297.03992602744393</v>
      </c>
      <c r="CE8" s="59">
        <f t="shared" si="40"/>
        <v>265.2588848922893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3.467939999480961</v>
      </c>
      <c r="CV8" s="13">
        <f t="shared" si="41"/>
        <v>1.382799801337496</v>
      </c>
      <c r="CW8" s="20">
        <f t="shared" si="13"/>
        <v>8.4483718197588118</v>
      </c>
      <c r="CX8" s="59">
        <f t="shared" si="14"/>
        <v>193.83321786075959</v>
      </c>
      <c r="CY8" s="59">
        <f ca="1">AVERAGE(OFFSET($CX$3,0,0,'Données projet'!$E$13+1,1))-AVERAGE(OFFSET($H$3,0,0,'Données projet'!$E$13+1,1))</f>
        <v>427.42918901489531</v>
      </c>
      <c r="CZ8" s="59">
        <f t="shared" si="42"/>
        <v>410.68601510655412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4.0628205133333335</v>
      </c>
      <c r="DO8" s="12">
        <f>IF('Données projet'!$A$166&gt;35,DO7+DN8-DW7,IF(A8&lt;'Données projet'!$A$166,$DL$205^A8,IF(A8='Données projet'!$A$166,'Données projet'!$B$166,DO7+DN8-DW7)))</f>
        <v>2.2266817444103162</v>
      </c>
      <c r="DP8" s="17">
        <f>DO8*VLOOKUP('Données projet'!$B$14,Paramètres!$A$1:$I$89,3,0)*VLOOKUP('Données projet'!$B$14,Paramètres!$A$1:$I$89,5,0)</f>
        <v>2.153646583193658</v>
      </c>
      <c r="DQ8" s="13">
        <f t="shared" si="43"/>
        <v>0.9077055625473095</v>
      </c>
      <c r="DR8" s="20">
        <f t="shared" si="16"/>
        <v>5.3318549871655181</v>
      </c>
      <c r="DS8" s="59">
        <f t="shared" si="17"/>
        <v>190.71670102816628</v>
      </c>
      <c r="DT8" s="59">
        <f ca="1">AVERAGE(OFFSET($DS$3,0,0,'Données projet'!$E$14+1,1))-AVERAGE(OFFSET($H$3,0,0,'Données projet'!$E$14+1,1))</f>
        <v>598.03945725240396</v>
      </c>
      <c r="DU8" s="59">
        <f t="shared" si="44"/>
        <v>313.9014686755695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4.0628205128205126</v>
      </c>
      <c r="EJ8" s="12">
        <f>IF('Données projet'!$A$192&gt;35,EJ7+EI8-ER7,IF(A8&lt;'Données projet'!$A$192,$EG$205^A8,IF(A8='Données projet'!$A$192,'Données projet'!$B$192,EJ7+EI8-ER7)))</f>
        <v>2.2266817443634719</v>
      </c>
      <c r="EK8" s="17">
        <f>EJ8*VLOOKUP('Données projet'!$B$15,Paramètres!$A$1:$I$89,3,0)*VLOOKUP('Données projet'!$B$15,Paramètres!$A$1:$I$89,5,0)</f>
        <v>1.4936581141190168</v>
      </c>
      <c r="EL8" s="13">
        <f t="shared" si="45"/>
        <v>0.65693201504857468</v>
      </c>
      <c r="EM8" s="20">
        <f t="shared" si="19"/>
        <v>3.7456111416335549</v>
      </c>
      <c r="EN8" s="59">
        <f t="shared" si="20"/>
        <v>189.13045718263433</v>
      </c>
      <c r="EO8" s="59">
        <f ca="1">AVERAGE(OFFSET($EN$3,0,0,'Données projet'!$E$15+1,1))-AVERAGE(OFFSET($H$3,0,0,'Données projet'!$E$15+1,1))</f>
        <v>438.27475674276604</v>
      </c>
      <c r="EP8" s="59">
        <f t="shared" si="46"/>
        <v>235.97720136798864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4.8773333333333335</v>
      </c>
      <c r="FE8" s="12">
        <f>IF('Données projet'!$A$218&gt;35,FE7+FD8-FM7,IF(A8&lt;'Données projet'!$A$218,$FB$205^A8,IF(A8='Données projet'!$A$218,'Données projet'!$B$218,FE7+FD8-FM7)))</f>
        <v>2.2955351580859387</v>
      </c>
      <c r="FF8" s="17">
        <f>FE8*VLOOKUP('Données projet'!$B$16,Paramètres!$A$1:$I$89,3,0)*VLOOKUP('Données projet'!$B$16,Paramètres!$A$1:$I$89,5,0)</f>
        <v>1.0743104539842192</v>
      </c>
      <c r="FG8" s="13">
        <f t="shared" si="47"/>
        <v>0.49097384569276598</v>
      </c>
      <c r="FH8" s="20">
        <f t="shared" si="22"/>
        <v>2.726203488604082</v>
      </c>
      <c r="FI8" s="59">
        <f t="shared" si="23"/>
        <v>188.11104952960486</v>
      </c>
      <c r="FJ8" s="59">
        <f ca="1">AVERAGE(OFFSET($FI$3,0,0,'Données projet'!$E$16+1,1))-AVERAGE(OFFSET($H$3,0,0,'Données projet'!$E$16+1,1))</f>
        <v>329.49463758169588</v>
      </c>
      <c r="FK8" s="59">
        <f t="shared" si="48"/>
        <v>207.1447698203379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8.6</v>
      </c>
      <c r="FZ8" s="12">
        <f>IF('Données projet'!$A$244&gt;35,FZ7+FY8-GH7,IF(A8&lt;'Données projet'!$A$244,$FW$205^A8,IF(A8='Données projet'!$A$244,'Données projet'!$B$244,FZ7+FY8-GH7)))</f>
        <v>5.0527743472085609</v>
      </c>
      <c r="GA8" s="17">
        <f>FZ8*VLOOKUP('Données projet'!$B$17,Paramètres!$A$1:$I$89,3,0)*VLOOKUP('Données projet'!$B$17,Paramètres!$A$1:$I$89,5,0)</f>
        <v>3.0215590596307198</v>
      </c>
      <c r="GB8" s="13">
        <f t="shared" si="49"/>
        <v>1.2242898633469712</v>
      </c>
      <c r="GC8" s="20">
        <f t="shared" si="25"/>
        <v>7.3948535408528118</v>
      </c>
      <c r="GD8" s="59">
        <f t="shared" si="26"/>
        <v>192.77969958185358</v>
      </c>
      <c r="GE8" s="59">
        <f ca="1">AVERAGE(OFFSET($GD$3,0,0,'Données projet'!$E$17+1,1))-AVERAGE(OFFSET($H$3,0,0,'Données projet'!$E$17+1,1))</f>
        <v>577.07444926285291</v>
      </c>
      <c r="GF8" s="59">
        <f t="shared" si="50"/>
        <v>501.3762209070419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48.892836799060824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10.683760683333334</v>
      </c>
      <c r="GU8" s="12">
        <f>IF('Données projet'!$A$270&gt;35,GU7+GT8-HC7,IF(A8&lt;'Données projet'!$A$270,$GR$205^A8,IF(A8='Données projet'!$A$270,'Données projet'!$B$270,GU7+GT8-HC7)))</f>
        <v>12.637121027915933</v>
      </c>
      <c r="GV8" s="17">
        <f>GU8*VLOOKUP('Données projet'!$B$18,Paramètres!$A$1:$I$89,3,0)*VLOOKUP('Données projet'!$B$18,Paramètres!$A$1:$I$89,5,0)</f>
        <v>6.6830150844030634</v>
      </c>
      <c r="GW8" s="13">
        <f t="shared" si="51"/>
        <v>2.4688671098967818</v>
      </c>
      <c r="GX8" s="20">
        <f t="shared" si="28"/>
        <v>15.939528155072226</v>
      </c>
      <c r="GY8" s="59">
        <f t="shared" si="29"/>
        <v>201.32437419607299</v>
      </c>
      <c r="GZ8" s="59">
        <f ca="1">AVERAGE(OFFSET($GY$3,0,0,'Données projet'!$E$18+1,1))-AVERAGE(OFFSET($H$3,0,0,'Données projet'!$E$18+1,1))</f>
        <v>212.75657290802619</v>
      </c>
      <c r="HA8" s="59">
        <f t="shared" si="52"/>
        <v>411.47446316045978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4.60745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16.893983333333335</v>
      </c>
      <c r="H9" s="66">
        <f t="shared" si="1"/>
        <v>189.09073333333333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193.78480531987984</v>
      </c>
      <c r="S9" s="59">
        <f ca="1">AVERAGE(OFFSET($R$3,0,0,'Données projet'!$E$9+1,1))-AVERAGE(OFFSET($H$3,0,0,'Données projet'!$E$9+1,1))</f>
        <v>564.49981446852132</v>
      </c>
      <c r="T9" s="59">
        <f t="shared" si="34"/>
        <v>297.54722913785406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4.0628205133333335</v>
      </c>
      <c r="AI9" s="13">
        <f>IF('Données projet'!$A$62&gt;35,AI8+AH9-AQ8,IF(A9&lt;'Données projet'!$A$62,$AF$205^A9,IF(A9='Données projet'!$A$62,'Données projet'!$B$62,AI8+AH9-AQ8)))</f>
        <v>2.613303067619599</v>
      </c>
      <c r="AJ9" s="13">
        <f>AI9*VLOOKUP('Données projet'!$B$10,Paramètres!$A$1:$I$89,3,0)*VLOOKUP('Données projet'!$B$10,Paramètres!$A$1:$I$89,5,0)</f>
        <v>2.6498893105662735</v>
      </c>
      <c r="AK9" s="13">
        <f t="shared" si="35"/>
        <v>1.0902248828637717</v>
      </c>
      <c r="AL9" s="20">
        <f t="shared" si="4"/>
        <v>6.5140322202239958</v>
      </c>
      <c r="AM9" s="59">
        <f t="shared" si="5"/>
        <v>194.46369482440571</v>
      </c>
      <c r="AN9" s="59">
        <f ca="1">AVERAGE(OFFSET($AM$3,0,0,'Données projet'!$E$10+1,1))-AVERAGE(OFFSET($H$3,0,0,'Données projet'!$E$10+1,1))</f>
        <v>623.16549611107564</v>
      </c>
      <c r="AO9" s="59">
        <f t="shared" si="36"/>
        <v>326.15178903425885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3.4388135681365122</v>
      </c>
      <c r="BF9" s="13">
        <f t="shared" si="37"/>
        <v>1.3725327999982246</v>
      </c>
      <c r="BG9" s="20">
        <f t="shared" si="7"/>
        <v>8.3797615911680001</v>
      </c>
      <c r="BH9" s="59">
        <f t="shared" si="8"/>
        <v>196.32942419534973</v>
      </c>
      <c r="BI9" s="59">
        <f ca="1">AVERAGE(OFFSET($BH$3,0,0,'Données projet'!$E$11+1,1))-AVERAGE(OFFSET($H$3,0,0,'Données projet'!$E$11+1,1))</f>
        <v>326.2912419133811</v>
      </c>
      <c r="BJ9" s="59">
        <f t="shared" si="38"/>
        <v>315.07976787459938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</v>
      </c>
      <c r="BY9" s="12">
        <f>IF('Données projet'!$A$114&gt;35,BY8+BX9-CG8,IF(A9&lt;'Données projet'!$A$114,$BV$205^A9,IF(A9='Données projet'!$A$114,'Données projet'!$B$114,BY8+BX9-CG8)))</f>
        <v>7.5411711733776423</v>
      </c>
      <c r="BZ9" s="13">
        <f>BY9*VLOOKUP('Données projet'!$B$12,Paramètres!$A$1:$I$89,3,0)*VLOOKUP('Données projet'!$B$12,Paramètres!$A$1:$I$89,5,0)</f>
        <v>4.8233330824923399</v>
      </c>
      <c r="CA9" s="13">
        <f t="shared" si="39"/>
        <v>1.850792361102289</v>
      </c>
      <c r="CB9" s="20">
        <f t="shared" si="10"/>
        <v>11.624101814260646</v>
      </c>
      <c r="CC9" s="59">
        <f t="shared" si="11"/>
        <v>199.57376441844238</v>
      </c>
      <c r="CD9" s="59">
        <f ca="1">AVERAGE(OFFSET($CC$3,0,0,'Données projet'!$E$12+1,1))-AVERAGE(OFFSET($H$3,0,0,'Données projet'!$E$12+1,1))</f>
        <v>297.03992602744393</v>
      </c>
      <c r="CE9" s="59">
        <f t="shared" si="40"/>
        <v>265.2588848922893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4.6552920860607747</v>
      </c>
      <c r="CV9" s="13">
        <f t="shared" si="41"/>
        <v>1.7937006960002178</v>
      </c>
      <c r="CW9" s="20">
        <f t="shared" si="13"/>
        <v>11.231995762089561</v>
      </c>
      <c r="CX9" s="59">
        <f t="shared" si="14"/>
        <v>199.18165836627128</v>
      </c>
      <c r="CY9" s="59">
        <f ca="1">AVERAGE(OFFSET($CX$3,0,0,'Données projet'!$E$13+1,1))-AVERAGE(OFFSET($H$3,0,0,'Données projet'!$E$13+1,1))</f>
        <v>427.42918901489531</v>
      </c>
      <c r="CZ9" s="59">
        <f t="shared" si="42"/>
        <v>410.68601510655412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4.0628205133333335</v>
      </c>
      <c r="DO9" s="12">
        <f>IF('Données projet'!$A$166&gt;35,DO8+DN9-DW8,IF(A9&lt;'Données projet'!$A$166,$DL$205^A9,IF(A9='Données projet'!$A$166,'Données projet'!$B$166,DO8+DN9-DW8)))</f>
        <v>2.613303067619599</v>
      </c>
      <c r="DP9" s="17">
        <f>DO9*VLOOKUP('Données projet'!$B$14,Paramètres!$A$1:$I$89,3,0)*VLOOKUP('Données projet'!$B$14,Paramètres!$A$1:$I$89,5,0)</f>
        <v>2.5275867270016761</v>
      </c>
      <c r="DQ9" s="13">
        <f t="shared" si="43"/>
        <v>1.0456423028342288</v>
      </c>
      <c r="DR9" s="20">
        <f t="shared" si="16"/>
        <v>6.2233738936308676</v>
      </c>
      <c r="DS9" s="59">
        <f t="shared" si="17"/>
        <v>194.1730364978126</v>
      </c>
      <c r="DT9" s="59">
        <f ca="1">AVERAGE(OFFSET($DS$3,0,0,'Données projet'!$E$14+1,1))-AVERAGE(OFFSET($H$3,0,0,'Données projet'!$E$14+1,1))</f>
        <v>598.03945725240396</v>
      </c>
      <c r="DU9" s="59">
        <f t="shared" si="44"/>
        <v>313.9014686755695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4.0628205128205126</v>
      </c>
      <c r="EJ9" s="12">
        <f>IF('Données projet'!$A$192&gt;35,EJ8+EI9-ER8,IF(A9&lt;'Données projet'!$A$192,$EG$205^A9,IF(A9='Données projet'!$A$192,'Données projet'!$B$192,EJ8+EI9-ER8)))</f>
        <v>2.6133030675536255</v>
      </c>
      <c r="EK9" s="17">
        <f>EJ9*VLOOKUP('Données projet'!$B$15,Paramètres!$A$1:$I$89,3,0)*VLOOKUP('Données projet'!$B$15,Paramètres!$A$1:$I$89,5,0)</f>
        <v>1.7530036977149719</v>
      </c>
      <c r="EL9" s="13">
        <f t="shared" si="45"/>
        <v>0.75676070893590697</v>
      </c>
      <c r="EM9" s="20">
        <f t="shared" si="19"/>
        <v>4.3711730082502802</v>
      </c>
      <c r="EN9" s="59">
        <f t="shared" si="20"/>
        <v>192.32083561243201</v>
      </c>
      <c r="EO9" s="59">
        <f ca="1">AVERAGE(OFFSET($EN$3,0,0,'Données projet'!$E$15+1,1))-AVERAGE(OFFSET($H$3,0,0,'Données projet'!$E$15+1,1))</f>
        <v>438.27475674276604</v>
      </c>
      <c r="EP9" s="59">
        <f t="shared" si="46"/>
        <v>235.97720136798864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4.8773333333333335</v>
      </c>
      <c r="FE9" s="12">
        <f>IF('Données projet'!$A$218&gt;35,FE8+FD9-FM8,IF(A9&lt;'Données projet'!$A$218,$FB$205^A9,IF(A9='Données projet'!$A$218,'Données projet'!$B$218,FE8+FD9-FM8)))</f>
        <v>2.7105706937387315</v>
      </c>
      <c r="FF9" s="17">
        <f>FE9*VLOOKUP('Données projet'!$B$16,Paramètres!$A$1:$I$89,3,0)*VLOOKUP('Données projet'!$B$16,Paramètres!$A$1:$I$89,5,0)</f>
        <v>1.2685470846697264</v>
      </c>
      <c r="FG9" s="13">
        <f t="shared" si="47"/>
        <v>0.56863523801337523</v>
      </c>
      <c r="FH9" s="20">
        <f t="shared" si="22"/>
        <v>3.199759212006402</v>
      </c>
      <c r="FI9" s="59">
        <f t="shared" si="23"/>
        <v>191.14942181618812</v>
      </c>
      <c r="FJ9" s="59">
        <f ca="1">AVERAGE(OFFSET($FI$3,0,0,'Données projet'!$E$16+1,1))-AVERAGE(OFFSET($H$3,0,0,'Données projet'!$E$16+1,1))</f>
        <v>329.49463758169588</v>
      </c>
      <c r="FK9" s="59">
        <f t="shared" si="48"/>
        <v>207.1447698203379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8.6</v>
      </c>
      <c r="FZ9" s="12">
        <f>IF('Données projet'!$A$244&gt;35,FZ8+FY9-GH8,IF(A9&lt;'Données projet'!$A$244,$FW$205^A9,IF(A9='Données projet'!$A$244,'Données projet'!$B$244,FZ8+FY9-GH8)))</f>
        <v>6.9861174730928326</v>
      </c>
      <c r="GA9" s="17">
        <f>FZ9*VLOOKUP('Données projet'!$B$17,Paramètres!$A$1:$I$89,3,0)*VLOOKUP('Données projet'!$B$17,Paramètres!$A$1:$I$89,5,0)</f>
        <v>4.1776982489095138</v>
      </c>
      <c r="GB9" s="13">
        <f t="shared" si="49"/>
        <v>1.6300917830935544</v>
      </c>
      <c r="GC9" s="20">
        <f t="shared" si="25"/>
        <v>10.115234305738676</v>
      </c>
      <c r="GD9" s="59">
        <f t="shared" si="26"/>
        <v>198.06489690992041</v>
      </c>
      <c r="GE9" s="59">
        <f ca="1">AVERAGE(OFFSET($GD$3,0,0,'Données projet'!$E$17+1,1))-AVERAGE(OFFSET($H$3,0,0,'Données projet'!$E$17+1,1))</f>
        <v>577.07444926285291</v>
      </c>
      <c r="GF9" s="59">
        <f t="shared" si="50"/>
        <v>501.3762209070419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49.258998892049554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10.683760683333334</v>
      </c>
      <c r="GU9" s="12">
        <f>IF('Données projet'!$A$270&gt;35,GU8+GT9-HC8,IF(A9&lt;'Données projet'!$A$270,$GR$205^A9,IF(A9='Données projet'!$A$270,'Données projet'!$B$270,GU8+GT9-HC8)))</f>
        <v>20.98832467369234</v>
      </c>
      <c r="GV9" s="17">
        <f>GU9*VLOOKUP('Données projet'!$B$18,Paramètres!$A$1:$I$89,3,0)*VLOOKUP('Données projet'!$B$18,Paramètres!$A$1:$I$89,5,0)</f>
        <v>11.099465620435458</v>
      </c>
      <c r="GW9" s="13">
        <f t="shared" si="51"/>
        <v>3.8652801303072843</v>
      </c>
      <c r="GX9" s="20">
        <f t="shared" si="28"/>
        <v>26.063598849210276</v>
      </c>
      <c r="GY9" s="59">
        <f t="shared" si="29"/>
        <v>214.013261453392</v>
      </c>
      <c r="GZ9" s="59">
        <f ca="1">AVERAGE(OFFSET($GY$3,0,0,'Données projet'!$E$18+1,1))-AVERAGE(OFFSET($H$3,0,0,'Données projet'!$E$18+1,1))</f>
        <v>212.75657290802619</v>
      </c>
      <c r="HA9" s="59">
        <f t="shared" si="52"/>
        <v>411.47446316045978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4.60745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16.893983333333335</v>
      </c>
      <c r="H10" s="66">
        <f t="shared" si="1"/>
        <v>189.09073333333333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197.30228871608438</v>
      </c>
      <c r="S10" s="59">
        <f ca="1">AVERAGE(OFFSET($R$3,0,0,'Données projet'!$E$9+1,1))-AVERAGE(OFFSET($H$3,0,0,'Données projet'!$E$9+1,1))</f>
        <v>564.49981446852132</v>
      </c>
      <c r="T10" s="59">
        <f t="shared" si="34"/>
        <v>297.54722913785406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4.0628205133333335</v>
      </c>
      <c r="AI10" s="13">
        <f>IF('Données projet'!$A$62&gt;35,AI9+AH10-AQ9,IF(A10&lt;'Données projet'!$A$62,$AF$205^A10,IF(A10='Données projet'!$A$62,'Données projet'!$B$62,AI9+AH10-AQ9)))</f>
        <v>3.0670538977444211</v>
      </c>
      <c r="AJ10" s="13">
        <f>AI10*VLOOKUP('Données projet'!$B$10,Paramètres!$A$1:$I$89,3,0)*VLOOKUP('Données projet'!$B$10,Paramètres!$A$1:$I$89,5,0)</f>
        <v>3.1099926523128434</v>
      </c>
      <c r="AK10" s="13">
        <f t="shared" si="35"/>
        <v>1.2558976216094697</v>
      </c>
      <c r="AL10" s="20">
        <f t="shared" si="4"/>
        <v>7.6039255604146936</v>
      </c>
      <c r="AM10" s="59">
        <f t="shared" si="5"/>
        <v>198.09511371755295</v>
      </c>
      <c r="AN10" s="59">
        <f ca="1">AVERAGE(OFFSET($AM$3,0,0,'Données projet'!$E$10+1,1))-AVERAGE(OFFSET($H$3,0,0,'Données projet'!$E$10+1,1))</f>
        <v>623.16549611107564</v>
      </c>
      <c r="AO10" s="59">
        <f t="shared" si="36"/>
        <v>326.15178903425885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4.3747718932098598</v>
      </c>
      <c r="BF10" s="13">
        <f t="shared" si="37"/>
        <v>1.6978537101246285</v>
      </c>
      <c r="BG10" s="20">
        <f t="shared" si="7"/>
        <v>10.576489592474234</v>
      </c>
      <c r="BH10" s="59">
        <f t="shared" si="8"/>
        <v>201.0676777496125</v>
      </c>
      <c r="BI10" s="59">
        <f ca="1">AVERAGE(OFFSET($BH$3,0,0,'Données projet'!$E$11+1,1))-AVERAGE(OFFSET($H$3,0,0,'Données projet'!$E$11+1,1))</f>
        <v>326.2912419133811</v>
      </c>
      <c r="BJ10" s="59">
        <f t="shared" si="38"/>
        <v>315.07976787459938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</v>
      </c>
      <c r="BY10" s="12">
        <f>IF('Données projet'!$A$114&gt;35,BY9+BX10-CG9,IF(A10&lt;'Données projet'!$A$114,$BV$205^A10,IF(A10='Données projet'!$A$114,'Données projet'!$B$114,BY9+BX10-CG9)))</f>
        <v>10.560356962676241</v>
      </c>
      <c r="BZ10" s="13">
        <f>BY10*VLOOKUP('Données projet'!$B$12,Paramètres!$A$1:$I$89,3,0)*VLOOKUP('Données projet'!$B$12,Paramètres!$A$1:$I$89,5,0)</f>
        <v>6.754404313327723</v>
      </c>
      <c r="CA10" s="13">
        <f t="shared" si="39"/>
        <v>2.4921557780580192</v>
      </c>
      <c r="CB10" s="20">
        <f t="shared" si="10"/>
        <v>16.104425492496834</v>
      </c>
      <c r="CC10" s="59">
        <f t="shared" si="11"/>
        <v>206.59561364963508</v>
      </c>
      <c r="CD10" s="59">
        <f ca="1">AVERAGE(OFFSET($CC$3,0,0,'Données projet'!$E$12+1,1))-AVERAGE(OFFSET($H$3,0,0,'Données projet'!$E$12+1,1))</f>
        <v>297.03992602744393</v>
      </c>
      <c r="CE10" s="59">
        <f t="shared" si="40"/>
        <v>265.2588848922893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6.2491693656129108</v>
      </c>
      <c r="CV10" s="13">
        <f t="shared" si="41"/>
        <v>2.326701366112224</v>
      </c>
      <c r="CW10" s="20">
        <f t="shared" si="13"/>
        <v>14.936308191087944</v>
      </c>
      <c r="CX10" s="59">
        <f t="shared" si="14"/>
        <v>205.42749634822619</v>
      </c>
      <c r="CY10" s="59">
        <f ca="1">AVERAGE(OFFSET($CX$3,0,0,'Données projet'!$E$13+1,1))-AVERAGE(OFFSET($H$3,0,0,'Données projet'!$E$13+1,1))</f>
        <v>427.42918901489531</v>
      </c>
      <c r="CZ10" s="59">
        <f t="shared" si="42"/>
        <v>410.68601510655412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4.0628205133333335</v>
      </c>
      <c r="DO10" s="12">
        <f>IF('Données projet'!$A$166&gt;35,DO9+DN10-DW9,IF(A10&lt;'Données projet'!$A$166,$DL$205^A10,IF(A10='Données projet'!$A$166,'Données projet'!$B$166,DO9+DN10-DW9)))</f>
        <v>3.0670538977444211</v>
      </c>
      <c r="DP10" s="17">
        <f>DO10*VLOOKUP('Données projet'!$B$14,Paramètres!$A$1:$I$89,3,0)*VLOOKUP('Données projet'!$B$14,Paramètres!$A$1:$I$89,5,0)</f>
        <v>2.966454529898404</v>
      </c>
      <c r="DQ10" s="13">
        <f t="shared" si="43"/>
        <v>1.2045401841629486</v>
      </c>
      <c r="DR10" s="20">
        <f t="shared" si="16"/>
        <v>7.2644824603235216</v>
      </c>
      <c r="DS10" s="59">
        <f t="shared" si="17"/>
        <v>197.75567061746179</v>
      </c>
      <c r="DT10" s="59">
        <f ca="1">AVERAGE(OFFSET($DS$3,0,0,'Données projet'!$E$14+1,1))-AVERAGE(OFFSET($H$3,0,0,'Données projet'!$E$14+1,1))</f>
        <v>598.03945725240396</v>
      </c>
      <c r="DU10" s="59">
        <f t="shared" si="44"/>
        <v>313.9014686755695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4.0628205128205126</v>
      </c>
      <c r="EJ10" s="12">
        <f>IF('Données projet'!$A$192&gt;35,EJ9+EI10-ER9,IF(A10&lt;'Données projet'!$A$192,$EG$205^A10,IF(A10='Données projet'!$A$192,'Données projet'!$B$192,EJ9+EI10-ER9)))</f>
        <v>3.067053897654088</v>
      </c>
      <c r="EK10" s="17">
        <f>EJ10*VLOOKUP('Données projet'!$B$15,Paramètres!$A$1:$I$89,3,0)*VLOOKUP('Données projet'!$B$15,Paramètres!$A$1:$I$89,5,0)</f>
        <v>2.0573797545463619</v>
      </c>
      <c r="EL10" s="13">
        <f t="shared" si="45"/>
        <v>0.87175956943859878</v>
      </c>
      <c r="EM10" s="20">
        <f t="shared" si="19"/>
        <v>5.1015843226071391</v>
      </c>
      <c r="EN10" s="59">
        <f t="shared" si="20"/>
        <v>195.59277247974541</v>
      </c>
      <c r="EO10" s="59">
        <f ca="1">AVERAGE(OFFSET($EN$3,0,0,'Données projet'!$E$15+1,1))-AVERAGE(OFFSET($H$3,0,0,'Données projet'!$E$15+1,1))</f>
        <v>438.27475674276604</v>
      </c>
      <c r="EP10" s="59">
        <f t="shared" si="46"/>
        <v>235.97720136798864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4.8773333333333335</v>
      </c>
      <c r="FE10" s="12">
        <f>IF('Données projet'!$A$218&gt;35,FE9+FD10-FM9,IF(A10&lt;'Données projet'!$A$218,$FB$205^A10,IF(A10='Données projet'!$A$218,'Données projet'!$B$218,FE9+FD10-FM9)))</f>
        <v>3.2006451566969245</v>
      </c>
      <c r="FF10" s="17">
        <f>FE10*VLOOKUP('Données projet'!$B$16,Paramètres!$A$1:$I$89,3,0)*VLOOKUP('Données projet'!$B$16,Paramètres!$A$1:$I$89,5,0)</f>
        <v>1.4979019333341608</v>
      </c>
      <c r="FG10" s="13">
        <f t="shared" si="47"/>
        <v>0.6585809748262359</v>
      </c>
      <c r="FH10" s="20">
        <f t="shared" si="22"/>
        <v>3.7558743983793579</v>
      </c>
      <c r="FI10" s="59">
        <f t="shared" si="23"/>
        <v>194.2470625555176</v>
      </c>
      <c r="FJ10" s="59">
        <f ca="1">AVERAGE(OFFSET($FI$3,0,0,'Données projet'!$E$16+1,1))-AVERAGE(OFFSET($H$3,0,0,'Données projet'!$E$16+1,1))</f>
        <v>329.49463758169588</v>
      </c>
      <c r="FK10" s="59">
        <f t="shared" si="48"/>
        <v>207.1447698203379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8.6</v>
      </c>
      <c r="FZ10" s="12">
        <f>IF('Données projet'!$A$244&gt;35,FZ9+FY10-GH9,IF(A10&lt;'Données projet'!$A$244,$FW$205^A10,IF(A10='Données projet'!$A$244,'Données projet'!$B$244,FZ9+FY10-GH9)))</f>
        <v>9.6592157088543065</v>
      </c>
      <c r="GA10" s="17">
        <f>FZ10*VLOOKUP('Données projet'!$B$17,Paramètres!$A$1:$I$89,3,0)*VLOOKUP('Données projet'!$B$17,Paramètres!$A$1:$I$89,5,0)</f>
        <v>5.7762109938948756</v>
      </c>
      <c r="GB10" s="13">
        <f t="shared" si="49"/>
        <v>2.1704004099526384</v>
      </c>
      <c r="GC10" s="20">
        <f t="shared" si="25"/>
        <v>13.840348195034421</v>
      </c>
      <c r="GD10" s="59">
        <f t="shared" si="26"/>
        <v>204.33153635217266</v>
      </c>
      <c r="GE10" s="59">
        <f ca="1">AVERAGE(OFFSET($GD$3,0,0,'Données projet'!$E$17+1,1))-AVERAGE(OFFSET($H$3,0,0,'Données projet'!$E$17+1,1))</f>
        <v>577.07444926285291</v>
      </c>
      <c r="GF10" s="59">
        <f t="shared" si="50"/>
        <v>501.3762209070419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49.618808891340734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10.683760683333334</v>
      </c>
      <c r="GU10" s="12">
        <f>IF('Données projet'!$A$270&gt;35,GU9+GT10-HC9,IF(A10&lt;'Données projet'!$A$270,$GR$205^A10,IF(A10='Données projet'!$A$270,'Données projet'!$B$270,GU9+GT10-HC9)))</f>
        <v>34.858396278330964</v>
      </c>
      <c r="GV10" s="17">
        <f>GU10*VLOOKUP('Données projet'!$B$18,Paramètres!$A$1:$I$89,3,0)*VLOOKUP('Données projet'!$B$18,Paramètres!$A$1:$I$89,5,0)</f>
        <v>18.434514287832549</v>
      </c>
      <c r="GW10" s="13">
        <f t="shared" si="51"/>
        <v>6.0515166757488732</v>
      </c>
      <c r="GX10" s="20">
        <f t="shared" si="28"/>
        <v>42.646503928237642</v>
      </c>
      <c r="GY10" s="59">
        <f t="shared" si="29"/>
        <v>233.1376920853759</v>
      </c>
      <c r="GZ10" s="59">
        <f ca="1">AVERAGE(OFFSET($GY$3,0,0,'Données projet'!$E$18+1,1))-AVERAGE(OFFSET($H$3,0,0,'Données projet'!$E$18+1,1))</f>
        <v>212.75657290802619</v>
      </c>
      <c r="HA10" s="59">
        <f t="shared" si="52"/>
        <v>411.47446316045978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4.60745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16.893983333333335</v>
      </c>
      <c r="H11" s="66">
        <f t="shared" si="1"/>
        <v>189.09073333333333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200.96068813250542</v>
      </c>
      <c r="S11" s="59">
        <f ca="1">AVERAGE(OFFSET($R$3,0,0,'Données projet'!$E$9+1,1))-AVERAGE(OFFSET($H$3,0,0,'Données projet'!$E$9+1,1))</f>
        <v>564.49981446852132</v>
      </c>
      <c r="T11" s="59">
        <f t="shared" si="34"/>
        <v>297.54722913785406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4.0628205133333335</v>
      </c>
      <c r="AI11" s="13">
        <f>IF('Données projet'!$A$62&gt;35,AI10+AH11-AQ10,IF(A11&lt;'Données projet'!$A$62,$AF$205^A11,IF(A11='Données projet'!$A$62,'Données projet'!$B$62,AI10+AH11-AQ10)))</f>
        <v>3.5995900086084203</v>
      </c>
      <c r="AJ11" s="13">
        <f>AI11*VLOOKUP('Données projet'!$B$10,Paramètres!$A$1:$I$89,3,0)*VLOOKUP('Données projet'!$B$10,Paramètres!$A$1:$I$89,5,0)</f>
        <v>3.6499842687289386</v>
      </c>
      <c r="AK11" s="13">
        <f t="shared" si="35"/>
        <v>1.4467463188155927</v>
      </c>
      <c r="AL11" s="20">
        <f t="shared" si="4"/>
        <v>8.8768057733067263</v>
      </c>
      <c r="AM11" s="59">
        <f t="shared" si="5"/>
        <v>201.88663252013365</v>
      </c>
      <c r="AN11" s="59">
        <f ca="1">AVERAGE(OFFSET($AM$3,0,0,'Données projet'!$E$10+1,1))-AVERAGE(OFFSET($H$3,0,0,'Données projet'!$E$10+1,1))</f>
        <v>623.16549611107564</v>
      </c>
      <c r="AO11" s="59">
        <f t="shared" si="36"/>
        <v>326.15178903425885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5.5654744691466869</v>
      </c>
      <c r="BF11" s="13">
        <f t="shared" si="37"/>
        <v>2.10028293749169</v>
      </c>
      <c r="BG11" s="20">
        <f t="shared" si="7"/>
        <v>13.351194149895173</v>
      </c>
      <c r="BH11" s="59">
        <f t="shared" si="8"/>
        <v>206.3610208967221</v>
      </c>
      <c r="BI11" s="59">
        <f ca="1">AVERAGE(OFFSET($BH$3,0,0,'Données projet'!$E$11+1,1))-AVERAGE(OFFSET($H$3,0,0,'Données projet'!$E$11+1,1))</f>
        <v>326.2912419133811</v>
      </c>
      <c r="BJ11" s="59">
        <f t="shared" si="38"/>
        <v>315.07976787459938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</v>
      </c>
      <c r="BY11" s="12">
        <f>IF('Données projet'!$A$114&gt;35,BY10+BX11-CG10,IF(A11&lt;'Données projet'!$A$114,$BV$205^A11,IF(A11='Données projet'!$A$114,'Données projet'!$B$114,BY10+BX11-CG10)))</f>
        <v>14.7883049748087</v>
      </c>
      <c r="BZ11" s="13">
        <f>BY11*VLOOKUP('Données projet'!$B$12,Paramètres!$A$1:$I$89,3,0)*VLOOKUP('Données projet'!$B$12,Paramètres!$A$1:$I$89,5,0)</f>
        <v>9.4585998618876435</v>
      </c>
      <c r="CA11" s="13">
        <f t="shared" si="39"/>
        <v>3.3557737500110156</v>
      </c>
      <c r="CB11" s="20">
        <f t="shared" si="10"/>
        <v>22.318367374056834</v>
      </c>
      <c r="CC11" s="59">
        <f t="shared" si="11"/>
        <v>215.32819412088375</v>
      </c>
      <c r="CD11" s="59">
        <f ca="1">AVERAGE(OFFSET($CC$3,0,0,'Données projet'!$E$12+1,1))-AVERAGE(OFFSET($H$3,0,0,'Données projet'!$E$12+1,1))</f>
        <v>297.03992602744393</v>
      </c>
      <c r="CE11" s="59">
        <f t="shared" si="40"/>
        <v>265.2588848922893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8.3887577918145393</v>
      </c>
      <c r="CV11" s="13">
        <f t="shared" si="41"/>
        <v>3.0180839306915423</v>
      </c>
      <c r="CW11" s="20">
        <f t="shared" si="13"/>
        <v>19.866916000031427</v>
      </c>
      <c r="CX11" s="59">
        <f t="shared" si="14"/>
        <v>212.87674274685835</v>
      </c>
      <c r="CY11" s="59">
        <f ca="1">AVERAGE(OFFSET($CX$3,0,0,'Données projet'!$E$13+1,1))-AVERAGE(OFFSET($H$3,0,0,'Données projet'!$E$13+1,1))</f>
        <v>427.42918901489531</v>
      </c>
      <c r="CZ11" s="59">
        <f t="shared" si="42"/>
        <v>410.68601510655412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4.0628205133333335</v>
      </c>
      <c r="DO11" s="12">
        <f>IF('Données projet'!$A$166&gt;35,DO10+DN11-DW10,IF(A11&lt;'Données projet'!$A$166,$DL$205^A11,IF(A11='Données projet'!$A$166,'Données projet'!$B$166,DO10+DN11-DW10)))</f>
        <v>3.5995900086084203</v>
      </c>
      <c r="DP11" s="17">
        <f>DO11*VLOOKUP('Données projet'!$B$14,Paramètres!$A$1:$I$89,3,0)*VLOOKUP('Données projet'!$B$14,Paramètres!$A$1:$I$89,5,0)</f>
        <v>3.4815234563260642</v>
      </c>
      <c r="DQ11" s="13">
        <f t="shared" si="43"/>
        <v>1.3875845031619112</v>
      </c>
      <c r="DR11" s="20">
        <f t="shared" si="16"/>
        <v>8.4803630294415555</v>
      </c>
      <c r="DS11" s="59">
        <f t="shared" si="17"/>
        <v>201.49018977626847</v>
      </c>
      <c r="DT11" s="59">
        <f ca="1">AVERAGE(OFFSET($DS$3,0,0,'Données projet'!$E$14+1,1))-AVERAGE(OFFSET($H$3,0,0,'Données projet'!$E$14+1,1))</f>
        <v>598.03945725240396</v>
      </c>
      <c r="DU11" s="59">
        <f t="shared" si="44"/>
        <v>313.9014686755695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4.0628205128205126</v>
      </c>
      <c r="EJ11" s="12">
        <f>IF('Données projet'!$A$192&gt;35,EJ10+EI11-ER10,IF(A11&lt;'Données projet'!$A$192,$EG$205^A11,IF(A11='Données projet'!$A$192,'Données projet'!$B$192,EJ10+EI11-ER10)))</f>
        <v>3.5995900084872572</v>
      </c>
      <c r="EK11" s="17">
        <f>EJ11*VLOOKUP('Données projet'!$B$15,Paramètres!$A$1:$I$89,3,0)*VLOOKUP('Données projet'!$B$15,Paramètres!$A$1:$I$89,5,0)</f>
        <v>2.4146049776932523</v>
      </c>
      <c r="EL11" s="13">
        <f t="shared" si="45"/>
        <v>1.0042338852084027</v>
      </c>
      <c r="EM11" s="20">
        <f t="shared" si="19"/>
        <v>5.9544776862203825</v>
      </c>
      <c r="EN11" s="59">
        <f t="shared" si="20"/>
        <v>198.96430443304729</v>
      </c>
      <c r="EO11" s="59">
        <f ca="1">AVERAGE(OFFSET($EN$3,0,0,'Données projet'!$E$15+1,1))-AVERAGE(OFFSET($H$3,0,0,'Données projet'!$E$15+1,1))</f>
        <v>438.27475674276604</v>
      </c>
      <c r="EP11" s="59">
        <f t="shared" si="46"/>
        <v>235.97720136798864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4.8773333333333335</v>
      </c>
      <c r="FE11" s="12">
        <f>IF('Données projet'!$A$218&gt;35,FE10+FD11-FM10,IF(A11&lt;'Données projet'!$A$218,$FB$205^A11,IF(A11='Données projet'!$A$218,'Données projet'!$B$218,FE10+FD11-FM10)))</f>
        <v>3.7793256758625966</v>
      </c>
      <c r="FF11" s="17">
        <f>FE11*VLOOKUP('Données projet'!$B$16,Paramètres!$A$1:$I$89,3,0)*VLOOKUP('Données projet'!$B$16,Paramètres!$A$1:$I$89,5,0)</f>
        <v>1.768724416303695</v>
      </c>
      <c r="FG11" s="13">
        <f t="shared" si="47"/>
        <v>0.76275417246103394</v>
      </c>
      <c r="FH11" s="20">
        <f t="shared" si="22"/>
        <v>4.4089918754319024</v>
      </c>
      <c r="FI11" s="59">
        <f t="shared" si="23"/>
        <v>197.41881862225881</v>
      </c>
      <c r="FJ11" s="59">
        <f ca="1">AVERAGE(OFFSET($FI$3,0,0,'Données projet'!$E$16+1,1))-AVERAGE(OFFSET($H$3,0,0,'Données projet'!$E$16+1,1))</f>
        <v>329.49463758169588</v>
      </c>
      <c r="FK11" s="59">
        <f t="shared" si="48"/>
        <v>207.1447698203379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8.6</v>
      </c>
      <c r="FZ11" s="12">
        <f>IF('Données projet'!$A$244&gt;35,FZ10+FY11-GH10,IF(A11&lt;'Données projet'!$A$244,$FW$205^A11,IF(A11='Données projet'!$A$244,'Données projet'!$B$244,FZ10+FY11-GH10)))</f>
        <v>13.355121563518832</v>
      </c>
      <c r="GA11" s="17">
        <f>FZ11*VLOOKUP('Données projet'!$B$17,Paramètres!$A$1:$I$89,3,0)*VLOOKUP('Données projet'!$B$17,Paramètres!$A$1:$I$89,5,0)</f>
        <v>7.9863626949842619</v>
      </c>
      <c r="GB11" s="13">
        <f t="shared" si="49"/>
        <v>2.8897992054059851</v>
      </c>
      <c r="GC11" s="20">
        <f t="shared" si="25"/>
        <v>18.94264864317968</v>
      </c>
      <c r="GD11" s="59">
        <f t="shared" si="26"/>
        <v>211.95247539000661</v>
      </c>
      <c r="GE11" s="59">
        <f ca="1">AVERAGE(OFFSET($GD$3,0,0,'Données projet'!$E$17+1,1))-AVERAGE(OFFSET($H$3,0,0,'Données projet'!$E$17+1,1))</f>
        <v>577.07444926285291</v>
      </c>
      <c r="GF11" s="59">
        <f t="shared" si="50"/>
        <v>501.3762209070419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49.97237699155886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10.683760683333334</v>
      </c>
      <c r="GU11" s="12">
        <f>IF('Données projet'!$A$270&gt;35,GU10+GT11-HC10,IF(A11&lt;'Données projet'!$A$270,$GR$205^A11,IF(A11='Données projet'!$A$270,'Données projet'!$B$270,GU10+GT11-HC10)))</f>
        <v>57.894463230799253</v>
      </c>
      <c r="GV11" s="17">
        <f>GU11*VLOOKUP('Données projet'!$B$18,Paramètres!$A$1:$I$89,3,0)*VLOOKUP('Données projet'!$B$18,Paramètres!$A$1:$I$89,5,0)</f>
        <v>30.616907934975877</v>
      </c>
      <c r="GW11" s="13">
        <f t="shared" si="51"/>
        <v>9.4743079006683466</v>
      </c>
      <c r="GX11" s="20">
        <f t="shared" si="28"/>
        <v>69.825534247080341</v>
      </c>
      <c r="GY11" s="59">
        <f t="shared" si="29"/>
        <v>262.83536099390727</v>
      </c>
      <c r="GZ11" s="59">
        <f ca="1">AVERAGE(OFFSET($GY$3,0,0,'Données projet'!$E$18+1,1))-AVERAGE(OFFSET($H$3,0,0,'Données projet'!$E$18+1,1))</f>
        <v>212.75657290802619</v>
      </c>
      <c r="HA11" s="59">
        <f t="shared" si="52"/>
        <v>411.47446316045978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4.60745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16.893983333333335</v>
      </c>
      <c r="H12" s="66">
        <f t="shared" si="1"/>
        <v>189.09073333333333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204.78798275990312</v>
      </c>
      <c r="S12" s="59">
        <f ca="1">AVERAGE(OFFSET($R$3,0,0,'Données projet'!$E$9+1,1))-AVERAGE(OFFSET($H$3,0,0,'Données projet'!$E$9+1,1))</f>
        <v>564.49981446852132</v>
      </c>
      <c r="T12" s="59">
        <f t="shared" si="34"/>
        <v>297.54722913785406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4.0628205133333335</v>
      </c>
      <c r="AI12" s="13">
        <f>IF('Données projet'!$A$62&gt;35,AI11+AH12-AQ11,IF(A12&lt;'Données projet'!$A$62,$AF$205^A12,IF(A12='Données projet'!$A$62,'Données projet'!$B$62,AI11+AH12-AQ11)))</f>
        <v>4.2245909795072292</v>
      </c>
      <c r="AJ12" s="13">
        <f>AI12*VLOOKUP('Données projet'!$B$10,Paramètres!$A$1:$I$89,3,0)*VLOOKUP('Données projet'!$B$10,Paramètres!$A$1:$I$89,5,0)</f>
        <v>4.283735253220331</v>
      </c>
      <c r="AK12" s="13">
        <f t="shared" si="35"/>
        <v>1.6665967631375336</v>
      </c>
      <c r="AL12" s="20">
        <f t="shared" si="4"/>
        <v>10.363494928489947</v>
      </c>
      <c r="AM12" s="59">
        <f t="shared" si="5"/>
        <v>205.86947033938284</v>
      </c>
      <c r="AN12" s="59">
        <f ca="1">AVERAGE(OFFSET($AM$3,0,0,'Données projet'!$E$10+1,1))-AVERAGE(OFFSET($H$3,0,0,'Données projet'!$E$10+1,1))</f>
        <v>623.16549611107564</v>
      </c>
      <c r="AO12" s="59">
        <f t="shared" si="36"/>
        <v>326.15178903425885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7.0802562562860771</v>
      </c>
      <c r="BF12" s="13">
        <f t="shared" si="37"/>
        <v>2.5980968744326778</v>
      </c>
      <c r="BG12" s="20">
        <f t="shared" si="7"/>
        <v>16.856465036001829</v>
      </c>
      <c r="BH12" s="59">
        <f t="shared" si="8"/>
        <v>212.36244044689471</v>
      </c>
      <c r="BI12" s="59">
        <f ca="1">AVERAGE(OFFSET($BH$3,0,0,'Données projet'!$E$11+1,1))-AVERAGE(OFFSET($H$3,0,0,'Données projet'!$E$11+1,1))</f>
        <v>326.2912419133811</v>
      </c>
      <c r="BJ12" s="59">
        <f t="shared" si="38"/>
        <v>315.07976787459938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</v>
      </c>
      <c r="BY12" s="12">
        <f>IF('Données projet'!$A$114&gt;35,BY11+BX12-CG11,IF(A12&lt;'Données projet'!$A$114,$BV$205^A12,IF(A12='Données projet'!$A$114,'Données projet'!$B$114,BY11+BX12-CG11)))</f>
        <v>20.708955653761308</v>
      </c>
      <c r="BZ12" s="13">
        <f>BY12*VLOOKUP('Données projet'!$B$12,Paramètres!$A$1:$I$89,3,0)*VLOOKUP('Données projet'!$B$12,Paramètres!$A$1:$I$89,5,0)</f>
        <v>13.245448036145733</v>
      </c>
      <c r="CA12" s="13">
        <f t="shared" si="39"/>
        <v>4.5186651494306522</v>
      </c>
      <c r="CB12" s="20">
        <f t="shared" si="10"/>
        <v>30.939163798212203</v>
      </c>
      <c r="CC12" s="59">
        <f t="shared" si="11"/>
        <v>226.44513920910509</v>
      </c>
      <c r="CD12" s="59">
        <f ca="1">AVERAGE(OFFSET($CC$3,0,0,'Données projet'!$E$12+1,1))-AVERAGE(OFFSET($H$3,0,0,'Données projet'!$E$12+1,1))</f>
        <v>297.03992602744393</v>
      </c>
      <c r="CE12" s="59">
        <f t="shared" si="40"/>
        <v>265.2588848922893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11.260897756581638</v>
      </c>
      <c r="CV12" s="13">
        <f t="shared" si="41"/>
        <v>3.9149117911590028</v>
      </c>
      <c r="CW12" s="20">
        <f t="shared" si="13"/>
        <v>26.431201628981615</v>
      </c>
      <c r="CX12" s="59">
        <f t="shared" si="14"/>
        <v>221.93717703987451</v>
      </c>
      <c r="CY12" s="59">
        <f ca="1">AVERAGE(OFFSET($CX$3,0,0,'Données projet'!$E$13+1,1))-AVERAGE(OFFSET($H$3,0,0,'Données projet'!$E$13+1,1))</f>
        <v>427.42918901489531</v>
      </c>
      <c r="CZ12" s="59">
        <f t="shared" si="42"/>
        <v>410.68601510655412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4.0628205133333335</v>
      </c>
      <c r="DO12" s="12">
        <f>IF('Données projet'!$A$166&gt;35,DO11+DN12-DW11,IF(A12&lt;'Données projet'!$A$166,$DL$205^A12,IF(A12='Données projet'!$A$166,'Données projet'!$B$166,DO11+DN12-DW11)))</f>
        <v>4.2245909795072292</v>
      </c>
      <c r="DP12" s="17">
        <f>DO12*VLOOKUP('Données projet'!$B$14,Paramètres!$A$1:$I$89,3,0)*VLOOKUP('Données projet'!$B$14,Paramètres!$A$1:$I$89,5,0)</f>
        <v>4.0860243953793924</v>
      </c>
      <c r="DQ12" s="13">
        <f t="shared" si="43"/>
        <v>1.5984446004622661</v>
      </c>
      <c r="DR12" s="20">
        <f t="shared" si="16"/>
        <v>9.9004501677575547</v>
      </c>
      <c r="DS12" s="59">
        <f t="shared" si="17"/>
        <v>205.40642557865044</v>
      </c>
      <c r="DT12" s="59">
        <f ca="1">AVERAGE(OFFSET($DS$3,0,0,'Données projet'!$E$14+1,1))-AVERAGE(OFFSET($H$3,0,0,'Données projet'!$E$14+1,1))</f>
        <v>598.03945725240396</v>
      </c>
      <c r="DU12" s="59">
        <f t="shared" si="44"/>
        <v>313.9014686755695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4.0628205128205126</v>
      </c>
      <c r="EJ12" s="12">
        <f>IF('Données projet'!$A$192&gt;35,EJ11+EI12-ER11,IF(A12&lt;'Données projet'!$A$192,$EG$205^A12,IF(A12='Données projet'!$A$192,'Données projet'!$B$192,EJ11+EI12-ER11)))</f>
        <v>4.2245909793472531</v>
      </c>
      <c r="EK12" s="17">
        <f>EJ12*VLOOKUP('Données projet'!$B$15,Paramètres!$A$1:$I$89,3,0)*VLOOKUP('Données projet'!$B$15,Paramètres!$A$1:$I$89,5,0)</f>
        <v>2.8338556289461376</v>
      </c>
      <c r="EL12" s="13">
        <f t="shared" si="45"/>
        <v>1.1568392611396445</v>
      </c>
      <c r="EM12" s="20">
        <f t="shared" si="19"/>
        <v>6.9504602668994044</v>
      </c>
      <c r="EN12" s="59">
        <f t="shared" si="20"/>
        <v>202.45643567779229</v>
      </c>
      <c r="EO12" s="59">
        <f ca="1">AVERAGE(OFFSET($EN$3,0,0,'Données projet'!$E$15+1,1))-AVERAGE(OFFSET($H$3,0,0,'Données projet'!$E$15+1,1))</f>
        <v>438.27475674276604</v>
      </c>
      <c r="EP12" s="59">
        <f t="shared" si="46"/>
        <v>235.97720136798864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4.8773333333333335</v>
      </c>
      <c r="FE12" s="12">
        <f>IF('Données projet'!$A$218&gt;35,FE11+FD12-FM11,IF(A12&lt;'Données projet'!$A$218,$FB$205^A12,IF(A12='Données projet'!$A$218,'Données projet'!$B$218,FE11+FD12-FM11)))</f>
        <v>4.4626323334682576</v>
      </c>
      <c r="FF12" s="17">
        <f>FE12*VLOOKUP('Données projet'!$B$16,Paramètres!$A$1:$I$89,3,0)*VLOOKUP('Données projet'!$B$16,Paramètres!$A$1:$I$89,5,0)</f>
        <v>2.0885119320631444</v>
      </c>
      <c r="FG12" s="13">
        <f t="shared" si="47"/>
        <v>0.88340530602211986</v>
      </c>
      <c r="FH12" s="20">
        <f t="shared" si="22"/>
        <v>5.1760891896651691</v>
      </c>
      <c r="FI12" s="59">
        <f t="shared" si="23"/>
        <v>200.68206460055805</v>
      </c>
      <c r="FJ12" s="59">
        <f ca="1">AVERAGE(OFFSET($FI$3,0,0,'Données projet'!$E$16+1,1))-AVERAGE(OFFSET($H$3,0,0,'Données projet'!$E$16+1,1))</f>
        <v>329.49463758169588</v>
      </c>
      <c r="FK12" s="59">
        <f t="shared" si="48"/>
        <v>207.1447698203379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8.6</v>
      </c>
      <c r="FZ12" s="12">
        <f>IF('Données projet'!$A$244&gt;35,FZ11+FY12-GH11,IF(A12&lt;'Données projet'!$A$244,$FW$205^A12,IF(A12='Données projet'!$A$244,'Données projet'!$B$244,FZ11+FY12-GH11)))</f>
        <v>18.46519193197738</v>
      </c>
      <c r="GA12" s="17">
        <f>FZ12*VLOOKUP('Données projet'!$B$17,Paramètres!$A$1:$I$89,3,0)*VLOOKUP('Données projet'!$B$17,Paramètres!$A$1:$I$89,5,0)</f>
        <v>11.042184775322474</v>
      </c>
      <c r="GB12" s="13">
        <f t="shared" si="49"/>
        <v>3.8476492214389557</v>
      </c>
      <c r="GC12" s="20">
        <f t="shared" si="25"/>
        <v>25.93312754435949</v>
      </c>
      <c r="GD12" s="59">
        <f t="shared" si="26"/>
        <v>221.43910295525237</v>
      </c>
      <c r="GE12" s="59">
        <f ca="1">AVERAGE(OFFSET($GD$3,0,0,'Données projet'!$E$17+1,1))-AVERAGE(OFFSET($H$3,0,0,'Données projet'!$E$17+1,1))</f>
        <v>577.07444926285291</v>
      </c>
      <c r="GF12" s="59">
        <f t="shared" si="50"/>
        <v>501.3762209070419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50.31981147569806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>
        <f>VLOOKUP(A12,'Données projet'!$A$269:$I$289,2,0)</f>
        <v>96.153846150000007</v>
      </c>
      <c r="GS12" s="12">
        <f>VLOOKUP(A12,'Données projet'!$A$269:$I$289,9,0)</f>
        <v>10.683760683333334</v>
      </c>
      <c r="GT12" s="12">
        <f t="array" ref="GT12">INDEX(GS:GS,MIN(IF(ISNUMBER(GS12:GS208),ROW(GS12:GS208),"")))</f>
        <v>10.683760683333334</v>
      </c>
      <c r="GU12" s="12">
        <f>IF('Données projet'!$A$270&gt;35,GU11+GT12-HC11,IF(A12&lt;'Données projet'!$A$270,$GR$205^A12,IF(A12='Données projet'!$A$270,'Données projet'!$B$270,GU11+GT12-HC11)))</f>
        <v>96.153846150000007</v>
      </c>
      <c r="GV12" s="17">
        <f>GU12*VLOOKUP('Données projet'!$B$18,Paramètres!$A$1:$I$89,3,0)*VLOOKUP('Données projet'!$B$18,Paramètres!$A$1:$I$89,5,0)</f>
        <v>50.849999997966016</v>
      </c>
      <c r="GW12" s="13">
        <f t="shared" si="51"/>
        <v>14.833060042019731</v>
      </c>
      <c r="GX12" s="20">
        <f t="shared" si="28"/>
        <v>114.39799623630849</v>
      </c>
      <c r="GY12" s="59">
        <f t="shared" si="29"/>
        <v>309.90397164720139</v>
      </c>
      <c r="GZ12" s="59">
        <f ca="1">AVERAGE(OFFSET($GY$3,0,0,'Données projet'!$E$18+1,1))-AVERAGE(OFFSET($H$3,0,0,'Données projet'!$E$18+1,1))</f>
        <v>212.75657290802619</v>
      </c>
      <c r="HA12" s="59">
        <f t="shared" si="52"/>
        <v>411.47446316045978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4.60745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16.893983333333335</v>
      </c>
      <c r="H13" s="66">
        <f t="shared" si="1"/>
        <v>189.09073333333333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208.81680346457296</v>
      </c>
      <c r="S13" s="59">
        <f ca="1">AVERAGE(OFFSET($R$3,0,0,'Données projet'!$E$9+1,1))-AVERAGE(OFFSET($H$3,0,0,'Données projet'!$E$9+1,1))</f>
        <v>564.49981446852132</v>
      </c>
      <c r="T13" s="59">
        <f t="shared" si="34"/>
        <v>297.54722913785406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4.0628205133333335</v>
      </c>
      <c r="AI13" s="13">
        <f>IF('Données projet'!$A$62&gt;35,AI12+AH13-AQ12,IF(A13&lt;'Données projet'!$A$62,$AF$205^A13,IF(A13='Données projet'!$A$62,'Données projet'!$B$62,AI12+AH13-AQ12)))</f>
        <v>4.9581115908901685</v>
      </c>
      <c r="AJ13" s="13">
        <f>AI13*VLOOKUP('Données projet'!$B$10,Paramètres!$A$1:$I$89,3,0)*VLOOKUP('Données projet'!$B$10,Paramètres!$A$1:$I$89,5,0)</f>
        <v>5.0275251531626317</v>
      </c>
      <c r="AK13" s="13">
        <f t="shared" si="35"/>
        <v>1.9198561176740341</v>
      </c>
      <c r="AL13" s="20">
        <f t="shared" si="4"/>
        <v>12.100022380040526</v>
      </c>
      <c r="AM13" s="59">
        <f t="shared" si="5"/>
        <v>210.08004667930621</v>
      </c>
      <c r="AN13" s="59">
        <f ca="1">AVERAGE(OFFSET($AM$3,0,0,'Données projet'!$E$10+1,1))-AVERAGE(OFFSET($H$3,0,0,'Données projet'!$E$10+1,1))</f>
        <v>623.16549611107564</v>
      </c>
      <c r="AO13" s="59">
        <f t="shared" si="36"/>
        <v>326.15178903425885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9.007323442517599</v>
      </c>
      <c r="BF13" s="13">
        <f t="shared" si="37"/>
        <v>3.2139038262141559</v>
      </c>
      <c r="BG13" s="20">
        <f t="shared" si="7"/>
        <v>21.285304159707806</v>
      </c>
      <c r="BH13" s="59">
        <f t="shared" si="8"/>
        <v>219.2653284589735</v>
      </c>
      <c r="BI13" s="59">
        <f ca="1">AVERAGE(OFFSET($BH$3,0,0,'Données projet'!$E$11+1,1))-AVERAGE(OFFSET($H$3,0,0,'Données projet'!$E$11+1,1))</f>
        <v>326.2912419133811</v>
      </c>
      <c r="BJ13" s="59">
        <f t="shared" si="38"/>
        <v>315.07976787459938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29</v>
      </c>
      <c r="BW13" s="12">
        <f>VLOOKUP(A13,'Données projet'!$A$113:$I$133,9,0)</f>
        <v>2.9</v>
      </c>
      <c r="BX13" s="12">
        <f t="array" ref="BX13">INDEX(BW:BW,MIN(IF(ISNUMBER(BW13:BW209),ROW(BW13:BW209),"")))</f>
        <v>2.9</v>
      </c>
      <c r="BY13" s="12">
        <f>IF('Données projet'!$A$114&gt;35,BY12+BX13-CG12,IF(A13&lt;'Données projet'!$A$114,$BV$205^A13,IF(A13='Données projet'!$A$114,'Données projet'!$B$114,BY12+BX13-CG12)))</f>
        <v>29</v>
      </c>
      <c r="BZ13" s="13">
        <f>BY13*VLOOKUP('Données projet'!$B$12,Paramètres!$A$1:$I$89,3,0)*VLOOKUP('Données projet'!$B$12,Paramètres!$A$1:$I$89,5,0)</f>
        <v>18.548399999999997</v>
      </c>
      <c r="CA13" s="13">
        <f t="shared" si="39"/>
        <v>6.0845385457264758</v>
      </c>
      <c r="CB13" s="20">
        <f t="shared" si="10"/>
        <v>42.902367967140272</v>
      </c>
      <c r="CC13" s="59">
        <f t="shared" si="11"/>
        <v>240.88239226640596</v>
      </c>
      <c r="CD13" s="59">
        <f ca="1">AVERAGE(OFFSET($CC$3,0,0,'Données projet'!$E$12+1,1))-AVERAGE(OFFSET($H$3,0,0,'Données projet'!$E$12+1,1))</f>
        <v>297.03992602744393</v>
      </c>
      <c r="CE13" s="59">
        <f t="shared" si="40"/>
        <v>265.2588848922893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15.116400000000001</v>
      </c>
      <c r="CV13" s="13">
        <f t="shared" si="41"/>
        <v>5.0782333044806913</v>
      </c>
      <c r="CW13" s="20">
        <f t="shared" si="13"/>
        <v>35.172319671970541</v>
      </c>
      <c r="CX13" s="59">
        <f t="shared" si="14"/>
        <v>233.15234397123623</v>
      </c>
      <c r="CY13" s="59">
        <f ca="1">AVERAGE(OFFSET($CX$3,0,0,'Données projet'!$E$13+1,1))-AVERAGE(OFFSET($H$3,0,0,'Données projet'!$E$13+1,1))</f>
        <v>427.42918901489531</v>
      </c>
      <c r="CZ13" s="59">
        <f t="shared" si="42"/>
        <v>410.68601510655412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4.0628205133333335</v>
      </c>
      <c r="DO13" s="12">
        <f>IF('Données projet'!$A$166&gt;35,DO12+DN13-DW12,IF(A13&lt;'Données projet'!$A$166,$DL$205^A13,IF(A13='Données projet'!$A$166,'Données projet'!$B$166,DO12+DN13-DW12)))</f>
        <v>4.9581115908901685</v>
      </c>
      <c r="DP13" s="17">
        <f>DO13*VLOOKUP('Données projet'!$B$14,Paramètres!$A$1:$I$89,3,0)*VLOOKUP('Données projet'!$B$14,Paramètres!$A$1:$I$89,5,0)</f>
        <v>4.7954855307089712</v>
      </c>
      <c r="DQ13" s="13">
        <f t="shared" si="43"/>
        <v>1.8413474169859889</v>
      </c>
      <c r="DR13" s="20">
        <f t="shared" si="16"/>
        <v>11.559150717235388</v>
      </c>
      <c r="DS13" s="59">
        <f t="shared" si="17"/>
        <v>209.53917501650108</v>
      </c>
      <c r="DT13" s="59">
        <f ca="1">AVERAGE(OFFSET($DS$3,0,0,'Données projet'!$E$14+1,1))-AVERAGE(OFFSET($H$3,0,0,'Données projet'!$E$14+1,1))</f>
        <v>598.03945725240396</v>
      </c>
      <c r="DU13" s="59">
        <f t="shared" si="44"/>
        <v>313.9014686755695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4.0628205128205126</v>
      </c>
      <c r="EJ13" s="12">
        <f>IF('Données projet'!$A$192&gt;35,EJ12+EI13-ER12,IF(A13&lt;'Données projet'!$A$192,$EG$205^A13,IF(A13='Données projet'!$A$192,'Données projet'!$B$192,EJ12+EI13-ER12)))</f>
        <v>4.9581115906815549</v>
      </c>
      <c r="EK13" s="17">
        <f>EJ13*VLOOKUP('Données projet'!$B$15,Paramètres!$A$1:$I$89,3,0)*VLOOKUP('Données projet'!$B$15,Paramètres!$A$1:$I$89,5,0)</f>
        <v>3.3259012550291867</v>
      </c>
      <c r="EL13" s="13">
        <f t="shared" si="45"/>
        <v>1.3326348531212862</v>
      </c>
      <c r="EM13" s="20">
        <f t="shared" si="19"/>
        <v>8.1136170550287403</v>
      </c>
      <c r="EN13" s="59">
        <f t="shared" si="20"/>
        <v>206.09364135429445</v>
      </c>
      <c r="EO13" s="59">
        <f ca="1">AVERAGE(OFFSET($EN$3,0,0,'Données projet'!$E$15+1,1))-AVERAGE(OFFSET($H$3,0,0,'Données projet'!$E$15+1,1))</f>
        <v>438.27475674276604</v>
      </c>
      <c r="EP13" s="59">
        <f t="shared" si="46"/>
        <v>235.97720136798864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4.8773333333333335</v>
      </c>
      <c r="FE13" s="12">
        <f>IF('Données projet'!$A$218&gt;35,FE12+FD13-FM12,IF(A13&lt;'Données projet'!$A$218,$FB$205^A13,IF(A13='Données projet'!$A$218,'Données projet'!$B$218,FE12+FD13-FM12)))</f>
        <v>5.2694816620086362</v>
      </c>
      <c r="FF13" s="17">
        <f>FE13*VLOOKUP('Données projet'!$B$16,Paramètres!$A$1:$I$89,3,0)*VLOOKUP('Données projet'!$B$16,Paramètres!$A$1:$I$89,5,0)</f>
        <v>2.4661174178200418</v>
      </c>
      <c r="FG13" s="13">
        <f t="shared" si="47"/>
        <v>1.0231408268669981</v>
      </c>
      <c r="FH13" s="20">
        <f t="shared" si="22"/>
        <v>6.0771247761632603</v>
      </c>
      <c r="FI13" s="59">
        <f t="shared" si="23"/>
        <v>204.05714907542895</v>
      </c>
      <c r="FJ13" s="59">
        <f ca="1">AVERAGE(OFFSET($FI$3,0,0,'Données projet'!$E$16+1,1))-AVERAGE(OFFSET($H$3,0,0,'Données projet'!$E$16+1,1))</f>
        <v>329.49463758169588</v>
      </c>
      <c r="FK13" s="59">
        <f t="shared" si="48"/>
        <v>207.1447698203379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8.6</v>
      </c>
      <c r="FZ13" s="12">
        <f>IF('Données projet'!$A$244&gt;35,FZ12+FY13-GH12,IF(A13&lt;'Données projet'!$A$244,$FW$205^A13,IF(A13='Données projet'!$A$244,'Données projet'!$B$244,FZ12+FY13-GH12)))</f>
        <v>25.530528603808897</v>
      </c>
      <c r="GA13" s="17">
        <f>FZ13*VLOOKUP('Données projet'!$B$17,Paramètres!$A$1:$I$89,3,0)*VLOOKUP('Données projet'!$B$17,Paramètres!$A$1:$I$89,5,0)</f>
        <v>15.267256105077722</v>
      </c>
      <c r="GB13" s="13">
        <f t="shared" si="49"/>
        <v>5.1229872662242473</v>
      </c>
      <c r="GC13" s="20">
        <f t="shared" si="25"/>
        <v>35.513007205017594</v>
      </c>
      <c r="GD13" s="59">
        <f t="shared" si="26"/>
        <v>233.49303150428329</v>
      </c>
      <c r="GE13" s="59">
        <f ca="1">AVERAGE(OFFSET($GD$3,0,0,'Données projet'!$E$17+1,1))-AVERAGE(OFFSET($H$3,0,0,'Données projet'!$E$17+1,1))</f>
        <v>577.07444926285291</v>
      </c>
      <c r="GF13" s="59">
        <f t="shared" si="50"/>
        <v>501.3762209070419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50.661218748284583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35.256410250000002</v>
      </c>
      <c r="GU13" s="12">
        <f>IF('Données projet'!$A$270&gt;35,GU12+GT13-HC12,IF(A13&lt;'Données projet'!$A$270,$GR$205^A13,IF(A13='Données projet'!$A$270,'Données projet'!$B$270,GU12+GT13-HC12)))</f>
        <v>131.41025640000001</v>
      </c>
      <c r="GV13" s="17">
        <f>GU13*VLOOKUP('Données projet'!$B$18,Paramètres!$A$1:$I$89,3,0)*VLOOKUP('Données projet'!$B$18,Paramètres!$A$1:$I$89,5,0)</f>
        <v>69.49499999457602</v>
      </c>
      <c r="GW13" s="13">
        <f t="shared" si="51"/>
        <v>19.547995473906941</v>
      </c>
      <c r="GX13" s="20">
        <f t="shared" si="28"/>
        <v>155.08321710760779</v>
      </c>
      <c r="GY13" s="59">
        <f t="shared" si="29"/>
        <v>353.06324140687349</v>
      </c>
      <c r="GZ13" s="59">
        <f ca="1">AVERAGE(OFFSET($GY$3,0,0,'Données projet'!$E$18+1,1))-AVERAGE(OFFSET($H$3,0,0,'Données projet'!$E$18+1,1))</f>
        <v>212.75657290802619</v>
      </c>
      <c r="HA13" s="59">
        <f t="shared" si="52"/>
        <v>411.47446316045978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4.60745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16.893983333333335</v>
      </c>
      <c r="H14" s="66">
        <f t="shared" si="1"/>
        <v>189.09073333333333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213.08522193972001</v>
      </c>
      <c r="S14" s="59">
        <f ca="1">AVERAGE(OFFSET($R$3,0,0,'Données projet'!$E$9+1,1))-AVERAGE(OFFSET($H$3,0,0,'Données projet'!$E$9+1,1))</f>
        <v>564.49981446852132</v>
      </c>
      <c r="T14" s="59">
        <f t="shared" si="34"/>
        <v>297.54722913785406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4.0628205133333335</v>
      </c>
      <c r="AI14" s="13">
        <f>IF('Données projet'!$A$62&gt;35,AI13+AH14-AQ13,IF(A14&lt;'Données projet'!$A$62,$AF$205^A14,IF(A14='Données projet'!$A$62,'Données projet'!$B$62,AI13+AH14-AQ13)))</f>
        <v>5.8189942332800397</v>
      </c>
      <c r="AJ14" s="13">
        <f>AI14*VLOOKUP('Données projet'!$B$10,Paramètres!$A$1:$I$89,3,0)*VLOOKUP('Données projet'!$B$10,Paramètres!$A$1:$I$89,5,0)</f>
        <v>5.9004601525459606</v>
      </c>
      <c r="AK14" s="13">
        <f t="shared" si="35"/>
        <v>2.2116012667823983</v>
      </c>
      <c r="AL14" s="20">
        <f t="shared" si="4"/>
        <v>14.128506971996892</v>
      </c>
      <c r="AM14" s="59">
        <f t="shared" si="5"/>
        <v>214.56086376564284</v>
      </c>
      <c r="AN14" s="59">
        <f ca="1">AVERAGE(OFFSET($AM$3,0,0,'Données projet'!$E$10+1,1))-AVERAGE(OFFSET($H$3,0,0,'Données projet'!$E$10+1,1))</f>
        <v>623.16549611107564</v>
      </c>
      <c r="AO14" s="59">
        <f t="shared" si="36"/>
        <v>326.15178903425885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11.458889715481076</v>
      </c>
      <c r="BF14" s="13">
        <f t="shared" si="37"/>
        <v>3.9756707710945065</v>
      </c>
      <c r="BG14" s="20">
        <f t="shared" si="7"/>
        <v>26.881859514119139</v>
      </c>
      <c r="BH14" s="59">
        <f t="shared" si="8"/>
        <v>227.31421630776507</v>
      </c>
      <c r="BI14" s="59">
        <f ca="1">AVERAGE(OFFSET($BH$3,0,0,'Données projet'!$E$11+1,1))-AVERAGE(OFFSET($H$3,0,0,'Données projet'!$E$11+1,1))</f>
        <v>326.2912419133811</v>
      </c>
      <c r="BJ14" s="59">
        <f t="shared" si="38"/>
        <v>315.07976787459938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8.8000000000000007</v>
      </c>
      <c r="BY14" s="12">
        <f>IF('Données projet'!$A$114&gt;35,BY13+BX14-CG13,IF(A14&lt;'Données projet'!$A$114,$BV$205^A14,IF(A14='Données projet'!$A$114,'Données projet'!$B$114,BY13+BX14-CG13)))</f>
        <v>37.799999999999997</v>
      </c>
      <c r="BZ14" s="13">
        <f>BY14*VLOOKUP('Données projet'!$B$12,Paramètres!$A$1:$I$89,3,0)*VLOOKUP('Données projet'!$B$12,Paramètres!$A$1:$I$89,5,0)</f>
        <v>24.176879999999997</v>
      </c>
      <c r="CA14" s="13">
        <f t="shared" si="39"/>
        <v>7.689967956066222</v>
      </c>
      <c r="CB14" s="20">
        <f t="shared" si="10"/>
        <v>55.501426856815328</v>
      </c>
      <c r="CC14" s="59">
        <f t="shared" si="11"/>
        <v>255.93378365046127</v>
      </c>
      <c r="CD14" s="59">
        <f ca="1">AVERAGE(OFFSET($CC$3,0,0,'Données projet'!$E$12+1,1))-AVERAGE(OFFSET($H$3,0,0,'Données projet'!$E$12+1,1))</f>
        <v>297.03992602744393</v>
      </c>
      <c r="CE14" s="59">
        <f t="shared" si="40"/>
        <v>265.2588848922893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14.6</v>
      </c>
      <c r="CT14" s="12">
        <f>IF('Données projet'!$A$140&gt;35,CT13+CS14-DB13,IF(A14&lt;'Données projet'!$A$140,$CQ$205^A14,IF(A14='Données projet'!$A$140,'Données projet'!$B$140,CT13+CS14-DB13)))</f>
        <v>26.6</v>
      </c>
      <c r="CU14" s="17">
        <f>CT14*VLOOKUP('Données projet'!$B$13,Paramètres!$A$1:$I$89,3,0)*VLOOKUP('Données projet'!$B$13,Paramètres!$A$1:$I$89,5,0)</f>
        <v>21.162960000000002</v>
      </c>
      <c r="CV14" s="13">
        <f t="shared" si="41"/>
        <v>6.8364616466980515</v>
      </c>
      <c r="CW14" s="20">
        <f t="shared" si="13"/>
        <v>48.765659367999113</v>
      </c>
      <c r="CX14" s="59">
        <f t="shared" si="14"/>
        <v>249.19801616164506</v>
      </c>
      <c r="CY14" s="59">
        <f ca="1">AVERAGE(OFFSET($CX$3,0,0,'Données projet'!$E$13+1,1))-AVERAGE(OFFSET($H$3,0,0,'Données projet'!$E$13+1,1))</f>
        <v>427.42918901489531</v>
      </c>
      <c r="CZ14" s="59">
        <f t="shared" si="42"/>
        <v>410.68601510655412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4.0628205133333335</v>
      </c>
      <c r="DO14" s="12">
        <f>IF('Données projet'!$A$166&gt;35,DO13+DN14-DW13,IF(A14&lt;'Données projet'!$A$166,$DL$205^A14,IF(A14='Données projet'!$A$166,'Données projet'!$B$166,DO13+DN14-DW13)))</f>
        <v>5.8189942332800397</v>
      </c>
      <c r="DP14" s="17">
        <f>DO14*VLOOKUP('Données projet'!$B$14,Paramètres!$A$1:$I$89,3,0)*VLOOKUP('Données projet'!$B$14,Paramètres!$A$1:$I$89,5,0)</f>
        <v>5.6281312224284541</v>
      </c>
      <c r="DQ14" s="13">
        <f t="shared" si="43"/>
        <v>2.1211622279936591</v>
      </c>
      <c r="DR14" s="20">
        <f t="shared" si="16"/>
        <v>13.496686092818514</v>
      </c>
      <c r="DS14" s="59">
        <f t="shared" si="17"/>
        <v>213.92904288646446</v>
      </c>
      <c r="DT14" s="59">
        <f ca="1">AVERAGE(OFFSET($DS$3,0,0,'Données projet'!$E$14+1,1))-AVERAGE(OFFSET($H$3,0,0,'Données projet'!$E$14+1,1))</f>
        <v>598.03945725240396</v>
      </c>
      <c r="DU14" s="59">
        <f t="shared" si="44"/>
        <v>313.9014686755695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4.0628205128205126</v>
      </c>
      <c r="EJ14" s="12">
        <f>IF('Données projet'!$A$192&gt;35,EJ13+EI14-ER13,IF(A14&lt;'Données projet'!$A$192,$EG$205^A14,IF(A14='Données projet'!$A$192,'Données projet'!$B$192,EJ13+EI14-ER13)))</f>
        <v>5.8189942330107201</v>
      </c>
      <c r="EK14" s="17">
        <f>EJ14*VLOOKUP('Données projet'!$B$15,Paramètres!$A$1:$I$89,3,0)*VLOOKUP('Données projet'!$B$15,Paramètres!$A$1:$I$89,5,0)</f>
        <v>3.9033813315035912</v>
      </c>
      <c r="EL14" s="13">
        <f t="shared" si="45"/>
        <v>1.5351446924476555</v>
      </c>
      <c r="EM14" s="20">
        <f t="shared" si="19"/>
        <v>9.4720994917150865</v>
      </c>
      <c r="EN14" s="59">
        <f t="shared" si="20"/>
        <v>209.90445628536102</v>
      </c>
      <c r="EO14" s="59">
        <f ca="1">AVERAGE(OFFSET($EN$3,0,0,'Données projet'!$E$15+1,1))-AVERAGE(OFFSET($H$3,0,0,'Données projet'!$E$15+1,1))</f>
        <v>438.27475674276604</v>
      </c>
      <c r="EP14" s="59">
        <f t="shared" si="46"/>
        <v>235.97720136798864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4.8773333333333335</v>
      </c>
      <c r="FE14" s="12">
        <f>IF('Données projet'!$A$218&gt;35,FE13+FD14-FM13,IF(A14&lt;'Données projet'!$A$218,$FB$205^A14,IF(A14='Données projet'!$A$218,'Données projet'!$B$218,FE13+FD14-FM13)))</f>
        <v>6.2222103259546522</v>
      </c>
      <c r="FF14" s="17">
        <f>FE14*VLOOKUP('Données projet'!$B$16,Paramètres!$A$1:$I$89,3,0)*VLOOKUP('Données projet'!$B$16,Paramètres!$A$1:$I$89,5,0)</f>
        <v>2.911994432546777</v>
      </c>
      <c r="FG14" s="13">
        <f t="shared" si="47"/>
        <v>1.1849794703133387</v>
      </c>
      <c r="FH14" s="20">
        <f t="shared" si="22"/>
        <v>7.1355628808147005</v>
      </c>
      <c r="FI14" s="59">
        <f t="shared" si="23"/>
        <v>207.56791967446063</v>
      </c>
      <c r="FJ14" s="59">
        <f ca="1">AVERAGE(OFFSET($FI$3,0,0,'Données projet'!$E$16+1,1))-AVERAGE(OFFSET($H$3,0,0,'Données projet'!$E$16+1,1))</f>
        <v>329.49463758169588</v>
      </c>
      <c r="FK14" s="59">
        <f t="shared" si="48"/>
        <v>207.1447698203379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8.6</v>
      </c>
      <c r="FZ14" s="12">
        <f>IF('Données projet'!$A$244&gt;35,FZ13+FY14-GH13,IF(A14&lt;'Données projet'!$A$244,$FW$205^A14,IF(A14='Données projet'!$A$244,'Données projet'!$B$244,FZ13+FY14-GH13)))</f>
        <v>35.299275154628958</v>
      </c>
      <c r="GA14" s="17">
        <f>FZ14*VLOOKUP('Données projet'!$B$17,Paramètres!$A$1:$I$89,3,0)*VLOOKUP('Données projet'!$B$17,Paramètres!$A$1:$I$89,5,0)</f>
        <v>21.108966542468117</v>
      </c>
      <c r="GB14" s="13">
        <f t="shared" si="49"/>
        <v>6.8210476110087299</v>
      </c>
      <c r="GC14" s="20">
        <f t="shared" si="25"/>
        <v>48.644774650638844</v>
      </c>
      <c r="GD14" s="59">
        <f t="shared" si="26"/>
        <v>249.07713144428479</v>
      </c>
      <c r="GE14" s="59">
        <f ca="1">AVERAGE(OFFSET($GD$3,0,0,'Données projet'!$E$17+1,1))-AVERAGE(OFFSET($H$3,0,0,'Données projet'!$E$17+1,1))</f>
        <v>577.07444926285291</v>
      </c>
      <c r="GF14" s="59">
        <f t="shared" si="50"/>
        <v>501.3762209070419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50.996703367964045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35.256410250000002</v>
      </c>
      <c r="GU14" s="12">
        <f>IF('Données projet'!$A$270&gt;35,GU13+GT14-HC13,IF(A14&lt;'Données projet'!$A$270,$GR$205^A14,IF(A14='Données projet'!$A$270,'Données projet'!$B$270,GU13+GT14-HC13)))</f>
        <v>166.66666665000002</v>
      </c>
      <c r="GV14" s="17">
        <f>GU14*VLOOKUP('Données projet'!$B$18,Paramètres!$A$1:$I$89,3,0)*VLOOKUP('Données projet'!$B$18,Paramètres!$A$1:$I$89,5,0)</f>
        <v>88.139999991186016</v>
      </c>
      <c r="GW14" s="13">
        <f t="shared" si="51"/>
        <v>24.116094024187927</v>
      </c>
      <c r="GX14" s="20">
        <f t="shared" si="28"/>
        <v>195.51269707677628</v>
      </c>
      <c r="GY14" s="59">
        <f t="shared" si="29"/>
        <v>395.94505387042221</v>
      </c>
      <c r="GZ14" s="59">
        <f ca="1">AVERAGE(OFFSET($GY$3,0,0,'Données projet'!$E$18+1,1))-AVERAGE(OFFSET($H$3,0,0,'Données projet'!$E$18+1,1))</f>
        <v>212.75657290802619</v>
      </c>
      <c r="HA14" s="59">
        <f t="shared" si="52"/>
        <v>411.47446316045978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4.60745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16.893983333333335</v>
      </c>
      <c r="H15" s="66">
        <f t="shared" si="1"/>
        <v>189.09073333333333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217.63767384037794</v>
      </c>
      <c r="S15" s="59">
        <f ca="1">AVERAGE(OFFSET($R$3,0,0,'Données projet'!$E$9+1,1))-AVERAGE(OFFSET($H$3,0,0,'Données projet'!$E$9+1,1))</f>
        <v>564.49981446852132</v>
      </c>
      <c r="T15" s="59">
        <f t="shared" si="34"/>
        <v>297.54722913785406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4.0628205133333335</v>
      </c>
      <c r="AI15" s="13">
        <f>IF('Données projet'!$A$62&gt;35,AI14+AH15-AQ14,IF(A15&lt;'Données projet'!$A$62,$AF$205^A15,IF(A15='Données projet'!$A$62,'Données projet'!$B$62,AI14+AH15-AQ14)))</f>
        <v>6.8293529232300063</v>
      </c>
      <c r="AJ15" s="13">
        <f>AI15*VLOOKUP('Données projet'!$B$10,Paramètres!$A$1:$I$89,3,0)*VLOOKUP('Données projet'!$B$10,Paramètres!$A$1:$I$89,5,0)</f>
        <v>6.9249638641552265</v>
      </c>
      <c r="AK15" s="13">
        <f t="shared" si="35"/>
        <v>2.5476805882512314</v>
      </c>
      <c r="AL15" s="20">
        <f t="shared" si="4"/>
        <v>16.498189087941249</v>
      </c>
      <c r="AM15" s="59">
        <f t="shared" si="5"/>
        <v>219.36153871286007</v>
      </c>
      <c r="AN15" s="59">
        <f ca="1">AVERAGE(OFFSET($AM$3,0,0,'Données projet'!$E$10+1,1))-AVERAGE(OFFSET($H$3,0,0,'Données projet'!$E$10+1,1))</f>
        <v>623.16549611107564</v>
      </c>
      <c r="AO15" s="59">
        <f t="shared" si="36"/>
        <v>326.15178903425885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14.57771049852043</v>
      </c>
      <c r="BF15" s="13">
        <f t="shared" si="37"/>
        <v>4.9179934854347964</v>
      </c>
      <c r="BG15" s="20">
        <f t="shared" si="7"/>
        <v>33.955017772055356</v>
      </c>
      <c r="BH15" s="59">
        <f t="shared" si="8"/>
        <v>236.81836739697417</v>
      </c>
      <c r="BI15" s="59">
        <f ca="1">AVERAGE(OFFSET($BH$3,0,0,'Données projet'!$E$11+1,1))-AVERAGE(OFFSET($H$3,0,0,'Données projet'!$E$11+1,1))</f>
        <v>326.2912419133811</v>
      </c>
      <c r="BJ15" s="59">
        <f t="shared" si="38"/>
        <v>315.07976787459938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8.8000000000000007</v>
      </c>
      <c r="BY15" s="12">
        <f>IF('Données projet'!$A$114&gt;35,BY14+BX15-CG14,IF(A15&lt;'Données projet'!$A$114,$BV$205^A15,IF(A15='Données projet'!$A$114,'Données projet'!$B$114,BY14+BX15-CG14)))</f>
        <v>46.599999999999994</v>
      </c>
      <c r="BZ15" s="13">
        <f>BY15*VLOOKUP('Données projet'!$B$12,Paramètres!$A$1:$I$89,3,0)*VLOOKUP('Données projet'!$B$12,Paramètres!$A$1:$I$89,5,0)</f>
        <v>29.805359999999997</v>
      </c>
      <c r="CA15" s="13">
        <f t="shared" si="39"/>
        <v>9.2520627957774852</v>
      </c>
      <c r="CB15" s="20">
        <f t="shared" si="10"/>
        <v>68.025011369312452</v>
      </c>
      <c r="CC15" s="59">
        <f t="shared" si="11"/>
        <v>270.88836099423128</v>
      </c>
      <c r="CD15" s="59">
        <f ca="1">AVERAGE(OFFSET($CC$3,0,0,'Données projet'!$E$12+1,1))-AVERAGE(OFFSET($H$3,0,0,'Données projet'!$E$12+1,1))</f>
        <v>297.03992602744393</v>
      </c>
      <c r="CE15" s="59">
        <f t="shared" si="40"/>
        <v>265.2588848922893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14.6</v>
      </c>
      <c r="CT15" s="12">
        <f>IF('Données projet'!$A$140&gt;35,CT14+CS15-DB14,IF(A15&lt;'Données projet'!$A$140,$CQ$205^A15,IF(A15='Données projet'!$A$140,'Données projet'!$B$140,CT14+CS15-DB14)))</f>
        <v>41.2</v>
      </c>
      <c r="CU15" s="17">
        <f>CT15*VLOOKUP('Données projet'!$B$13,Paramètres!$A$1:$I$89,3,0)*VLOOKUP('Données projet'!$B$13,Paramètres!$A$1:$I$89,5,0)</f>
        <v>32.77872</v>
      </c>
      <c r="CV15" s="13">
        <f t="shared" si="41"/>
        <v>10.063038810723747</v>
      </c>
      <c r="CW15" s="20">
        <f t="shared" si="13"/>
        <v>74.616063262010528</v>
      </c>
      <c r="CX15" s="59">
        <f t="shared" si="14"/>
        <v>277.47941288692937</v>
      </c>
      <c r="CY15" s="59">
        <f ca="1">AVERAGE(OFFSET($CX$3,0,0,'Données projet'!$E$13+1,1))-AVERAGE(OFFSET($H$3,0,0,'Données projet'!$E$13+1,1))</f>
        <v>427.42918901489531</v>
      </c>
      <c r="CZ15" s="59">
        <f t="shared" si="42"/>
        <v>410.68601510655412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4.0628205133333335</v>
      </c>
      <c r="DO15" s="12">
        <f>IF('Données projet'!$A$166&gt;35,DO14+DN15-DW14,IF(A15&lt;'Données projet'!$A$166,$DL$205^A15,IF(A15='Données projet'!$A$166,'Données projet'!$B$166,DO14+DN15-DW14)))</f>
        <v>6.8293529232300063</v>
      </c>
      <c r="DP15" s="17">
        <f>DO15*VLOOKUP('Données projet'!$B$14,Paramètres!$A$1:$I$89,3,0)*VLOOKUP('Données projet'!$B$14,Paramètres!$A$1:$I$89,5,0)</f>
        <v>6.6053501473480623</v>
      </c>
      <c r="DQ15" s="13">
        <f t="shared" si="43"/>
        <v>2.4434982534864362</v>
      </c>
      <c r="DR15" s="20">
        <f t="shared" si="16"/>
        <v>15.760077631453415</v>
      </c>
      <c r="DS15" s="59">
        <f t="shared" si="17"/>
        <v>218.62342725637222</v>
      </c>
      <c r="DT15" s="59">
        <f ca="1">AVERAGE(OFFSET($DS$3,0,0,'Données projet'!$E$14+1,1))-AVERAGE(OFFSET($H$3,0,0,'Données projet'!$E$14+1,1))</f>
        <v>598.03945725240396</v>
      </c>
      <c r="DU15" s="59">
        <f t="shared" si="44"/>
        <v>313.9014686755695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4.0628205128205126</v>
      </c>
      <c r="EJ15" s="12">
        <f>IF('Données projet'!$A$192&gt;35,EJ14+EI15-ER14,IF(A15&lt;'Données projet'!$A$192,$EG$205^A15,IF(A15='Données projet'!$A$192,'Données projet'!$B$192,EJ14+EI15-ER14)))</f>
        <v>6.8293529228851897</v>
      </c>
      <c r="EK15" s="17">
        <f>EJ15*VLOOKUP('Données projet'!$B$15,Paramètres!$A$1:$I$89,3,0)*VLOOKUP('Données projet'!$B$15,Paramètres!$A$1:$I$89,5,0)</f>
        <v>4.5811299406713859</v>
      </c>
      <c r="EL15" s="13">
        <f t="shared" si="45"/>
        <v>1.7684283292084371</v>
      </c>
      <c r="EM15" s="20">
        <f t="shared" si="19"/>
        <v>11.058813986707358</v>
      </c>
      <c r="EN15" s="59">
        <f t="shared" si="20"/>
        <v>213.92216361162616</v>
      </c>
      <c r="EO15" s="59">
        <f ca="1">AVERAGE(OFFSET($EN$3,0,0,'Données projet'!$E$15+1,1))-AVERAGE(OFFSET($H$3,0,0,'Données projet'!$E$15+1,1))</f>
        <v>438.27475674276604</v>
      </c>
      <c r="EP15" s="59">
        <f t="shared" si="46"/>
        <v>235.97720136798864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4.8773333333333335</v>
      </c>
      <c r="FE15" s="12">
        <f>IF('Données projet'!$A$218&gt;35,FE14+FD15-FM14,IF(A15&lt;'Données projet'!$A$218,$FB$205^A15,IF(A15='Données projet'!$A$218,'Données projet'!$B$218,FE14+FD15-FM14)))</f>
        <v>7.3471934857552688</v>
      </c>
      <c r="FF15" s="17">
        <f>FE15*VLOOKUP('Données projet'!$B$16,Paramètres!$A$1:$I$89,3,0)*VLOOKUP('Données projet'!$B$16,Paramètres!$A$1:$I$89,5,0)</f>
        <v>3.4384865513334657</v>
      </c>
      <c r="FG15" s="13">
        <f t="shared" si="47"/>
        <v>1.3724174700015319</v>
      </c>
      <c r="FH15" s="20">
        <f t="shared" si="22"/>
        <v>8.378991170491787</v>
      </c>
      <c r="FI15" s="59">
        <f t="shared" si="23"/>
        <v>211.2423407954106</v>
      </c>
      <c r="FJ15" s="59">
        <f ca="1">AVERAGE(OFFSET($FI$3,0,0,'Données projet'!$E$16+1,1))-AVERAGE(OFFSET($H$3,0,0,'Données projet'!$E$16+1,1))</f>
        <v>329.49463758169588</v>
      </c>
      <c r="FK15" s="59">
        <f t="shared" si="48"/>
        <v>207.1447698203379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8.6</v>
      </c>
      <c r="FZ15" s="12">
        <f>IF('Données projet'!$A$244&gt;35,FZ14+FY15-GH14,IF(A15&lt;'Données projet'!$A$244,$FW$205^A15,IF(A15='Données projet'!$A$244,'Données projet'!$B$244,FZ14+FY15-GH14)))</f>
        <v>48.805837347852986</v>
      </c>
      <c r="GA15" s="17">
        <f>FZ15*VLOOKUP('Données projet'!$B$17,Paramètres!$A$1:$I$89,3,0)*VLOOKUP('Données projet'!$B$17,Paramètres!$A$1:$I$89,5,0)</f>
        <v>29.185890734016088</v>
      </c>
      <c r="GB15" s="13">
        <f t="shared" si="49"/>
        <v>9.0819453755814319</v>
      </c>
      <c r="GC15" s="20">
        <f t="shared" si="25"/>
        <v>66.649814557549007</v>
      </c>
      <c r="GD15" s="59">
        <f t="shared" si="26"/>
        <v>269.51316418246779</v>
      </c>
      <c r="GE15" s="59">
        <f ca="1">AVERAGE(OFFSET($GD$3,0,0,'Données projet'!$E$17+1,1))-AVERAGE(OFFSET($H$3,0,0,'Données projet'!$E$17+1,1))</f>
        <v>577.07444926285291</v>
      </c>
      <c r="GF15" s="59">
        <f t="shared" si="50"/>
        <v>501.3762209070419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51.326368079523313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35.256410250000002</v>
      </c>
      <c r="GU15" s="12">
        <f>IF('Données projet'!$A$270&gt;35,GU14+GT15-HC14,IF(A15&lt;'Données projet'!$A$270,$GR$205^A15,IF(A15='Données projet'!$A$270,'Données projet'!$B$270,GU14+GT15-HC14)))</f>
        <v>201.92307690000001</v>
      </c>
      <c r="GV15" s="17">
        <f>GU15*VLOOKUP('Données projet'!$B$18,Paramètres!$A$1:$I$89,3,0)*VLOOKUP('Données projet'!$B$18,Paramètres!$A$1:$I$89,5,0)</f>
        <v>106.78499998779601</v>
      </c>
      <c r="GW15" s="13">
        <f t="shared" si="51"/>
        <v>28.572202766071005</v>
      </c>
      <c r="GX15" s="20">
        <f t="shared" si="28"/>
        <v>235.74712812965171</v>
      </c>
      <c r="GY15" s="59">
        <f t="shared" si="29"/>
        <v>438.61047775457052</v>
      </c>
      <c r="GZ15" s="59">
        <f ca="1">AVERAGE(OFFSET($GY$3,0,0,'Données projet'!$E$18+1,1))-AVERAGE(OFFSET($H$3,0,0,'Données projet'!$E$18+1,1))</f>
        <v>212.75657290802619</v>
      </c>
      <c r="HA15" s="59">
        <f t="shared" si="52"/>
        <v>411.47446316045978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4.60745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16.893983333333335</v>
      </c>
      <c r="H16" s="66">
        <f t="shared" si="1"/>
        <v>189.09073333333333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222.52603870783625</v>
      </c>
      <c r="S16" s="59">
        <f ca="1">AVERAGE(OFFSET($R$3,0,0,'Données projet'!$E$9+1,1))-AVERAGE(OFFSET($H$3,0,0,'Données projet'!$E$9+1,1))</f>
        <v>564.49981446852132</v>
      </c>
      <c r="T16" s="59">
        <f t="shared" si="34"/>
        <v>297.54722913785406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4.0628205133333335</v>
      </c>
      <c r="AI16" s="13">
        <f>IF('Données projet'!$A$62&gt;35,AI15+AH16-AQ15,IF(A16&lt;'Données projet'!$A$62,$AF$205^A16,IF(A16='Données projet'!$A$62,'Données projet'!$B$62,AI15+AH16-AQ15)))</f>
        <v>8.0151413595301424</v>
      </c>
      <c r="AJ16" s="13">
        <f>AI16*VLOOKUP('Données projet'!$B$10,Paramètres!$A$1:$I$89,3,0)*VLOOKUP('Données projet'!$B$10,Paramètres!$A$1:$I$89,5,0)</f>
        <v>8.1273533385635659</v>
      </c>
      <c r="AK16" s="13">
        <f t="shared" si="35"/>
        <v>2.9348311909747009</v>
      </c>
      <c r="AL16" s="20">
        <f t="shared" si="4"/>
        <v>19.266638055612479</v>
      </c>
      <c r="AM16" s="59">
        <f t="shared" si="5"/>
        <v>224.54001104414337</v>
      </c>
      <c r="AN16" s="59">
        <f ca="1">AVERAGE(OFFSET($AM$3,0,0,'Données projet'!$E$10+1,1))-AVERAGE(OFFSET($H$3,0,0,'Données projet'!$E$10+1,1))</f>
        <v>623.16549611107564</v>
      </c>
      <c r="AO16" s="59">
        <f t="shared" si="36"/>
        <v>326.15178903425885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18.545395640868254</v>
      </c>
      <c r="BF16" s="13">
        <f t="shared" si="37"/>
        <v>6.0836677168115934</v>
      </c>
      <c r="BG16" s="20">
        <f t="shared" si="7"/>
        <v>42.895618681292397</v>
      </c>
      <c r="BH16" s="59">
        <f t="shared" si="8"/>
        <v>248.1689916698233</v>
      </c>
      <c r="BI16" s="59">
        <f ca="1">AVERAGE(OFFSET($BH$3,0,0,'Données projet'!$E$11+1,1))-AVERAGE(OFFSET($H$3,0,0,'Données projet'!$E$11+1,1))</f>
        <v>326.2912419133811</v>
      </c>
      <c r="BJ16" s="59">
        <f t="shared" si="38"/>
        <v>315.07976787459938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8.8000000000000007</v>
      </c>
      <c r="BY16" s="12">
        <f>IF('Données projet'!$A$114&gt;35,BY15+BX16-CG15,IF(A16&lt;'Données projet'!$A$114,$BV$205^A16,IF(A16='Données projet'!$A$114,'Données projet'!$B$114,BY15+BX16-CG15)))</f>
        <v>55.399999999999991</v>
      </c>
      <c r="BZ16" s="13">
        <f>BY16*VLOOKUP('Données projet'!$B$12,Paramètres!$A$1:$I$89,3,0)*VLOOKUP('Données projet'!$B$12,Paramètres!$A$1:$I$89,5,0)</f>
        <v>35.433839999999996</v>
      </c>
      <c r="CA16" s="13">
        <f t="shared" si="39"/>
        <v>10.779981210767136</v>
      </c>
      <c r="CB16" s="20">
        <f t="shared" si="10"/>
        <v>80.489071942086085</v>
      </c>
      <c r="CC16" s="59">
        <f t="shared" si="11"/>
        <v>285.76244493061699</v>
      </c>
      <c r="CD16" s="59">
        <f ca="1">AVERAGE(OFFSET($CC$3,0,0,'Données projet'!$E$12+1,1))-AVERAGE(OFFSET($H$3,0,0,'Données projet'!$E$12+1,1))</f>
        <v>297.03992602744393</v>
      </c>
      <c r="CE16" s="59">
        <f t="shared" si="40"/>
        <v>265.2588848922893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14.6</v>
      </c>
      <c r="CT16" s="12">
        <f>IF('Données projet'!$A$140&gt;35,CT15+CS16-DB15,IF(A16&lt;'Données projet'!$A$140,$CQ$205^A16,IF(A16='Données projet'!$A$140,'Données projet'!$B$140,CT15+CS16-DB15)))</f>
        <v>55.800000000000004</v>
      </c>
      <c r="CU16" s="17">
        <f>CT16*VLOOKUP('Données projet'!$B$13,Paramètres!$A$1:$I$89,3,0)*VLOOKUP('Données projet'!$B$13,Paramètres!$A$1:$I$89,5,0)</f>
        <v>44.394480000000001</v>
      </c>
      <c r="CV16" s="13">
        <f t="shared" si="41"/>
        <v>13.1562447968447</v>
      </c>
      <c r="CW16" s="20">
        <f t="shared" si="13"/>
        <v>100.2341790211712</v>
      </c>
      <c r="CX16" s="59">
        <f t="shared" si="14"/>
        <v>305.50755200970207</v>
      </c>
      <c r="CY16" s="59">
        <f ca="1">AVERAGE(OFFSET($CX$3,0,0,'Données projet'!$E$13+1,1))-AVERAGE(OFFSET($H$3,0,0,'Données projet'!$E$13+1,1))</f>
        <v>427.42918901489531</v>
      </c>
      <c r="CZ16" s="59">
        <f t="shared" si="42"/>
        <v>410.68601510655412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4.0628205133333335</v>
      </c>
      <c r="DO16" s="12">
        <f>IF('Données projet'!$A$166&gt;35,DO15+DN16-DW15,IF(A16&lt;'Données projet'!$A$166,$DL$205^A16,IF(A16='Données projet'!$A$166,'Données projet'!$B$166,DO15+DN16-DW15)))</f>
        <v>8.0151413595301424</v>
      </c>
      <c r="DP16" s="17">
        <f>DO16*VLOOKUP('Données projet'!$B$14,Paramètres!$A$1:$I$89,3,0)*VLOOKUP('Données projet'!$B$14,Paramètres!$A$1:$I$89,5,0)</f>
        <v>7.7522447229375544</v>
      </c>
      <c r="DQ16" s="13">
        <f t="shared" si="43"/>
        <v>2.8148171016786141</v>
      </c>
      <c r="DR16" s="20">
        <f t="shared" si="16"/>
        <v>18.404299344539826</v>
      </c>
      <c r="DS16" s="59">
        <f t="shared" si="17"/>
        <v>223.67767233307072</v>
      </c>
      <c r="DT16" s="59">
        <f ca="1">AVERAGE(OFFSET($DS$3,0,0,'Données projet'!$E$14+1,1))-AVERAGE(OFFSET($H$3,0,0,'Données projet'!$E$14+1,1))</f>
        <v>598.03945725240396</v>
      </c>
      <c r="DU16" s="59">
        <f t="shared" si="44"/>
        <v>313.9014686755695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4.0628205128205126</v>
      </c>
      <c r="EJ16" s="12">
        <f>IF('Données projet'!$A$192&gt;35,EJ15+EI16-ER15,IF(A16&lt;'Données projet'!$A$192,$EG$205^A16,IF(A16='Données projet'!$A$192,'Données projet'!$B$192,EJ15+EI16-ER15)))</f>
        <v>8.0151413590917304</v>
      </c>
      <c r="EK16" s="17">
        <f>EJ16*VLOOKUP('Données projet'!$B$15,Paramètres!$A$1:$I$89,3,0)*VLOOKUP('Données projet'!$B$15,Paramètres!$A$1:$I$89,5,0)</f>
        <v>5.3765568236787331</v>
      </c>
      <c r="EL16" s="13">
        <f t="shared" si="45"/>
        <v>2.0371622107885297</v>
      </c>
      <c r="EM16" s="20">
        <f t="shared" si="19"/>
        <v>12.912227318363817</v>
      </c>
      <c r="EN16" s="59">
        <f t="shared" si="20"/>
        <v>218.18560030689471</v>
      </c>
      <c r="EO16" s="59">
        <f ca="1">AVERAGE(OFFSET($EN$3,0,0,'Données projet'!$E$15+1,1))-AVERAGE(OFFSET($H$3,0,0,'Données projet'!$E$15+1,1))</f>
        <v>438.27475674276604</v>
      </c>
      <c r="EP16" s="59">
        <f t="shared" si="46"/>
        <v>235.97720136798864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4.8773333333333335</v>
      </c>
      <c r="FE16" s="12">
        <f>IF('Données projet'!$A$218&gt;35,FE15+FD16-FM15,IF(A16&lt;'Données projet'!$A$218,$FB$205^A16,IF(A16='Données projet'!$A$218,'Données projet'!$B$218,FE15+FD16-FM15)))</f>
        <v>8.6755749627994927</v>
      </c>
      <c r="FF16" s="17">
        <f>FE16*VLOOKUP('Données projet'!$B$16,Paramètres!$A$1:$I$89,3,0)*VLOOKUP('Données projet'!$B$16,Paramètres!$A$1:$I$89,5,0)</f>
        <v>4.0601690825901624</v>
      </c>
      <c r="FG16" s="13">
        <f t="shared" si="47"/>
        <v>1.5895040877521298</v>
      </c>
      <c r="FH16" s="20">
        <f t="shared" si="22"/>
        <v>9.83984743834616</v>
      </c>
      <c r="FI16" s="59">
        <f t="shared" si="23"/>
        <v>215.11322042687706</v>
      </c>
      <c r="FJ16" s="59">
        <f ca="1">AVERAGE(OFFSET($FI$3,0,0,'Données projet'!$E$16+1,1))-AVERAGE(OFFSET($H$3,0,0,'Données projet'!$E$16+1,1))</f>
        <v>329.49463758169588</v>
      </c>
      <c r="FK16" s="59">
        <f t="shared" si="48"/>
        <v>207.1447698203379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8.6</v>
      </c>
      <c r="FZ16" s="12">
        <f>IF('Données projet'!$A$244&gt;35,FZ15+FY16-GH15,IF(A16&lt;'Données projet'!$A$244,$FW$205^A16,IF(A16='Données projet'!$A$244,'Données projet'!$B$244,FZ15+FY16-GH15)))</f>
        <v>67.480415639999848</v>
      </c>
      <c r="GA16" s="17">
        <f>FZ16*VLOOKUP('Données projet'!$B$17,Paramètres!$A$1:$I$89,3,0)*VLOOKUP('Données projet'!$B$17,Paramètres!$A$1:$I$89,5,0)</f>
        <v>40.353288552719917</v>
      </c>
      <c r="GB16" s="13">
        <f t="shared" si="49"/>
        <v>12.092238100189313</v>
      </c>
      <c r="GC16" s="20">
        <f t="shared" si="25"/>
        <v>91.342625587150238</v>
      </c>
      <c r="GD16" s="59">
        <f t="shared" si="26"/>
        <v>296.61599857568115</v>
      </c>
      <c r="GE16" s="59">
        <f ca="1">AVERAGE(OFFSET($GD$3,0,0,'Données projet'!$E$17+1,1))-AVERAGE(OFFSET($H$3,0,0,'Données projet'!$E$17+1,1))</f>
        <v>577.07444926285291</v>
      </c>
      <c r="GF16" s="59">
        <f t="shared" si="50"/>
        <v>501.3762209070419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51.650313845356905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35.256410250000002</v>
      </c>
      <c r="GU16" s="12">
        <f>IF('Données projet'!$A$270&gt;35,GU15+GT16-HC15,IF(A16&lt;'Données projet'!$A$270,$GR$205^A16,IF(A16='Données projet'!$A$270,'Données projet'!$B$270,GU15+GT16-HC15)))</f>
        <v>237.17948715</v>
      </c>
      <c r="GV16" s="17">
        <f>GU16*VLOOKUP('Données projet'!$B$18,Paramètres!$A$1:$I$89,3,0)*VLOOKUP('Données projet'!$B$18,Paramètres!$A$1:$I$89,5,0)</f>
        <v>125.42999998440601</v>
      </c>
      <c r="GW16" s="13">
        <f t="shared" si="51"/>
        <v>32.938177193506107</v>
      </c>
      <c r="GX16" s="20">
        <f t="shared" si="28"/>
        <v>275.82457525153023</v>
      </c>
      <c r="GY16" s="59">
        <f t="shared" si="29"/>
        <v>481.0979482400611</v>
      </c>
      <c r="GZ16" s="59">
        <f ca="1">AVERAGE(OFFSET($GY$3,0,0,'Données projet'!$E$18+1,1))-AVERAGE(OFFSET($H$3,0,0,'Données projet'!$E$18+1,1))</f>
        <v>212.75657290802619</v>
      </c>
      <c r="HA16" s="59">
        <f t="shared" si="52"/>
        <v>411.47446316045978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4.60745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16.893983333333335</v>
      </c>
      <c r="H17" s="66">
        <f t="shared" si="1"/>
        <v>189.09073333333333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227.8109033797372</v>
      </c>
      <c r="S17" s="59">
        <f ca="1">AVERAGE(OFFSET($R$3,0,0,'Données projet'!$E$9+1,1))-AVERAGE(OFFSET($H$3,0,0,'Données projet'!$E$9+1,1))</f>
        <v>564.49981446852132</v>
      </c>
      <c r="T17" s="59">
        <f t="shared" si="34"/>
        <v>297.54722913785406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4.0628205133333335</v>
      </c>
      <c r="AI17" s="13">
        <f>IF('Données projet'!$A$62&gt;35,AI16+AH17-AQ16,IF(A17&lt;'Données projet'!$A$62,$AF$205^A17,IF(A17='Données projet'!$A$62,'Données projet'!$B$62,AI16+AH17-AQ16)))</f>
        <v>9.4068196116692437</v>
      </c>
      <c r="AJ17" s="13">
        <f>AI17*VLOOKUP('Données projet'!$B$10,Paramètres!$A$1:$I$89,3,0)*VLOOKUP('Données projet'!$B$10,Paramètres!$A$1:$I$89,5,0)</f>
        <v>9.5385150862326142</v>
      </c>
      <c r="AK17" s="13">
        <f t="shared" si="35"/>
        <v>3.3808139682966454</v>
      </c>
      <c r="AL17" s="20">
        <f t="shared" si="4"/>
        <v>22.501164769971794</v>
      </c>
      <c r="AM17" s="59">
        <f t="shared" si="5"/>
        <v>230.16395542783715</v>
      </c>
      <c r="AN17" s="59">
        <f ca="1">AVERAGE(OFFSET($AM$3,0,0,'Données projet'!$E$10+1,1))-AVERAGE(OFFSET($H$3,0,0,'Données projet'!$E$10+1,1))</f>
        <v>623.16549611107564</v>
      </c>
      <c r="AO17" s="59">
        <f t="shared" si="36"/>
        <v>326.15178903425885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23.592984612449435</v>
      </c>
      <c r="BF17" s="13">
        <f t="shared" si="37"/>
        <v>7.5256327602279143</v>
      </c>
      <c r="BG17" s="20">
        <f t="shared" si="7"/>
        <v>54.198258590746377</v>
      </c>
      <c r="BH17" s="59">
        <f t="shared" si="8"/>
        <v>261.86104924861172</v>
      </c>
      <c r="BI17" s="59">
        <f ca="1">AVERAGE(OFFSET($BH$3,0,0,'Données projet'!$E$11+1,1))-AVERAGE(OFFSET($H$3,0,0,'Données projet'!$E$11+1,1))</f>
        <v>326.2912419133811</v>
      </c>
      <c r="BJ17" s="59">
        <f t="shared" si="38"/>
        <v>315.07976787459938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8.8000000000000007</v>
      </c>
      <c r="BY17" s="12">
        <f>IF('Données projet'!$A$114&gt;35,BY16+BX17-CG16,IF(A17&lt;'Données projet'!$A$114,$BV$205^A17,IF(A17='Données projet'!$A$114,'Données projet'!$B$114,BY16+BX17-CG16)))</f>
        <v>64.199999999999989</v>
      </c>
      <c r="BZ17" s="13">
        <f>BY17*VLOOKUP('Données projet'!$B$12,Paramètres!$A$1:$I$89,3,0)*VLOOKUP('Données projet'!$B$12,Paramètres!$A$1:$I$89,5,0)</f>
        <v>41.062319999999985</v>
      </c>
      <c r="CA17" s="13">
        <f t="shared" si="39"/>
        <v>12.27978396869419</v>
      </c>
      <c r="CB17" s="20">
        <f t="shared" si="10"/>
        <v>92.90416441214235</v>
      </c>
      <c r="CC17" s="59">
        <f t="shared" si="11"/>
        <v>300.56695507000774</v>
      </c>
      <c r="CD17" s="59">
        <f ca="1">AVERAGE(OFFSET($CC$3,0,0,'Données projet'!$E$12+1,1))-AVERAGE(OFFSET($H$3,0,0,'Données projet'!$E$12+1,1))</f>
        <v>297.03992602744393</v>
      </c>
      <c r="CE17" s="59">
        <f t="shared" si="40"/>
        <v>265.2588848922893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14.6</v>
      </c>
      <c r="CT17" s="12">
        <f>IF('Données projet'!$A$140&gt;35,CT16+CS17-DB16,IF(A17&lt;'Données projet'!$A$140,$CQ$205^A17,IF(A17='Données projet'!$A$140,'Données projet'!$B$140,CT16+CS17-DB16)))</f>
        <v>70.400000000000006</v>
      </c>
      <c r="CU17" s="17">
        <f>CT17*VLOOKUP('Données projet'!$B$13,Paramètres!$A$1:$I$89,3,0)*VLOOKUP('Données projet'!$B$13,Paramètres!$A$1:$I$89,5,0)</f>
        <v>56.01024000000001</v>
      </c>
      <c r="CV17" s="13">
        <f t="shared" si="41"/>
        <v>16.155528478402793</v>
      </c>
      <c r="CW17" s="20">
        <f t="shared" si="13"/>
        <v>125.68871343321821</v>
      </c>
      <c r="CX17" s="59">
        <f t="shared" si="14"/>
        <v>333.3515040910836</v>
      </c>
      <c r="CY17" s="59">
        <f ca="1">AVERAGE(OFFSET($CX$3,0,0,'Données projet'!$E$13+1,1))-AVERAGE(OFFSET($H$3,0,0,'Données projet'!$E$13+1,1))</f>
        <v>427.42918901489531</v>
      </c>
      <c r="CZ17" s="59">
        <f t="shared" si="42"/>
        <v>410.68601510655412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4.0628205133333335</v>
      </c>
      <c r="DO17" s="12">
        <f>IF('Données projet'!$A$166&gt;35,DO16+DN17-DW16,IF(A17&lt;'Données projet'!$A$166,$DL$205^A17,IF(A17='Données projet'!$A$166,'Données projet'!$B$166,DO16+DN17-DW16)))</f>
        <v>9.4068196116692437</v>
      </c>
      <c r="DP17" s="17">
        <f>DO17*VLOOKUP('Données projet'!$B$14,Paramètres!$A$1:$I$89,3,0)*VLOOKUP('Données projet'!$B$14,Paramètres!$A$1:$I$89,5,0)</f>
        <v>9.0982759284064922</v>
      </c>
      <c r="DQ17" s="13">
        <f t="shared" si="43"/>
        <v>3.2425622996036125</v>
      </c>
      <c r="DR17" s="20">
        <f t="shared" si="16"/>
        <v>21.493626580450933</v>
      </c>
      <c r="DS17" s="59">
        <f t="shared" si="17"/>
        <v>229.15641723831629</v>
      </c>
      <c r="DT17" s="59">
        <f ca="1">AVERAGE(OFFSET($DS$3,0,0,'Données projet'!$E$14+1,1))-AVERAGE(OFFSET($H$3,0,0,'Données projet'!$E$14+1,1))</f>
        <v>598.03945725240396</v>
      </c>
      <c r="DU17" s="59">
        <f t="shared" si="44"/>
        <v>313.9014686755695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4.0628205128205126</v>
      </c>
      <c r="EJ17" s="12">
        <f>IF('Données projet'!$A$192&gt;35,EJ16+EI17-ER16,IF(A17&lt;'Données projet'!$A$192,$EG$205^A17,IF(A17='Données projet'!$A$192,'Données projet'!$B$192,EJ16+EI17-ER16)))</f>
        <v>9.4068196111151305</v>
      </c>
      <c r="EK17" s="17">
        <f>EJ17*VLOOKUP('Données projet'!$B$15,Paramètres!$A$1:$I$89,3,0)*VLOOKUP('Données projet'!$B$15,Paramètres!$A$1:$I$89,5,0)</f>
        <v>6.3100945951360288</v>
      </c>
      <c r="EL17" s="13">
        <f t="shared" si="45"/>
        <v>2.3467334268063875</v>
      </c>
      <c r="EM17" s="20">
        <f t="shared" si="19"/>
        <v>15.077308804883041</v>
      </c>
      <c r="EN17" s="59">
        <f t="shared" si="20"/>
        <v>222.74009946274842</v>
      </c>
      <c r="EO17" s="59">
        <f ca="1">AVERAGE(OFFSET($EN$3,0,0,'Données projet'!$E$15+1,1))-AVERAGE(OFFSET($H$3,0,0,'Données projet'!$E$15+1,1))</f>
        <v>438.27475674276604</v>
      </c>
      <c r="EP17" s="59">
        <f t="shared" si="46"/>
        <v>235.97720136798864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4.8773333333333335</v>
      </c>
      <c r="FE17" s="12">
        <f>IF('Données projet'!$A$218&gt;35,FE16+FD17-FM16,IF(A17&lt;'Données projet'!$A$218,$FB$205^A17,IF(A17='Données projet'!$A$218,'Données projet'!$B$218,FE16+FD17-FM16)))</f>
        <v>10.244129419087479</v>
      </c>
      <c r="FF17" s="17">
        <f>FE17*VLOOKUP('Données projet'!$B$16,Paramètres!$A$1:$I$89,3,0)*VLOOKUP('Données projet'!$B$16,Paramètres!$A$1:$I$89,5,0)</f>
        <v>4.79425256813294</v>
      </c>
      <c r="FG17" s="13">
        <f t="shared" si="47"/>
        <v>1.8409290906052886</v>
      </c>
      <c r="FH17" s="20">
        <f t="shared" si="22"/>
        <v>11.556274722302414</v>
      </c>
      <c r="FI17" s="59">
        <f t="shared" si="23"/>
        <v>219.21906538016779</v>
      </c>
      <c r="FJ17" s="59">
        <f ca="1">AVERAGE(OFFSET($FI$3,0,0,'Données projet'!$E$16+1,1))-AVERAGE(OFFSET($H$3,0,0,'Données projet'!$E$16+1,1))</f>
        <v>329.49463758169588</v>
      </c>
      <c r="FK17" s="59">
        <f t="shared" si="48"/>
        <v>207.1447698203379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8.6</v>
      </c>
      <c r="FZ17" s="12">
        <f>IF('Données projet'!$A$244&gt;35,FZ16+FY17-GH16,IF(A17&lt;'Données projet'!$A$244,$FW$205^A17,IF(A17='Données projet'!$A$244,'Données projet'!$B$244,FZ16+FY17-GH16)))</f>
        <v>93.300448110177783</v>
      </c>
      <c r="GA17" s="17">
        <f>FZ17*VLOOKUP('Données projet'!$B$17,Paramètres!$A$1:$I$89,3,0)*VLOOKUP('Données projet'!$B$17,Paramètres!$A$1:$I$89,5,0)</f>
        <v>55.793667969886314</v>
      </c>
      <c r="GB17" s="13">
        <f t="shared" si="49"/>
        <v>16.100319504763448</v>
      </c>
      <c r="GC17" s="20">
        <f t="shared" si="25"/>
        <v>125.21536151834833</v>
      </c>
      <c r="GD17" s="59">
        <f t="shared" si="26"/>
        <v>332.87815217621369</v>
      </c>
      <c r="GE17" s="59">
        <f ca="1">AVERAGE(OFFSET($GD$3,0,0,'Données projet'!$E$17+1,1))-AVERAGE(OFFSET($H$3,0,0,'Données projet'!$E$17+1,1))</f>
        <v>577.07444926285291</v>
      </c>
      <c r="GF17" s="59">
        <f t="shared" si="50"/>
        <v>501.3762209070419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51.968639876387527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>
        <f>VLOOKUP(A17,'Données projet'!$A$269:$I$289,2,0)</f>
        <v>272.43589739999999</v>
      </c>
      <c r="GS17" s="12">
        <f>VLOOKUP(A17,'Données projet'!$A$269:$I$289,9,0)</f>
        <v>35.256410250000002</v>
      </c>
      <c r="GT17" s="12">
        <f t="array" ref="GT17">INDEX(GS:GS,MIN(IF(ISNUMBER(GS17:GS213),ROW(GS17:GS213),"")))</f>
        <v>35.256410250000002</v>
      </c>
      <c r="GU17" s="12">
        <f>IF('Données projet'!$A$270&gt;35,GU16+GT17-HC16,IF(A17&lt;'Données projet'!$A$270,$GR$205^A17,IF(A17='Données projet'!$A$270,'Données projet'!$B$270,GU16+GT17-HC16)))</f>
        <v>272.43589739999999</v>
      </c>
      <c r="GV17" s="17">
        <f>GU17*VLOOKUP('Données projet'!$B$18,Paramètres!$A$1:$I$89,3,0)*VLOOKUP('Données projet'!$B$18,Paramètres!$A$1:$I$89,5,0)</f>
        <v>144.07499998101602</v>
      </c>
      <c r="GW17" s="13">
        <f t="shared" si="51"/>
        <v>37.228966212953353</v>
      </c>
      <c r="GX17" s="20">
        <f t="shared" si="28"/>
        <v>315.77107445449661</v>
      </c>
      <c r="GY17" s="59">
        <f t="shared" si="29"/>
        <v>523.43386511236201</v>
      </c>
      <c r="GZ17" s="59">
        <f ca="1">AVERAGE(OFFSET($GY$3,0,0,'Données projet'!$E$18+1,1))-AVERAGE(OFFSET($H$3,0,0,'Données projet'!$E$18+1,1))</f>
        <v>212.75657290802619</v>
      </c>
      <c r="HA17" s="59">
        <f t="shared" si="52"/>
        <v>411.47446316045978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4.60745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16.893983333333335</v>
      </c>
      <c r="H18" s="66">
        <f t="shared" si="1"/>
        <v>189.09073333333333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233.56304013707984</v>
      </c>
      <c r="S18" s="59">
        <f ca="1">AVERAGE(OFFSET($R$3,0,0,'Données projet'!$E$9+1,1))-AVERAGE(OFFSET($H$3,0,0,'Données projet'!$E$9+1,1))</f>
        <v>564.49981446852132</v>
      </c>
      <c r="T18" s="59">
        <f t="shared" si="34"/>
        <v>297.54722913785406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4.0628205133333335</v>
      </c>
      <c r="AI18" s="13">
        <f>IF('Données projet'!$A$62&gt;35,AI17+AH18-AQ17,IF(A18&lt;'Données projet'!$A$62,$AF$205^A18,IF(A18='Données projet'!$A$62,'Données projet'!$B$62,AI17+AH18-AQ17)))</f>
        <v>11.04013656618433</v>
      </c>
      <c r="AJ18" s="13">
        <f>AI18*VLOOKUP('Données projet'!$B$10,Paramètres!$A$1:$I$89,3,0)*VLOOKUP('Données projet'!$B$10,Paramètres!$A$1:$I$89,5,0)</f>
        <v>11.194698478110912</v>
      </c>
      <c r="AK18" s="13">
        <f t="shared" si="35"/>
        <v>3.8945691743291286</v>
      </c>
      <c r="AL18" s="20">
        <f t="shared" si="4"/>
        <v>26.280474494666397</v>
      </c>
      <c r="AM18" s="59">
        <f t="shared" si="5"/>
        <v>236.31243459031697</v>
      </c>
      <c r="AN18" s="59">
        <f ca="1">AVERAGE(OFFSET($AM$3,0,0,'Données projet'!$E$10+1,1))-AVERAGE(OFFSET($H$3,0,0,'Données projet'!$E$10+1,1))</f>
        <v>623.16549611107564</v>
      </c>
      <c r="AO18" s="59">
        <f t="shared" si="36"/>
        <v>326.15178903425885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30.014400000000006</v>
      </c>
      <c r="BF18" s="13">
        <f t="shared" si="37"/>
        <v>9.309375705269078</v>
      </c>
      <c r="BG18" s="20">
        <f t="shared" si="7"/>
        <v>68.488909353343658</v>
      </c>
      <c r="BH18" s="59">
        <f t="shared" si="8"/>
        <v>278.52086944899423</v>
      </c>
      <c r="BI18" s="59">
        <f ca="1">AVERAGE(OFFSET($BH$3,0,0,'Données projet'!$E$11+1,1))-AVERAGE(OFFSET($H$3,0,0,'Données projet'!$E$11+1,1))</f>
        <v>326.2912419133811</v>
      </c>
      <c r="BJ18" s="59">
        <f t="shared" si="38"/>
        <v>315.07976787459938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73</v>
      </c>
      <c r="BW18" s="12">
        <f>VLOOKUP(A18,'Données projet'!$A$113:$I$133,9,0)</f>
        <v>8.8000000000000007</v>
      </c>
      <c r="BX18" s="12">
        <f t="array" ref="BX18">INDEX(BW:BW,MIN(IF(ISNUMBER(BW18:BW214),ROW(BW18:BW214),"")))</f>
        <v>8.8000000000000007</v>
      </c>
      <c r="BY18" s="12">
        <f>IF('Données projet'!$A$114&gt;35,BY17+BX18-CG17,IF(A18&lt;'Données projet'!$A$114,$BV$205^A18,IF(A18='Données projet'!$A$114,'Données projet'!$B$114,BY17+BX18-CG17)))</f>
        <v>72.999999999999986</v>
      </c>
      <c r="BZ18" s="13">
        <f>BY18*VLOOKUP('Données projet'!$B$12,Paramètres!$A$1:$I$89,3,0)*VLOOKUP('Données projet'!$B$12,Paramètres!$A$1:$I$89,5,0)</f>
        <v>46.690799999999989</v>
      </c>
      <c r="CA18" s="13">
        <f t="shared" si="39"/>
        <v>13.755768393500558</v>
      </c>
      <c r="CB18" s="20">
        <f t="shared" si="10"/>
        <v>105.27777328534678</v>
      </c>
      <c r="CC18" s="59">
        <f t="shared" si="11"/>
        <v>315.30973338099733</v>
      </c>
      <c r="CD18" s="59">
        <f ca="1">AVERAGE(OFFSET($CC$3,0,0,'Données projet'!$E$12+1,1))-AVERAGE(OFFSET($H$3,0,0,'Données projet'!$E$12+1,1))</f>
        <v>297.03992602744393</v>
      </c>
      <c r="CE18" s="59">
        <f t="shared" si="40"/>
        <v>265.2588848922893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14.6</v>
      </c>
      <c r="CS18" s="12">
        <f t="array" ref="CS18">INDEX(CR:CR,MIN(IF(ISNUMBER(CR18:CR214),ROW(CR18:CR214),"")))</f>
        <v>14.6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67.626000000000005</v>
      </c>
      <c r="CV18" s="13">
        <f t="shared" si="41"/>
        <v>19.082731089464875</v>
      </c>
      <c r="CW18" s="20">
        <f t="shared" si="13"/>
        <v>151.01770664748466</v>
      </c>
      <c r="CX18" s="59">
        <f t="shared" si="14"/>
        <v>361.04966674313522</v>
      </c>
      <c r="CY18" s="59">
        <f ca="1">AVERAGE(OFFSET($CX$3,0,0,'Données projet'!$E$13+1,1))-AVERAGE(OFFSET($H$3,0,0,'Données projet'!$E$13+1,1))</f>
        <v>427.42918901489531</v>
      </c>
      <c r="CZ18" s="59">
        <f t="shared" si="42"/>
        <v>410.68601510655412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4.0628205133333335</v>
      </c>
      <c r="DO18" s="12">
        <f>IF('Données projet'!$A$166&gt;35,DO17+DN18-DW17,IF(A18&lt;'Données projet'!$A$166,$DL$205^A18,IF(A18='Données projet'!$A$166,'Données projet'!$B$166,DO17+DN18-DW17)))</f>
        <v>11.04013656618433</v>
      </c>
      <c r="DP18" s="17">
        <f>DO18*VLOOKUP('Données projet'!$B$14,Paramètres!$A$1:$I$89,3,0)*VLOOKUP('Données projet'!$B$14,Paramètres!$A$1:$I$89,5,0)</f>
        <v>10.678020086813484</v>
      </c>
      <c r="DQ18" s="13">
        <f t="shared" si="43"/>
        <v>3.7353085074481505</v>
      </c>
      <c r="DR18" s="20">
        <f t="shared" si="16"/>
        <v>25.103213968339016</v>
      </c>
      <c r="DS18" s="59">
        <f t="shared" si="17"/>
        <v>235.13517406398958</v>
      </c>
      <c r="DT18" s="59">
        <f ca="1">AVERAGE(OFFSET($DS$3,0,0,'Données projet'!$E$14+1,1))-AVERAGE(OFFSET($H$3,0,0,'Données projet'!$E$14+1,1))</f>
        <v>598.03945725240396</v>
      </c>
      <c r="DU18" s="59">
        <f t="shared" si="44"/>
        <v>313.9014686755695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4.0628205128205126</v>
      </c>
      <c r="EJ18" s="12">
        <f>IF('Données projet'!$A$192&gt;35,EJ17+EI18-ER17,IF(A18&lt;'Données projet'!$A$192,$EG$205^A18,IF(A18='Données projet'!$A$192,'Données projet'!$B$192,EJ17+EI18-ER17)))</f>
        <v>11.040136565487554</v>
      </c>
      <c r="EK18" s="17">
        <f>EJ18*VLOOKUP('Données projet'!$B$15,Paramètres!$A$1:$I$89,3,0)*VLOOKUP('Données projet'!$B$15,Paramètres!$A$1:$I$89,5,0)</f>
        <v>7.4057236081290512</v>
      </c>
      <c r="EL18" s="13">
        <f t="shared" si="45"/>
        <v>2.7033476997193961</v>
      </c>
      <c r="EM18" s="20">
        <f t="shared" si="19"/>
        <v>17.606632527836044</v>
      </c>
      <c r="EN18" s="59">
        <f t="shared" si="20"/>
        <v>227.6385926234866</v>
      </c>
      <c r="EO18" s="59">
        <f ca="1">AVERAGE(OFFSET($EN$3,0,0,'Données projet'!$E$15+1,1))-AVERAGE(OFFSET($H$3,0,0,'Données projet'!$E$15+1,1))</f>
        <v>438.27475674276604</v>
      </c>
      <c r="EP18" s="59">
        <f t="shared" si="46"/>
        <v>235.97720136798864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4.8773333333333335</v>
      </c>
      <c r="FE18" s="12">
        <f>IF('Données projet'!$A$218&gt;35,FE17+FD18-FM17,IF(A18&lt;'Données projet'!$A$218,$FB$205^A18,IF(A18='Données projet'!$A$218,'Données projet'!$B$218,FE17+FD18-FM17)))</f>
        <v>12.096280420029951</v>
      </c>
      <c r="FF18" s="17">
        <f>FE18*VLOOKUP('Données projet'!$B$16,Paramètres!$A$1:$I$89,3,0)*VLOOKUP('Données projet'!$B$16,Paramètres!$A$1:$I$89,5,0)</f>
        <v>5.6610592365740171</v>
      </c>
      <c r="FG18" s="13">
        <f t="shared" si="47"/>
        <v>2.1321240648267561</v>
      </c>
      <c r="FH18" s="20">
        <f t="shared" si="22"/>
        <v>13.573127583273013</v>
      </c>
      <c r="FI18" s="59">
        <f t="shared" si="23"/>
        <v>223.60508767892358</v>
      </c>
      <c r="FJ18" s="59">
        <f ca="1">AVERAGE(OFFSET($FI$3,0,0,'Données projet'!$E$16+1,1))-AVERAGE(OFFSET($H$3,0,0,'Données projet'!$E$16+1,1))</f>
        <v>329.49463758169588</v>
      </c>
      <c r="FK18" s="59">
        <f t="shared" si="48"/>
        <v>207.1447698203379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129</v>
      </c>
      <c r="FX18" s="12">
        <f>VLOOKUP(A18,'Données projet'!$A$243:$I$263,9,0)</f>
        <v>8.6</v>
      </c>
      <c r="FY18" s="12">
        <f t="array" ref="FY18">INDEX(FX:FX,MIN(IF(ISNUMBER(FX18:FX214),ROW(FX18:FX214),"")))</f>
        <v>8.6</v>
      </c>
      <c r="FZ18" s="12">
        <f>IF('Données projet'!$A$244&gt;35,FZ17+FY18-GH17,IF(A18&lt;'Données projet'!$A$244,$FW$205^A18,IF(A18='Données projet'!$A$244,'Données projet'!$B$244,FZ17+FY18-GH17)))</f>
        <v>129</v>
      </c>
      <c r="GA18" s="17">
        <f>FZ18*VLOOKUP('Données projet'!$B$17,Paramètres!$A$1:$I$89,3,0)*VLOOKUP('Données projet'!$B$17,Paramètres!$A$1:$I$89,5,0)</f>
        <v>77.14200000000001</v>
      </c>
      <c r="GB18" s="13">
        <f t="shared" si="49"/>
        <v>21.436915648510755</v>
      </c>
      <c r="GC18" s="20">
        <f t="shared" si="25"/>
        <v>171.69161142115624</v>
      </c>
      <c r="GD18" s="59">
        <f t="shared" si="26"/>
        <v>381.72357151680683</v>
      </c>
      <c r="GE18" s="59">
        <f ca="1">AVERAGE(OFFSET($GD$3,0,0,'Données projet'!$E$17+1,1))-AVERAGE(OFFSET($H$3,0,0,'Données projet'!$E$17+1,1))</f>
        <v>577.07444926285291</v>
      </c>
      <c r="GF18" s="59">
        <f t="shared" si="50"/>
        <v>501.3762209070419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21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1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14.21857319233736</v>
      </c>
      <c r="GO18" s="21">
        <f t="shared" si="27"/>
        <v>14.21857319233736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52.281443662450151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7.0512820600000055</v>
      </c>
      <c r="GU18" s="12">
        <f>IF('Données projet'!$A$270&gt;35,GU17+GT18-HC17,IF(A18&lt;'Données projet'!$A$270,$GR$205^A18,IF(A18='Données projet'!$A$270,'Données projet'!$B$270,GU17+GT18-HC17)))</f>
        <v>279.48717945999999</v>
      </c>
      <c r="GV18" s="17">
        <f>GU18*VLOOKUP('Données projet'!$B$18,Paramètres!$A$1:$I$89,3,0)*VLOOKUP('Données projet'!$B$18,Paramètres!$A$1:$I$89,5,0)</f>
        <v>147.80399998562643</v>
      </c>
      <c r="GW18" s="13">
        <f t="shared" si="51"/>
        <v>38.079109189247369</v>
      </c>
      <c r="GX18" s="20">
        <f t="shared" si="28"/>
        <v>323.74641514623852</v>
      </c>
      <c r="GY18" s="59">
        <f t="shared" si="29"/>
        <v>533.77837524188908</v>
      </c>
      <c r="GZ18" s="59">
        <f ca="1">AVERAGE(OFFSET($GY$3,0,0,'Données projet'!$E$18+1,1))-AVERAGE(OFFSET($H$3,0,0,'Données projet'!$E$18+1,1))</f>
        <v>212.75657290802619</v>
      </c>
      <c r="HA18" s="59">
        <f t="shared" si="52"/>
        <v>411.47446316045978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4.60745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16.893983333333335</v>
      </c>
      <c r="H19" s="66">
        <f t="shared" si="1"/>
        <v>189.09073333333333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239.86513617316274</v>
      </c>
      <c r="S19" s="59">
        <f ca="1">AVERAGE(OFFSET($R$3,0,0,'Données projet'!$E$9+1,1))-AVERAGE(OFFSET($H$3,0,0,'Données projet'!$E$9+1,1))</f>
        <v>564.49981446852132</v>
      </c>
      <c r="T19" s="59">
        <f t="shared" si="34"/>
        <v>297.54722913785406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4.0628205133333335</v>
      </c>
      <c r="AI19" s="13">
        <f>IF('Données projet'!$A$62&gt;35,AI18+AH19-AQ18,IF(A19&lt;'Données projet'!$A$62,$AF$205^A19,IF(A19='Données projet'!$A$62,'Données projet'!$B$62,AI18+AH19-AQ18)))</f>
        <v>12.957048230073568</v>
      </c>
      <c r="AJ19" s="13">
        <f>AI19*VLOOKUP('Données projet'!$B$10,Paramètres!$A$1:$I$89,3,0)*VLOOKUP('Données projet'!$B$10,Paramètres!$A$1:$I$89,5,0)</f>
        <v>13.138446905294597</v>
      </c>
      <c r="AK19" s="13">
        <f t="shared" si="35"/>
        <v>4.4863956419573663</v>
      </c>
      <c r="AL19" s="20">
        <f t="shared" si="4"/>
        <v>30.696600769797168</v>
      </c>
      <c r="AM19" s="59">
        <f t="shared" si="5"/>
        <v>243.07783333323272</v>
      </c>
      <c r="AN19" s="59">
        <f ca="1">AVERAGE(OFFSET($AM$3,0,0,'Données projet'!$E$10+1,1))-AVERAGE(OFFSET($H$3,0,0,'Données projet'!$E$10+1,1))</f>
        <v>623.16549611107564</v>
      </c>
      <c r="AO19" s="59">
        <f t="shared" si="36"/>
        <v>326.15178903425885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27.256320000000002</v>
      </c>
      <c r="BF19" s="13">
        <f t="shared" si="37"/>
        <v>8.5493067504276556</v>
      </c>
      <c r="BG19" s="20">
        <f t="shared" si="7"/>
        <v>62.361466590328156</v>
      </c>
      <c r="BH19" s="59">
        <f t="shared" si="8"/>
        <v>274.74269915376374</v>
      </c>
      <c r="BI19" s="59">
        <f ca="1">AVERAGE(OFFSET($BH$3,0,0,'Données projet'!$E$11+1,1))-AVERAGE(OFFSET($H$3,0,0,'Données projet'!$E$11+1,1))</f>
        <v>326.2912419133811</v>
      </c>
      <c r="BJ19" s="59">
        <f t="shared" si="38"/>
        <v>315.07976787459938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11.2</v>
      </c>
      <c r="BY19" s="12">
        <f>IF('Données projet'!$A$114&gt;35,BY18+BX19-CG18,IF(A19&lt;'Données projet'!$A$114,$BV$205^A19,IF(A19='Données projet'!$A$114,'Données projet'!$B$114,BY18+BX19-CG18)))</f>
        <v>84.199999999999989</v>
      </c>
      <c r="BZ19" s="13">
        <f>BY19*VLOOKUP('Données projet'!$B$12,Paramètres!$A$1:$I$89,3,0)*VLOOKUP('Données projet'!$B$12,Paramètres!$A$1:$I$89,5,0)</f>
        <v>53.854319999999987</v>
      </c>
      <c r="CA19" s="13">
        <f t="shared" si="39"/>
        <v>15.604811963375035</v>
      </c>
      <c r="CB19" s="20">
        <f t="shared" si="10"/>
        <v>120.97465483621151</v>
      </c>
      <c r="CC19" s="59">
        <f t="shared" si="11"/>
        <v>333.35588739964709</v>
      </c>
      <c r="CD19" s="59">
        <f ca="1">AVERAGE(OFFSET($CC$3,0,0,'Données projet'!$E$12+1,1))-AVERAGE(OFFSET($H$3,0,0,'Données projet'!$E$12+1,1))</f>
        <v>297.03992602744393</v>
      </c>
      <c r="CE19" s="59">
        <f t="shared" si="40"/>
        <v>265.2588848922893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59</v>
      </c>
      <c r="CU19" s="17">
        <f>CT19*VLOOKUP('Données projet'!$B$13,Paramètres!$A$1:$I$89,3,0)*VLOOKUP('Données projet'!$B$13,Paramètres!$A$1:$I$89,5,0)</f>
        <v>46.940400000000004</v>
      </c>
      <c r="CV19" s="13">
        <f t="shared" si="41"/>
        <v>13.82072434588865</v>
      </c>
      <c r="CW19" s="20">
        <f t="shared" si="13"/>
        <v>105.82562490242275</v>
      </c>
      <c r="CX19" s="59">
        <f t="shared" si="14"/>
        <v>318.20685746585832</v>
      </c>
      <c r="CY19" s="59">
        <f ca="1">AVERAGE(OFFSET($CX$3,0,0,'Données projet'!$E$13+1,1))-AVERAGE(OFFSET($H$3,0,0,'Données projet'!$E$13+1,1))</f>
        <v>427.42918901489531</v>
      </c>
      <c r="CZ19" s="59">
        <f t="shared" si="42"/>
        <v>410.68601510655412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4.0628205133333335</v>
      </c>
      <c r="DO19" s="12">
        <f>IF('Données projet'!$A$166&gt;35,DO18+DN19-DW18,IF(A19&lt;'Données projet'!$A$166,$DL$205^A19,IF(A19='Données projet'!$A$166,'Données projet'!$B$166,DO18+DN19-DW18)))</f>
        <v>12.957048230073568</v>
      </c>
      <c r="DP19" s="17">
        <f>DO19*VLOOKUP('Données projet'!$B$14,Paramètres!$A$1:$I$89,3,0)*VLOOKUP('Données projet'!$B$14,Paramètres!$A$1:$I$89,5,0)</f>
        <v>12.532057048127156</v>
      </c>
      <c r="DQ19" s="13">
        <f t="shared" si="43"/>
        <v>4.3029334077930166</v>
      </c>
      <c r="DR19" s="20">
        <f t="shared" si="16"/>
        <v>29.320941710727627</v>
      </c>
      <c r="DS19" s="59">
        <f t="shared" si="17"/>
        <v>241.70217427416318</v>
      </c>
      <c r="DT19" s="59">
        <f ca="1">AVERAGE(OFFSET($DS$3,0,0,'Données projet'!$E$14+1,1))-AVERAGE(OFFSET($H$3,0,0,'Données projet'!$E$14+1,1))</f>
        <v>598.03945725240396</v>
      </c>
      <c r="DU19" s="59">
        <f t="shared" si="44"/>
        <v>313.9014686755695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4.0628205128205126</v>
      </c>
      <c r="EJ19" s="12">
        <f>IF('Données projet'!$A$192&gt;35,EJ18+EI19-ER18,IF(A19&lt;'Données projet'!$A$192,$EG$205^A19,IF(A19='Données projet'!$A$192,'Données projet'!$B$192,EJ18+EI19-ER18)))</f>
        <v>12.957048229201293</v>
      </c>
      <c r="EK19" s="17">
        <f>EJ19*VLOOKUP('Données projet'!$B$15,Paramètres!$A$1:$I$89,3,0)*VLOOKUP('Données projet'!$B$15,Paramètres!$A$1:$I$89,5,0)</f>
        <v>8.6915879521482271</v>
      </c>
      <c r="EL19" s="13">
        <f t="shared" si="45"/>
        <v>3.1141537858961477</v>
      </c>
      <c r="EM19" s="20">
        <f t="shared" si="19"/>
        <v>20.561666860427287</v>
      </c>
      <c r="EN19" s="59">
        <f t="shared" si="20"/>
        <v>232.94289942386285</v>
      </c>
      <c r="EO19" s="59">
        <f ca="1">AVERAGE(OFFSET($EN$3,0,0,'Données projet'!$E$15+1,1))-AVERAGE(OFFSET($H$3,0,0,'Données projet'!$E$15+1,1))</f>
        <v>438.27475674276604</v>
      </c>
      <c r="EP19" s="59">
        <f t="shared" si="46"/>
        <v>235.97720136798864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4.8773333333333335</v>
      </c>
      <c r="FE19" s="12">
        <f>IF('Données projet'!$A$218&gt;35,FE18+FD19-FM18,IF(A19&lt;'Données projet'!$A$218,$FB$205^A19,IF(A19='Données projet'!$A$218,'Données projet'!$B$218,FE18+FD19-FM18)))</f>
        <v>14.283302564234273</v>
      </c>
      <c r="FF19" s="17">
        <f>FE19*VLOOKUP('Données projet'!$B$16,Paramètres!$A$1:$I$89,3,0)*VLOOKUP('Données projet'!$B$16,Paramètres!$A$1:$I$89,5,0)</f>
        <v>6.6845856000616397</v>
      </c>
      <c r="FG19" s="13">
        <f t="shared" si="47"/>
        <v>2.4693797555878043</v>
      </c>
      <c r="FH19" s="20">
        <f t="shared" si="22"/>
        <v>15.943156327756114</v>
      </c>
      <c r="FI19" s="59">
        <f t="shared" si="23"/>
        <v>228.32438889119169</v>
      </c>
      <c r="FJ19" s="59">
        <f ca="1">AVERAGE(OFFSET($FI$3,0,0,'Données projet'!$E$16+1,1))-AVERAGE(OFFSET($H$3,0,0,'Données projet'!$E$16+1,1))</f>
        <v>329.49463758169588</v>
      </c>
      <c r="FK19" s="59">
        <f t="shared" si="48"/>
        <v>207.1447698203379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23.6</v>
      </c>
      <c r="FZ19" s="12">
        <f>IF('Données projet'!$A$244&gt;35,FZ18+FY19-GH18,IF(A19&lt;'Données projet'!$A$244,$FW$205^A19,IF(A19='Données projet'!$A$244,'Données projet'!$B$244,FZ18+FY19-GH18)))</f>
        <v>131.6</v>
      </c>
      <c r="GA19" s="17">
        <f>FZ19*VLOOKUP('Données projet'!$B$17,Paramètres!$A$1:$I$89,3,0)*VLOOKUP('Données projet'!$B$17,Paramètres!$A$1:$I$89,5,0)</f>
        <v>78.69680000000001</v>
      </c>
      <c r="GB19" s="13">
        <f t="shared" si="49"/>
        <v>21.818241011661829</v>
      </c>
      <c r="GC19" s="20">
        <f t="shared" si="25"/>
        <v>175.06369642864436</v>
      </c>
      <c r="GD19" s="59">
        <f t="shared" si="26"/>
        <v>387.44492899207989</v>
      </c>
      <c r="GE19" s="59">
        <f ca="1">AVERAGE(OFFSET($GD$3,0,0,'Données projet'!$E$17+1,1))-AVERAGE(OFFSET($H$3,0,0,'Données projet'!$E$17+1,1))</f>
        <v>577.07444926285291</v>
      </c>
      <c r="GF19" s="59">
        <f t="shared" si="50"/>
        <v>501.3762209070419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10.054049523099005</v>
      </c>
      <c r="GO19" s="21">
        <f t="shared" si="27"/>
        <v>10.054049523099005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52.588821002149089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7.0512820600000055</v>
      </c>
      <c r="GU19" s="12">
        <f>IF('Données projet'!$A$270&gt;35,GU18+GT19-HC18,IF(A19&lt;'Données projet'!$A$270,$GR$205^A19,IF(A19='Données projet'!$A$270,'Données projet'!$B$270,GU18+GT19-HC18)))</f>
        <v>286.53846152</v>
      </c>
      <c r="GV19" s="17">
        <f>GU19*VLOOKUP('Données projet'!$B$18,Paramètres!$A$1:$I$89,3,0)*VLOOKUP('Données projet'!$B$18,Paramètres!$A$1:$I$89,5,0)</f>
        <v>151.53299999023682</v>
      </c>
      <c r="GW19" s="13">
        <f t="shared" si="51"/>
        <v>38.926758935786289</v>
      </c>
      <c r="GX19" s="20">
        <f t="shared" si="28"/>
        <v>331.71741346282357</v>
      </c>
      <c r="GY19" s="59">
        <f t="shared" si="29"/>
        <v>544.09864602625908</v>
      </c>
      <c r="GZ19" s="59">
        <f ca="1">AVERAGE(OFFSET($GY$3,0,0,'Données projet'!$E$18+1,1))-AVERAGE(OFFSET($H$3,0,0,'Données projet'!$E$18+1,1))</f>
        <v>212.75657290802619</v>
      </c>
      <c r="HA19" s="59">
        <f t="shared" si="52"/>
        <v>411.47446316045978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4.60745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16.893983333333335</v>
      </c>
      <c r="H20" s="66">
        <f t="shared" si="1"/>
        <v>189.09073333333333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246.81381721536314</v>
      </c>
      <c r="S20" s="59">
        <f ca="1">AVERAGE(OFFSET($R$3,0,0,'Données projet'!$E$9+1,1))-AVERAGE(OFFSET($H$3,0,0,'Données projet'!$E$9+1,1))</f>
        <v>564.49981446852132</v>
      </c>
      <c r="T20" s="59">
        <f t="shared" si="34"/>
        <v>297.54722913785406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4.0628205133333335</v>
      </c>
      <c r="AI20" s="13">
        <f>IF('Données projet'!$A$62&gt;35,AI19+AH20-AQ19,IF(A20&lt;'Données projet'!$A$62,$AF$205^A20,IF(A20='Données projet'!$A$62,'Données projet'!$B$62,AI19+AH20-AQ19)))</f>
        <v>15.206795480291483</v>
      </c>
      <c r="AJ20" s="13">
        <f>AI20*VLOOKUP('Données projet'!$B$10,Paramètres!$A$1:$I$89,3,0)*VLOOKUP('Données projet'!$B$10,Paramètres!$A$1:$I$89,5,0)</f>
        <v>15.419690617015563</v>
      </c>
      <c r="AK20" s="13">
        <f t="shared" si="35"/>
        <v>5.1681572351686986</v>
      </c>
      <c r="AL20" s="20">
        <f t="shared" si="4"/>
        <v>35.857168342554253</v>
      </c>
      <c r="AM20" s="59">
        <f t="shared" si="5"/>
        <v>250.56812157172115</v>
      </c>
      <c r="AN20" s="59">
        <f ca="1">AVERAGE(OFFSET($AM$3,0,0,'Données projet'!$E$10+1,1))-AVERAGE(OFFSET($H$3,0,0,'Données projet'!$E$10+1,1))</f>
        <v>623.16549611107564</v>
      </c>
      <c r="AO20" s="59">
        <f t="shared" si="36"/>
        <v>326.15178903425885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36.666240000000002</v>
      </c>
      <c r="BF20" s="13">
        <f t="shared" si="37"/>
        <v>11.110608259650514</v>
      </c>
      <c r="BG20" s="20">
        <f t="shared" si="7"/>
        <v>83.211344052224646</v>
      </c>
      <c r="BH20" s="59">
        <f t="shared" si="8"/>
        <v>297.92229728139154</v>
      </c>
      <c r="BI20" s="59">
        <f ca="1">AVERAGE(OFFSET($BH$3,0,0,'Données projet'!$E$11+1,1))-AVERAGE(OFFSET($H$3,0,0,'Données projet'!$E$11+1,1))</f>
        <v>326.2912419133811</v>
      </c>
      <c r="BJ20" s="59">
        <f t="shared" si="38"/>
        <v>315.07976787459938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11.2</v>
      </c>
      <c r="BY20" s="12">
        <f>IF('Données projet'!$A$114&gt;35,BY19+BX20-CG19,IF(A20&lt;'Données projet'!$A$114,$BV$205^A20,IF(A20='Données projet'!$A$114,'Données projet'!$B$114,BY19+BX20-CG19)))</f>
        <v>95.399999999999991</v>
      </c>
      <c r="BZ20" s="13">
        <f>BY20*VLOOKUP('Données projet'!$B$12,Paramètres!$A$1:$I$89,3,0)*VLOOKUP('Données projet'!$B$12,Paramètres!$A$1:$I$89,5,0)</f>
        <v>61.01784</v>
      </c>
      <c r="CA20" s="13">
        <f t="shared" si="39"/>
        <v>17.425358414033564</v>
      </c>
      <c r="CB20" s="20">
        <f t="shared" si="10"/>
        <v>136.62190390444178</v>
      </c>
      <c r="CC20" s="59">
        <f t="shared" si="11"/>
        <v>351.33285713360868</v>
      </c>
      <c r="CD20" s="59">
        <f ca="1">AVERAGE(OFFSET($CC$3,0,0,'Données projet'!$E$12+1,1))-AVERAGE(OFFSET($H$3,0,0,'Données projet'!$E$12+1,1))</f>
        <v>297.03992602744393</v>
      </c>
      <c r="CE20" s="59">
        <f t="shared" si="40"/>
        <v>265.2588848922893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75</v>
      </c>
      <c r="CU20" s="17">
        <f>CT20*VLOOKUP('Données projet'!$B$13,Paramètres!$A$1:$I$89,3,0)*VLOOKUP('Données projet'!$B$13,Paramètres!$A$1:$I$89,5,0)</f>
        <v>59.67</v>
      </c>
      <c r="CV20" s="13">
        <f t="shared" si="41"/>
        <v>17.084807896591332</v>
      </c>
      <c r="CW20" s="20">
        <f t="shared" si="13"/>
        <v>133.68129041989656</v>
      </c>
      <c r="CX20" s="59">
        <f t="shared" si="14"/>
        <v>348.39224364906346</v>
      </c>
      <c r="CY20" s="59">
        <f ca="1">AVERAGE(OFFSET($CX$3,0,0,'Données projet'!$E$13+1,1))-AVERAGE(OFFSET($H$3,0,0,'Données projet'!$E$13+1,1))</f>
        <v>427.42918901489531</v>
      </c>
      <c r="CZ20" s="59">
        <f t="shared" si="42"/>
        <v>410.68601510655412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4.0628205133333335</v>
      </c>
      <c r="DO20" s="12">
        <f>IF('Données projet'!$A$166&gt;35,DO19+DN20-DW19,IF(A20&lt;'Données projet'!$A$166,$DL$205^A20,IF(A20='Données projet'!$A$166,'Données projet'!$B$166,DO19+DN20-DW19)))</f>
        <v>15.206795480291483</v>
      </c>
      <c r="DP20" s="17">
        <f>DO20*VLOOKUP('Données projet'!$B$14,Paramètres!$A$1:$I$89,3,0)*VLOOKUP('Données projet'!$B$14,Paramètres!$A$1:$I$89,5,0)</f>
        <v>14.708012588537922</v>
      </c>
      <c r="DQ20" s="13">
        <f t="shared" si="43"/>
        <v>4.9568157154843053</v>
      </c>
      <c r="DR20" s="20">
        <f t="shared" si="16"/>
        <v>34.249575962838712</v>
      </c>
      <c r="DS20" s="59">
        <f t="shared" si="17"/>
        <v>248.96052919200562</v>
      </c>
      <c r="DT20" s="59">
        <f ca="1">AVERAGE(OFFSET($DS$3,0,0,'Données projet'!$E$14+1,1))-AVERAGE(OFFSET($H$3,0,0,'Données projet'!$E$14+1,1))</f>
        <v>598.03945725240396</v>
      </c>
      <c r="DU20" s="59">
        <f t="shared" si="44"/>
        <v>313.9014686755695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4.0628205128205126</v>
      </c>
      <c r="EJ20" s="12">
        <f>IF('Données projet'!$A$192&gt;35,EJ19+EI20-ER19,IF(A20&lt;'Données projet'!$A$192,$EG$205^A20,IF(A20='Données projet'!$A$192,'Données projet'!$B$192,EJ19+EI20-ER19)))</f>
        <v>15.206795479203771</v>
      </c>
      <c r="EK20" s="17">
        <f>EJ20*VLOOKUP('Données projet'!$B$15,Paramètres!$A$1:$I$89,3,0)*VLOOKUP('Données projet'!$B$15,Paramètres!$A$1:$I$89,5,0)</f>
        <v>10.200718407449891</v>
      </c>
      <c r="EL20" s="13">
        <f t="shared" si="45"/>
        <v>3.5873867809227589</v>
      </c>
      <c r="EM20" s="20">
        <f t="shared" si="19"/>
        <v>24.014283203082368</v>
      </c>
      <c r="EN20" s="59">
        <f t="shared" si="20"/>
        <v>238.72523643224926</v>
      </c>
      <c r="EO20" s="59">
        <f ca="1">AVERAGE(OFFSET($EN$3,0,0,'Données projet'!$E$15+1,1))-AVERAGE(OFFSET($H$3,0,0,'Données projet'!$E$15+1,1))</f>
        <v>438.27475674276604</v>
      </c>
      <c r="EP20" s="59">
        <f t="shared" si="46"/>
        <v>235.97720136798864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4.8773333333333335</v>
      </c>
      <c r="FE20" s="12">
        <f>IF('Données projet'!$A$218&gt;35,FE19+FD20-FM19,IF(A20&lt;'Données projet'!$A$218,$FB$205^A20,IF(A20='Données projet'!$A$218,'Données projet'!$B$218,FE19+FD20-FM19)))</f>
        <v>16.865740959811198</v>
      </c>
      <c r="FF20" s="17">
        <f>FE20*VLOOKUP('Données projet'!$B$16,Paramètres!$A$1:$I$89,3,0)*VLOOKUP('Données projet'!$B$16,Paramètres!$A$1:$I$89,5,0)</f>
        <v>7.893166769191641</v>
      </c>
      <c r="FG20" s="13">
        <f t="shared" si="47"/>
        <v>2.8599819672324562</v>
      </c>
      <c r="FH20" s="20">
        <f t="shared" si="22"/>
        <v>18.728400715938637</v>
      </c>
      <c r="FI20" s="59">
        <f t="shared" si="23"/>
        <v>233.43935394510555</v>
      </c>
      <c r="FJ20" s="59">
        <f ca="1">AVERAGE(OFFSET($FI$3,0,0,'Données projet'!$E$16+1,1))-AVERAGE(OFFSET($H$3,0,0,'Données projet'!$E$16+1,1))</f>
        <v>329.49463758169588</v>
      </c>
      <c r="FK20" s="59">
        <f t="shared" si="48"/>
        <v>207.1447698203379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23.6</v>
      </c>
      <c r="FZ20" s="12">
        <f>IF('Données projet'!$A$244&gt;35,FZ19+FY20-GH19,IF(A20&lt;'Données projet'!$A$244,$FW$205^A20,IF(A20='Données projet'!$A$244,'Données projet'!$B$244,FZ19+FY20-GH19)))</f>
        <v>155.19999999999999</v>
      </c>
      <c r="GA20" s="17">
        <f>FZ20*VLOOKUP('Données projet'!$B$17,Paramètres!$A$1:$I$89,3,0)*VLOOKUP('Données projet'!$B$17,Paramètres!$A$1:$I$89,5,0)</f>
        <v>92.809600000000003</v>
      </c>
      <c r="GB20" s="13">
        <f t="shared" si="49"/>
        <v>25.241615800824192</v>
      </c>
      <c r="GC20" s="20">
        <f t="shared" si="25"/>
        <v>205.60586751976879</v>
      </c>
      <c r="GD20" s="59">
        <f t="shared" si="26"/>
        <v>420.3168207489357</v>
      </c>
      <c r="GE20" s="59">
        <f ca="1">AVERAGE(OFFSET($GD$3,0,0,'Données projet'!$E$17+1,1))-AVERAGE(OFFSET($H$3,0,0,'Données projet'!$E$17+1,1))</f>
        <v>577.07444926285291</v>
      </c>
      <c r="GF20" s="59">
        <f t="shared" si="50"/>
        <v>501.3762209070419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7.1092865961686815</v>
      </c>
      <c r="GO20" s="21">
        <f t="shared" si="27"/>
        <v>7.1092865961686815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52.890866032197039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7.0512820600000055</v>
      </c>
      <c r="GU20" s="12">
        <f>IF('Données projet'!$A$270&gt;35,GU19+GT20-HC19,IF(A20&lt;'Données projet'!$A$270,$GR$205^A20,IF(A20='Données projet'!$A$270,'Données projet'!$B$270,GU19+GT20-HC19)))</f>
        <v>293.58974358</v>
      </c>
      <c r="GV20" s="17">
        <f>GU20*VLOOKUP('Données projet'!$B$18,Paramètres!$A$1:$I$89,3,0)*VLOOKUP('Données projet'!$B$18,Paramètres!$A$1:$I$89,5,0)</f>
        <v>155.26199999484723</v>
      </c>
      <c r="GW20" s="13">
        <f t="shared" si="51"/>
        <v>39.771983864856537</v>
      </c>
      <c r="GX20" s="20">
        <f t="shared" si="28"/>
        <v>339.68418855565068</v>
      </c>
      <c r="GY20" s="59">
        <f t="shared" si="29"/>
        <v>554.39514178481761</v>
      </c>
      <c r="GZ20" s="59">
        <f ca="1">AVERAGE(OFFSET($GY$3,0,0,'Données projet'!$E$18+1,1))-AVERAGE(OFFSET($H$3,0,0,'Données projet'!$E$18+1,1))</f>
        <v>212.75657290802619</v>
      </c>
      <c r="HA20" s="59">
        <f t="shared" si="52"/>
        <v>411.47446316045978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4.60745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16.893983333333335</v>
      </c>
      <c r="H21" s="66">
        <f t="shared" si="1"/>
        <v>189.09073333333333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254.52201544482017</v>
      </c>
      <c r="S21" s="59">
        <f ca="1">AVERAGE(OFFSET($R$3,0,0,'Données projet'!$E$9+1,1))-AVERAGE(OFFSET($H$3,0,0,'Données projet'!$E$9+1,1))</f>
        <v>564.49981446852132</v>
      </c>
      <c r="T21" s="59">
        <f t="shared" si="34"/>
        <v>297.54722913785406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4.0628205133333335</v>
      </c>
      <c r="AI21" s="13">
        <f>IF('Données projet'!$A$62&gt;35,AI20+AH21-AQ20,IF(A21&lt;'Données projet'!$A$62,$AF$205^A21,IF(A21='Données projet'!$A$62,'Données projet'!$B$62,AI20+AH21-AQ20)))</f>
        <v>17.847168944133852</v>
      </c>
      <c r="AJ21" s="13">
        <f>AI21*VLOOKUP('Données projet'!$B$10,Paramètres!$A$1:$I$89,3,0)*VLOOKUP('Données projet'!$B$10,Paramètres!$A$1:$I$89,5,0)</f>
        <v>18.097029309351726</v>
      </c>
      <c r="AK21" s="13">
        <f t="shared" si="35"/>
        <v>5.953520674287506</v>
      </c>
      <c r="AL21" s="20">
        <f t="shared" si="4"/>
        <v>41.888041221504999</v>
      </c>
      <c r="AM21" s="59">
        <f t="shared" si="5"/>
        <v>258.90950249440397</v>
      </c>
      <c r="AN21" s="59">
        <f ca="1">AVERAGE(OFFSET($AM$3,0,0,'Données projet'!$E$10+1,1))-AVERAGE(OFFSET($H$3,0,0,'Données projet'!$E$10+1,1))</f>
        <v>623.16549611107564</v>
      </c>
      <c r="AO21" s="59">
        <f t="shared" si="36"/>
        <v>326.15178903425885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46.076160000000009</v>
      </c>
      <c r="BF21" s="13">
        <f t="shared" si="37"/>
        <v>13.595641486972058</v>
      </c>
      <c r="BG21" s="20">
        <f t="shared" si="7"/>
        <v>103.92838758980967</v>
      </c>
      <c r="BH21" s="59">
        <f t="shared" si="8"/>
        <v>320.94984886270862</v>
      </c>
      <c r="BI21" s="59">
        <f ca="1">AVERAGE(OFFSET($BH$3,0,0,'Données projet'!$E$11+1,1))-AVERAGE(OFFSET($H$3,0,0,'Données projet'!$E$11+1,1))</f>
        <v>326.2912419133811</v>
      </c>
      <c r="BJ21" s="59">
        <f t="shared" si="38"/>
        <v>315.07976787459938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11.2</v>
      </c>
      <c r="BY21" s="12">
        <f>IF('Données projet'!$A$114&gt;35,BY20+BX21-CG20,IF(A21&lt;'Données projet'!$A$114,$BV$205^A21,IF(A21='Données projet'!$A$114,'Données projet'!$B$114,BY20+BX21-CG20)))</f>
        <v>106.6</v>
      </c>
      <c r="BZ21" s="13">
        <f>BY21*VLOOKUP('Données projet'!$B$12,Paramètres!$A$1:$I$89,3,0)*VLOOKUP('Données projet'!$B$12,Paramètres!$A$1:$I$89,5,0)</f>
        <v>68.181359999999998</v>
      </c>
      <c r="CA21" s="13">
        <f t="shared" si="39"/>
        <v>19.221135568279205</v>
      </c>
      <c r="CB21" s="20">
        <f t="shared" si="10"/>
        <v>152.22601311475293</v>
      </c>
      <c r="CC21" s="59">
        <f t="shared" si="11"/>
        <v>369.24747438765189</v>
      </c>
      <c r="CD21" s="59">
        <f ca="1">AVERAGE(OFFSET($CC$3,0,0,'Données projet'!$E$12+1,1))-AVERAGE(OFFSET($H$3,0,0,'Données projet'!$E$12+1,1))</f>
        <v>297.03992602744393</v>
      </c>
      <c r="CE21" s="59">
        <f t="shared" si="40"/>
        <v>265.2588848922893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91</v>
      </c>
      <c r="CU21" s="17">
        <f>CT21*VLOOKUP('Données projet'!$B$13,Paramètres!$A$1:$I$89,3,0)*VLOOKUP('Données projet'!$B$13,Paramètres!$A$1:$I$89,5,0)</f>
        <v>72.399600000000007</v>
      </c>
      <c r="CV21" s="13">
        <f t="shared" si="41"/>
        <v>20.268188832715463</v>
      </c>
      <c r="CW21" s="20">
        <f t="shared" si="13"/>
        <v>161.39639888364613</v>
      </c>
      <c r="CX21" s="59">
        <f t="shared" si="14"/>
        <v>378.41786015654509</v>
      </c>
      <c r="CY21" s="59">
        <f ca="1">AVERAGE(OFFSET($CX$3,0,0,'Données projet'!$E$13+1,1))-AVERAGE(OFFSET($H$3,0,0,'Données projet'!$E$13+1,1))</f>
        <v>427.42918901489531</v>
      </c>
      <c r="CZ21" s="59">
        <f t="shared" si="42"/>
        <v>410.68601510655412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4.0628205133333335</v>
      </c>
      <c r="DO21" s="12">
        <f>IF('Données projet'!$A$166&gt;35,DO20+DN21-DW20,IF(A21&lt;'Données projet'!$A$166,$DL$205^A21,IF(A21='Données projet'!$A$166,'Données projet'!$B$166,DO20+DN21-DW20)))</f>
        <v>17.847168944133852</v>
      </c>
      <c r="DP21" s="17">
        <f>DO21*VLOOKUP('Données projet'!$B$14,Paramètres!$A$1:$I$89,3,0)*VLOOKUP('Données projet'!$B$14,Paramètres!$A$1:$I$89,5,0)</f>
        <v>17.261781802766265</v>
      </c>
      <c r="DQ21" s="13">
        <f t="shared" si="43"/>
        <v>5.7100632774780022</v>
      </c>
      <c r="DR21" s="20">
        <f t="shared" si="16"/>
        <v>40.009296848092099</v>
      </c>
      <c r="DS21" s="59">
        <f t="shared" si="17"/>
        <v>257.03075812099104</v>
      </c>
      <c r="DT21" s="59">
        <f ca="1">AVERAGE(OFFSET($DS$3,0,0,'Données projet'!$E$14+1,1))-AVERAGE(OFFSET($H$3,0,0,'Données projet'!$E$14+1,1))</f>
        <v>598.03945725240396</v>
      </c>
      <c r="DU21" s="59">
        <f t="shared" si="44"/>
        <v>313.9014686755695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4.0628205128205126</v>
      </c>
      <c r="EJ21" s="12">
        <f>IF('Données projet'!$A$192&gt;35,EJ20+EI21-ER20,IF(A21&lt;'Données projet'!$A$192,$EG$205^A21,IF(A21='Données projet'!$A$192,'Données projet'!$B$192,EJ20+EI21-ER20)))</f>
        <v>17.847168942782186</v>
      </c>
      <c r="EK21" s="17">
        <f>EJ21*VLOOKUP('Données projet'!$B$15,Paramètres!$A$1:$I$89,3,0)*VLOOKUP('Données projet'!$B$15,Paramètres!$A$1:$I$89,5,0)</f>
        <v>11.97188092681829</v>
      </c>
      <c r="EL21" s="13">
        <f t="shared" si="45"/>
        <v>4.1325332018681884</v>
      </c>
      <c r="EM21" s="20">
        <f t="shared" si="19"/>
        <v>28.048521274128948</v>
      </c>
      <c r="EN21" s="59">
        <f t="shared" si="20"/>
        <v>245.06998254702791</v>
      </c>
      <c r="EO21" s="59">
        <f ca="1">AVERAGE(OFFSET($EN$3,0,0,'Données projet'!$E$15+1,1))-AVERAGE(OFFSET($H$3,0,0,'Données projet'!$E$15+1,1))</f>
        <v>438.27475674276604</v>
      </c>
      <c r="EP21" s="59">
        <f t="shared" si="46"/>
        <v>235.97720136798864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4.8773333333333335</v>
      </c>
      <c r="FE21" s="12">
        <f>IF('Données projet'!$A$218&gt;35,FE20+FD21-FM20,IF(A21&lt;'Données projet'!$A$218,$FB$205^A21,IF(A21='Données projet'!$A$218,'Données projet'!$B$218,FE20+FD21-FM20)))</f>
        <v>19.915087343716348</v>
      </c>
      <c r="FF21" s="17">
        <f>FE21*VLOOKUP('Données projet'!$B$16,Paramètres!$A$1:$I$89,3,0)*VLOOKUP('Données projet'!$B$16,Paramètres!$A$1:$I$89,5,0)</f>
        <v>9.3202608768592512</v>
      </c>
      <c r="FG21" s="13">
        <f t="shared" si="47"/>
        <v>3.3123689600135244</v>
      </c>
      <c r="FH21" s="20">
        <f t="shared" si="22"/>
        <v>22.001830299220078</v>
      </c>
      <c r="FI21" s="59">
        <f t="shared" si="23"/>
        <v>239.02329157211904</v>
      </c>
      <c r="FJ21" s="59">
        <f ca="1">AVERAGE(OFFSET($FI$3,0,0,'Données projet'!$E$16+1,1))-AVERAGE(OFFSET($H$3,0,0,'Données projet'!$E$16+1,1))</f>
        <v>329.49463758169588</v>
      </c>
      <c r="FK21" s="59">
        <f t="shared" si="48"/>
        <v>207.1447698203379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23.6</v>
      </c>
      <c r="FZ21" s="12">
        <f>IF('Données projet'!$A$244&gt;35,FZ20+FY21-GH20,IF(A21&lt;'Données projet'!$A$244,$FW$205^A21,IF(A21='Données projet'!$A$244,'Données projet'!$B$244,FZ20+FY21-GH20)))</f>
        <v>178.79999999999998</v>
      </c>
      <c r="GA21" s="17">
        <f>FZ21*VLOOKUP('Données projet'!$B$17,Paramètres!$A$1:$I$89,3,0)*VLOOKUP('Données projet'!$B$17,Paramètres!$A$1:$I$89,5,0)</f>
        <v>106.9224</v>
      </c>
      <c r="GB21" s="13">
        <f t="shared" si="49"/>
        <v>28.604684816920809</v>
      </c>
      <c r="GC21" s="20">
        <f t="shared" si="25"/>
        <v>236.04300605613707</v>
      </c>
      <c r="GD21" s="59">
        <f t="shared" si="26"/>
        <v>453.06446732903601</v>
      </c>
      <c r="GE21" s="59">
        <f ca="1">AVERAGE(OFFSET($GD$3,0,0,'Données projet'!$E$17+1,1))-AVERAGE(OFFSET($H$3,0,0,'Données projet'!$E$17+1,1))</f>
        <v>577.07444926285291</v>
      </c>
      <c r="GF21" s="59">
        <f t="shared" si="50"/>
        <v>501.3762209070419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5.0270247615495034</v>
      </c>
      <c r="GO21" s="21">
        <f t="shared" si="27"/>
        <v>5.0270247615495034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53.187671256245174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7.0512820600000055</v>
      </c>
      <c r="GU21" s="12">
        <f>IF('Données projet'!$A$270&gt;35,GU20+GT21-HC20,IF(A21&lt;'Données projet'!$A$270,$GR$205^A21,IF(A21='Données projet'!$A$270,'Données projet'!$B$270,GU20+GT21-HC20)))</f>
        <v>300.64102564000001</v>
      </c>
      <c r="GV21" s="17">
        <f>GU21*VLOOKUP('Données projet'!$B$18,Paramètres!$A$1:$I$89,3,0)*VLOOKUP('Données projet'!$B$18,Paramètres!$A$1:$I$89,5,0)</f>
        <v>158.99099999945761</v>
      </c>
      <c r="GW21" s="13">
        <f t="shared" si="51"/>
        <v>40.614848915159598</v>
      </c>
      <c r="GX21" s="20">
        <f t="shared" si="28"/>
        <v>347.64685352629164</v>
      </c>
      <c r="GY21" s="59">
        <f t="shared" si="29"/>
        <v>564.66831479919063</v>
      </c>
      <c r="GZ21" s="59">
        <f ca="1">AVERAGE(OFFSET($GY$3,0,0,'Données projet'!$E$18+1,1))-AVERAGE(OFFSET($H$3,0,0,'Données projet'!$E$18+1,1))</f>
        <v>212.75657290802619</v>
      </c>
      <c r="HA21" s="59">
        <f t="shared" si="52"/>
        <v>411.47446316045978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4.60745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16.893983333333335</v>
      </c>
      <c r="H22" s="66">
        <f t="shared" si="1"/>
        <v>189.09073333333333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263.12174042459844</v>
      </c>
      <c r="S22" s="59">
        <f ca="1">AVERAGE(OFFSET($R$3,0,0,'Données projet'!$E$9+1,1))-AVERAGE(OFFSET($H$3,0,0,'Données projet'!$E$9+1,1))</f>
        <v>564.49981446852132</v>
      </c>
      <c r="T22" s="59">
        <f t="shared" si="34"/>
        <v>297.54722913785406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4.0628205133333335</v>
      </c>
      <c r="AI22" s="13">
        <f>IF('Données projet'!$A$62&gt;35,AI21+AH22-AQ21,IF(A22&lt;'Données projet'!$A$62,$AF$205^A22,IF(A22='Données projet'!$A$62,'Données projet'!$B$62,AI21+AH22-AQ21)))</f>
        <v>20.945993502264844</v>
      </c>
      <c r="AJ22" s="13">
        <f>AI22*VLOOKUP('Données projet'!$B$10,Paramètres!$A$1:$I$89,3,0)*VLOOKUP('Données projet'!$B$10,Paramètres!$A$1:$I$89,5,0)</f>
        <v>21.239237411296553</v>
      </c>
      <c r="AK22" s="13">
        <f t="shared" si="35"/>
        <v>6.8582295016052841</v>
      </c>
      <c r="AL22" s="20">
        <f t="shared" si="4"/>
        <v>48.936421539970695</v>
      </c>
      <c r="AM22" s="59">
        <f t="shared" si="5"/>
        <v>268.24951153064114</v>
      </c>
      <c r="AN22" s="59">
        <f ca="1">AVERAGE(OFFSET($AM$3,0,0,'Données projet'!$E$10+1,1))-AVERAGE(OFFSET($H$3,0,0,'Données projet'!$E$10+1,1))</f>
        <v>623.16549611107564</v>
      </c>
      <c r="AO22" s="59">
        <f t="shared" si="36"/>
        <v>326.15178903425885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55.486080000000008</v>
      </c>
      <c r="BF22" s="13">
        <f t="shared" si="37"/>
        <v>16.021865657934267</v>
      </c>
      <c r="BG22" s="20">
        <f t="shared" si="7"/>
        <v>124.54300535423552</v>
      </c>
      <c r="BH22" s="59">
        <f t="shared" si="8"/>
        <v>343.85609534490595</v>
      </c>
      <c r="BI22" s="59">
        <f ca="1">AVERAGE(OFFSET($BH$3,0,0,'Données projet'!$E$11+1,1))-AVERAGE(OFFSET($H$3,0,0,'Données projet'!$E$11+1,1))</f>
        <v>326.2912419133811</v>
      </c>
      <c r="BJ22" s="59">
        <f t="shared" si="38"/>
        <v>315.07976787459938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11.2</v>
      </c>
      <c r="BY22" s="12">
        <f>IF('Données projet'!$A$114&gt;35,BY21+BX22-CG21,IF(A22&lt;'Données projet'!$A$114,$BV$205^A22,IF(A22='Données projet'!$A$114,'Données projet'!$B$114,BY21+BX22-CG21)))</f>
        <v>117.8</v>
      </c>
      <c r="BZ22" s="13">
        <f>BY22*VLOOKUP('Données projet'!$B$12,Paramètres!$A$1:$I$89,3,0)*VLOOKUP('Données projet'!$B$12,Paramètres!$A$1:$I$89,5,0)</f>
        <v>75.344879999999989</v>
      </c>
      <c r="CA22" s="13">
        <f t="shared" si="39"/>
        <v>20.995042321324362</v>
      </c>
      <c r="CB22" s="20">
        <f t="shared" si="10"/>
        <v>167.79203137630657</v>
      </c>
      <c r="CC22" s="59">
        <f t="shared" si="11"/>
        <v>387.10512136697696</v>
      </c>
      <c r="CD22" s="59">
        <f ca="1">AVERAGE(OFFSET($CC$3,0,0,'Données projet'!$E$12+1,1))-AVERAGE(OFFSET($H$3,0,0,'Données projet'!$E$12+1,1))</f>
        <v>297.03992602744393</v>
      </c>
      <c r="CE22" s="59">
        <f t="shared" si="40"/>
        <v>265.2588848922893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107</v>
      </c>
      <c r="CU22" s="17">
        <f>CT22*VLOOKUP('Données projet'!$B$13,Paramètres!$A$1:$I$89,3,0)*VLOOKUP('Données projet'!$B$13,Paramètres!$A$1:$I$89,5,0)</f>
        <v>85.129199999999997</v>
      </c>
      <c r="CV22" s="13">
        <f t="shared" si="41"/>
        <v>23.386728480923388</v>
      </c>
      <c r="CW22" s="20">
        <f t="shared" si="13"/>
        <v>188.99857543760822</v>
      </c>
      <c r="CX22" s="59">
        <f t="shared" si="14"/>
        <v>408.31166542827862</v>
      </c>
      <c r="CY22" s="59">
        <f ca="1">AVERAGE(OFFSET($CX$3,0,0,'Données projet'!$E$13+1,1))-AVERAGE(OFFSET($H$3,0,0,'Données projet'!$E$13+1,1))</f>
        <v>427.42918901489531</v>
      </c>
      <c r="CZ22" s="59">
        <f t="shared" si="42"/>
        <v>410.68601510655412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4.0628205133333335</v>
      </c>
      <c r="DO22" s="12">
        <f>IF('Données projet'!$A$166&gt;35,DO21+DN22-DW21,IF(A22&lt;'Données projet'!$A$166,$DL$205^A22,IF(A22='Données projet'!$A$166,'Données projet'!$B$166,DO21+DN22-DW21)))</f>
        <v>20.945993502264844</v>
      </c>
      <c r="DP22" s="17">
        <f>DO22*VLOOKUP('Données projet'!$B$14,Paramètres!$A$1:$I$89,3,0)*VLOOKUP('Données projet'!$B$14,Paramètres!$A$1:$I$89,5,0)</f>
        <v>20.25896491539056</v>
      </c>
      <c r="DQ22" s="13">
        <f t="shared" si="43"/>
        <v>6.5777758351900273</v>
      </c>
      <c r="DR22" s="20">
        <f t="shared" si="16"/>
        <v>46.740656807261189</v>
      </c>
      <c r="DS22" s="59">
        <f t="shared" si="17"/>
        <v>266.05374679793158</v>
      </c>
      <c r="DT22" s="59">
        <f ca="1">AVERAGE(OFFSET($DS$3,0,0,'Données projet'!$E$14+1,1))-AVERAGE(OFFSET($H$3,0,0,'Données projet'!$E$14+1,1))</f>
        <v>598.03945725240396</v>
      </c>
      <c r="DU22" s="59">
        <f t="shared" si="44"/>
        <v>313.9014686755695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4.0628205128205126</v>
      </c>
      <c r="EJ22" s="12">
        <f>IF('Données projet'!$A$192&gt;35,EJ21+EI22-ER21,IF(A22&lt;'Données projet'!$A$192,$EG$205^A22,IF(A22='Données projet'!$A$192,'Données projet'!$B$192,EJ21+EI22-ER21)))</f>
        <v>20.945993500590358</v>
      </c>
      <c r="EK22" s="17">
        <f>EJ22*VLOOKUP('Données projet'!$B$15,Paramètres!$A$1:$I$89,3,0)*VLOOKUP('Données projet'!$B$15,Paramètres!$A$1:$I$89,5,0)</f>
        <v>14.050572440196014</v>
      </c>
      <c r="EL22" s="13">
        <f t="shared" si="45"/>
        <v>4.7605211557785063</v>
      </c>
      <c r="EM22" s="20">
        <f t="shared" si="19"/>
        <v>32.762654679655618</v>
      </c>
      <c r="EN22" s="59">
        <f t="shared" si="20"/>
        <v>252.07574467032603</v>
      </c>
      <c r="EO22" s="59">
        <f ca="1">AVERAGE(OFFSET($EN$3,0,0,'Données projet'!$E$15+1,1))-AVERAGE(OFFSET($H$3,0,0,'Données projet'!$E$15+1,1))</f>
        <v>438.27475674276604</v>
      </c>
      <c r="EP22" s="59">
        <f t="shared" si="46"/>
        <v>235.97720136798864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4.8773333333333335</v>
      </c>
      <c r="FE22" s="12">
        <f>IF('Données projet'!$A$218&gt;35,FE21+FD22-FM21,IF(A22&lt;'Données projet'!$A$218,$FB$205^A22,IF(A22='Données projet'!$A$218,'Données projet'!$B$218,FE21+FD22-FM21)))</f>
        <v>23.515759245497794</v>
      </c>
      <c r="FF22" s="17">
        <f>FE22*VLOOKUP('Données projet'!$B$16,Paramètres!$A$1:$I$89,3,0)*VLOOKUP('Données projet'!$B$16,Paramètres!$A$1:$I$89,5,0)</f>
        <v>11.005375326892967</v>
      </c>
      <c r="FG22" s="13">
        <f t="shared" si="47"/>
        <v>3.8363137435716932</v>
      </c>
      <c r="FH22" s="20">
        <f t="shared" si="22"/>
        <v>25.849275131059283</v>
      </c>
      <c r="FI22" s="59">
        <f t="shared" si="23"/>
        <v>245.16236512172969</v>
      </c>
      <c r="FJ22" s="59">
        <f ca="1">AVERAGE(OFFSET($FI$3,0,0,'Données projet'!$E$16+1,1))-AVERAGE(OFFSET($H$3,0,0,'Données projet'!$E$16+1,1))</f>
        <v>329.49463758169588</v>
      </c>
      <c r="FK22" s="59">
        <f t="shared" si="48"/>
        <v>207.1447698203379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23.6</v>
      </c>
      <c r="FZ22" s="12">
        <f>IF('Données projet'!$A$244&gt;35,FZ21+FY22-GH21,IF(A22&lt;'Données projet'!$A$244,$FW$205^A22,IF(A22='Données projet'!$A$244,'Données projet'!$B$244,FZ21+FY22-GH21)))</f>
        <v>202.39999999999998</v>
      </c>
      <c r="GA22" s="17">
        <f>FZ22*VLOOKUP('Données projet'!$B$17,Paramètres!$A$1:$I$89,3,0)*VLOOKUP('Données projet'!$B$17,Paramètres!$A$1:$I$89,5,0)</f>
        <v>121.0352</v>
      </c>
      <c r="GB22" s="13">
        <f t="shared" si="49"/>
        <v>31.916321859626926</v>
      </c>
      <c r="GC22" s="20">
        <f t="shared" si="25"/>
        <v>266.39056723885022</v>
      </c>
      <c r="GD22" s="59">
        <f t="shared" si="26"/>
        <v>485.70365722952067</v>
      </c>
      <c r="GE22" s="59">
        <f ca="1">AVERAGE(OFFSET($GD$3,0,0,'Données projet'!$E$17+1,1))-AVERAGE(OFFSET($H$3,0,0,'Données projet'!$E$17+1,1))</f>
        <v>577.07444926285291</v>
      </c>
      <c r="GF22" s="59">
        <f t="shared" si="50"/>
        <v>501.3762209070419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3.5546432980843412</v>
      </c>
      <c r="GO22" s="21">
        <f t="shared" si="27"/>
        <v>3.5546432980843412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53.479327573213148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>
        <f>VLOOKUP(A22,'Données projet'!$A$269:$I$289,2,0)</f>
        <v>307.69230770000001</v>
      </c>
      <c r="GS22" s="12">
        <f>VLOOKUP(A22,'Données projet'!$A$269:$I$289,9,0)</f>
        <v>7.0512820600000055</v>
      </c>
      <c r="GT22" s="12">
        <f t="array" ref="GT22">INDEX(GS:GS,MIN(IF(ISNUMBER(GS22:GS218),ROW(GS22:GS218),"")))</f>
        <v>7.0512820600000055</v>
      </c>
      <c r="GU22" s="12">
        <f>IF('Données projet'!$A$270&gt;35,GU21+GT22-HC21,IF(A22&lt;'Données projet'!$A$270,$GR$205^A22,IF(A22='Données projet'!$A$270,'Données projet'!$B$270,GU21+GT22-HC21)))</f>
        <v>307.69230770000001</v>
      </c>
      <c r="GV22" s="17">
        <f>GU22*VLOOKUP('Données projet'!$B$18,Paramètres!$A$1:$I$89,3,0)*VLOOKUP('Données projet'!$B$18,Paramètres!$A$1:$I$89,5,0)</f>
        <v>162.72000000406803</v>
      </c>
      <c r="GW22" s="13">
        <f t="shared" si="51"/>
        <v>41.455415805452724</v>
      </c>
      <c r="GX22" s="20">
        <f t="shared" si="28"/>
        <v>355.60551586824863</v>
      </c>
      <c r="GY22" s="59">
        <f t="shared" si="29"/>
        <v>574.91860585891902</v>
      </c>
      <c r="GZ22" s="59">
        <f ca="1">AVERAGE(OFFSET($GY$3,0,0,'Données projet'!$E$18+1,1))-AVERAGE(OFFSET($H$3,0,0,'Données projet'!$E$18+1,1))</f>
        <v>212.75657290802619</v>
      </c>
      <c r="HA22" s="59">
        <f t="shared" si="52"/>
        <v>411.47446316045978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4.60745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16.893983333333335</v>
      </c>
      <c r="H23" s="66">
        <f t="shared" si="1"/>
        <v>189.09073333333333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272.7673217781923</v>
      </c>
      <c r="S23" s="59">
        <f ca="1">AVERAGE(OFFSET($R$3,0,0,'Données projet'!$E$9+1,1))-AVERAGE(OFFSET($H$3,0,0,'Données projet'!$E$9+1,1))</f>
        <v>564.49981446852132</v>
      </c>
      <c r="T23" s="59">
        <f t="shared" si="34"/>
        <v>297.54722913785406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4.0628205133333335</v>
      </c>
      <c r="AI23" s="13">
        <f>IF('Données projet'!$A$62&gt;35,AI22+AH23-AQ22,IF(A23&lt;'Données projet'!$A$62,$AF$205^A23,IF(A23='Données projet'!$A$62,'Données projet'!$B$62,AI22+AH23-AQ22)))</f>
        <v>24.582870547719438</v>
      </c>
      <c r="AJ23" s="13">
        <f>AI23*VLOOKUP('Données projet'!$B$10,Paramètres!$A$1:$I$89,3,0)*VLOOKUP('Données projet'!$B$10,Paramètres!$A$1:$I$89,5,0)</f>
        <v>24.927030735387511</v>
      </c>
      <c r="AK23" s="13">
        <f t="shared" si="35"/>
        <v>7.9004196793719998</v>
      </c>
      <c r="AL23" s="20">
        <f t="shared" si="4"/>
        <v>57.174476139039477</v>
      </c>
      <c r="AM23" s="59">
        <f t="shared" si="5"/>
        <v>278.76064303561833</v>
      </c>
      <c r="AN23" s="59">
        <f ca="1">AVERAGE(OFFSET($AM$3,0,0,'Données projet'!$E$10+1,1))-AVERAGE(OFFSET($H$3,0,0,'Données projet'!$E$10+1,1))</f>
        <v>623.16549611107564</v>
      </c>
      <c r="AO23" s="59">
        <f t="shared" si="36"/>
        <v>326.15178903425885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64.896000000000001</v>
      </c>
      <c r="BF23" s="13">
        <f t="shared" si="37"/>
        <v>18.400423846102964</v>
      </c>
      <c r="BG23" s="20">
        <f t="shared" si="7"/>
        <v>145.07460486529598</v>
      </c>
      <c r="BH23" s="59">
        <f t="shared" si="8"/>
        <v>366.66077176187486</v>
      </c>
      <c r="BI23" s="59">
        <f ca="1">AVERAGE(OFFSET($BH$3,0,0,'Données projet'!$E$11+1,1))-AVERAGE(OFFSET($H$3,0,0,'Données projet'!$E$11+1,1))</f>
        <v>326.2912419133811</v>
      </c>
      <c r="BJ23" s="59">
        <f t="shared" si="38"/>
        <v>315.07976787459938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129</v>
      </c>
      <c r="BW23" s="12">
        <f>VLOOKUP(A23,'Données projet'!$A$113:$I$133,9,0)</f>
        <v>11.2</v>
      </c>
      <c r="BX23" s="12">
        <f t="array" ref="BX23">INDEX(BW:BW,MIN(IF(ISNUMBER(BW23:BW219),ROW(BW23:BW219),"")))</f>
        <v>11.2</v>
      </c>
      <c r="BY23" s="12">
        <f>IF('Données projet'!$A$114&gt;35,BY22+BX23-CG22,IF(A23&lt;'Données projet'!$A$114,$BV$205^A23,IF(A23='Données projet'!$A$114,'Données projet'!$B$114,BY22+BX23-CG22)))</f>
        <v>129</v>
      </c>
      <c r="BZ23" s="13">
        <f>BY23*VLOOKUP('Données projet'!$B$12,Paramètres!$A$1:$I$89,3,0)*VLOOKUP('Données projet'!$B$12,Paramètres!$A$1:$I$89,5,0)</f>
        <v>82.508399999999995</v>
      </c>
      <c r="CA23" s="13">
        <f t="shared" si="39"/>
        <v>22.749394597897183</v>
      </c>
      <c r="CB23" s="20">
        <f t="shared" si="10"/>
        <v>183.32399225800421</v>
      </c>
      <c r="CC23" s="59">
        <f t="shared" si="11"/>
        <v>404.91015915458308</v>
      </c>
      <c r="CD23" s="59">
        <f ca="1">AVERAGE(OFFSET($CC$3,0,0,'Données projet'!$E$12+1,1))-AVERAGE(OFFSET($H$3,0,0,'Données projet'!$E$12+1,1))</f>
        <v>297.03992602744393</v>
      </c>
      <c r="CE23" s="59">
        <f t="shared" si="40"/>
        <v>265.2588848922893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54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123</v>
      </c>
      <c r="CU23" s="17">
        <f>CT23*VLOOKUP('Données projet'!$B$13,Paramètres!$A$1:$I$89,3,0)*VLOOKUP('Données projet'!$B$13,Paramètres!$A$1:$I$89,5,0)</f>
        <v>97.858800000000016</v>
      </c>
      <c r="CV23" s="13">
        <f t="shared" si="41"/>
        <v>26.45124536158788</v>
      </c>
      <c r="CW23" s="20">
        <f t="shared" si="13"/>
        <v>216.50666233809889</v>
      </c>
      <c r="CX23" s="59">
        <f t="shared" si="14"/>
        <v>438.09282923467777</v>
      </c>
      <c r="CY23" s="59">
        <f ca="1">AVERAGE(OFFSET($CX$3,0,0,'Données projet'!$E$13+1,1))-AVERAGE(OFFSET($H$3,0,0,'Données projet'!$E$13+1,1))</f>
        <v>427.42918901489531</v>
      </c>
      <c r="CZ23" s="59">
        <f t="shared" si="42"/>
        <v>410.68601510655412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4.0628205133333335</v>
      </c>
      <c r="DO23" s="12">
        <f>IF('Données projet'!$A$166&gt;35,DO22+DN23-DW22,IF(A23&lt;'Données projet'!$A$166,$DL$205^A23,IF(A23='Données projet'!$A$166,'Données projet'!$B$166,DO22+DN23-DW22)))</f>
        <v>24.582870547719438</v>
      </c>
      <c r="DP23" s="17">
        <f>DO23*VLOOKUP('Données projet'!$B$14,Paramètres!$A$1:$I$89,3,0)*VLOOKUP('Données projet'!$B$14,Paramètres!$A$1:$I$89,5,0)</f>
        <v>23.77655239375424</v>
      </c>
      <c r="DQ23" s="13">
        <f t="shared" si="43"/>
        <v>7.577347716734919</v>
      </c>
      <c r="DR23" s="20">
        <f t="shared" si="16"/>
        <v>54.608042692435284</v>
      </c>
      <c r="DS23" s="59">
        <f t="shared" si="17"/>
        <v>276.19420958901418</v>
      </c>
      <c r="DT23" s="59">
        <f ca="1">AVERAGE(OFFSET($DS$3,0,0,'Données projet'!$E$14+1,1))-AVERAGE(OFFSET($H$3,0,0,'Données projet'!$E$14+1,1))</f>
        <v>598.03945725240396</v>
      </c>
      <c r="DU23" s="59">
        <f t="shared" si="44"/>
        <v>313.9014686755695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4.0628205128205126</v>
      </c>
      <c r="EJ23" s="12">
        <f>IF('Données projet'!$A$192&gt;35,EJ22+EI23-ER22,IF(A23&lt;'Données projet'!$A$192,$EG$205^A23,IF(A23='Données projet'!$A$192,'Données projet'!$B$192,EJ22+EI23-ER22)))</f>
        <v>24.582870545650774</v>
      </c>
      <c r="EK23" s="17">
        <f>EJ23*VLOOKUP('Données projet'!$B$15,Paramètres!$A$1:$I$89,3,0)*VLOOKUP('Données projet'!$B$15,Paramètres!$A$1:$I$89,5,0)</f>
        <v>16.49018956202254</v>
      </c>
      <c r="EL23" s="13">
        <f t="shared" si="45"/>
        <v>5.4839394065532705</v>
      </c>
      <c r="EM23" s="20">
        <f t="shared" si="19"/>
        <v>38.271607953602867</v>
      </c>
      <c r="EN23" s="59">
        <f t="shared" si="20"/>
        <v>259.85777485018173</v>
      </c>
      <c r="EO23" s="59">
        <f ca="1">AVERAGE(OFFSET($EN$3,0,0,'Données projet'!$E$15+1,1))-AVERAGE(OFFSET($H$3,0,0,'Données projet'!$E$15+1,1))</f>
        <v>438.27475674276604</v>
      </c>
      <c r="EP23" s="59">
        <f t="shared" si="46"/>
        <v>235.97720136798864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4.8773333333333335</v>
      </c>
      <c r="FE23" s="12">
        <f>IF('Données projet'!$A$218&gt;35,FE22+FD23-FM22,IF(A23&lt;'Données projet'!$A$218,$FB$205^A23,IF(A23='Données projet'!$A$218,'Données projet'!$B$218,FE22+FD23-FM22)))</f>
        <v>27.767436986245297</v>
      </c>
      <c r="FF23" s="17">
        <f>FE23*VLOOKUP('Données projet'!$B$16,Paramètres!$A$1:$I$89,3,0)*VLOOKUP('Données projet'!$B$16,Paramètres!$A$1:$I$89,5,0)</f>
        <v>12.995160509562799</v>
      </c>
      <c r="FG23" s="13">
        <f t="shared" si="47"/>
        <v>4.4431352052812878</v>
      </c>
      <c r="FH23" s="20">
        <f t="shared" si="22"/>
        <v>30.371698370020116</v>
      </c>
      <c r="FI23" s="59">
        <f t="shared" si="23"/>
        <v>251.95786526659899</v>
      </c>
      <c r="FJ23" s="59">
        <f ca="1">AVERAGE(OFFSET($FI$3,0,0,'Données projet'!$E$16+1,1))-AVERAGE(OFFSET($H$3,0,0,'Données projet'!$E$16+1,1))</f>
        <v>329.49463758169588</v>
      </c>
      <c r="FK23" s="59">
        <f t="shared" si="48"/>
        <v>207.1447698203379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226</v>
      </c>
      <c r="FX23" s="12">
        <f>VLOOKUP(A23,'Données projet'!$A$243:$I$263,9,0)</f>
        <v>23.6</v>
      </c>
      <c r="FY23" s="12">
        <f t="array" ref="FY23">INDEX(FX:FX,MIN(IF(ISNUMBER(FX23:FX219),ROW(FX23:FX219),"")))</f>
        <v>23.6</v>
      </c>
      <c r="FZ23" s="12">
        <f>IF('Données projet'!$A$244&gt;35,FZ22+FY23-GH22,IF(A23&lt;'Données projet'!$A$244,$FW$205^A23,IF(A23='Données projet'!$A$244,'Données projet'!$B$244,FZ22+FY23-GH22)))</f>
        <v>225.99999999999997</v>
      </c>
      <c r="GA23" s="17">
        <f>FZ23*VLOOKUP('Données projet'!$B$17,Paramètres!$A$1:$I$89,3,0)*VLOOKUP('Données projet'!$B$17,Paramètres!$A$1:$I$89,5,0)</f>
        <v>135.148</v>
      </c>
      <c r="GB23" s="13">
        <f t="shared" si="49"/>
        <v>35.183208974998173</v>
      </c>
      <c r="GC23" s="20">
        <f t="shared" si="25"/>
        <v>296.66018896478846</v>
      </c>
      <c r="GD23" s="59">
        <f t="shared" si="26"/>
        <v>518.24635586136731</v>
      </c>
      <c r="GE23" s="59">
        <f ca="1">AVERAGE(OFFSET($GD$3,0,0,'Données projet'!$E$17+1,1))-AVERAGE(OFFSET($H$3,0,0,'Données projet'!$E$17+1,1))</f>
        <v>577.07444926285291</v>
      </c>
      <c r="GF23" s="59">
        <f t="shared" si="50"/>
        <v>501.3762209070419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70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0.45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24.890105422326002</v>
      </c>
      <c r="GN23" s="21">
        <f>EXP(-LN(2)/2)*GN22+(1-EXP(-LN(2)/2))/(LN(2)/2)*GH23*GK23*VLOOKUP('Données projet'!$B$17,Paramètres!$A$1:$I$89,3,0)*0.475*44/12</f>
        <v>2.5135123807747521</v>
      </c>
      <c r="GO23" s="21">
        <f t="shared" si="27"/>
        <v>27.403617803100754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53.765924305127569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2.5641025599999923</v>
      </c>
      <c r="GU23" s="12">
        <f>IF('Données projet'!$A$270&gt;35,GU22+GT23-HC22,IF(A23&lt;'Données projet'!$A$270,$GR$205^A23,IF(A23='Données projet'!$A$270,'Données projet'!$B$270,GU22+GT23-HC22)))</f>
        <v>310.25641026</v>
      </c>
      <c r="GV23" s="17">
        <f>GU23*VLOOKUP('Données projet'!$B$18,Paramètres!$A$1:$I$89,3,0)*VLOOKUP('Données projet'!$B$18,Paramètres!$A$1:$I$89,5,0)</f>
        <v>164.07600000189842</v>
      </c>
      <c r="GW23" s="13">
        <f t="shared" si="51"/>
        <v>41.76051826082692</v>
      </c>
      <c r="GX23" s="20">
        <f t="shared" si="28"/>
        <v>358.4986026409133</v>
      </c>
      <c r="GY23" s="59">
        <f t="shared" si="29"/>
        <v>580.08476953749221</v>
      </c>
      <c r="GZ23" s="59">
        <f ca="1">AVERAGE(OFFSET($GY$3,0,0,'Données projet'!$E$18+1,1))-AVERAGE(OFFSET($H$3,0,0,'Données projet'!$E$18+1,1))</f>
        <v>212.75657290802619</v>
      </c>
      <c r="HA23" s="59">
        <f t="shared" si="52"/>
        <v>411.47446316045978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4.60745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16.893983333333335</v>
      </c>
      <c r="H24" s="66">
        <f t="shared" si="1"/>
        <v>189.09073333333333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283.63920410853603</v>
      </c>
      <c r="S24" s="59">
        <f ca="1">AVERAGE(OFFSET($R$3,0,0,'Données projet'!$E$9+1,1))-AVERAGE(OFFSET($H$3,0,0,'Données projet'!$E$9+1,1))</f>
        <v>564.49981446852132</v>
      </c>
      <c r="T24" s="59">
        <f t="shared" si="34"/>
        <v>297.54722913785406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4.0628205133333335</v>
      </c>
      <c r="AI24" s="13">
        <f>IF('Données projet'!$A$62&gt;35,AI23+AH24-AQ23,IF(A24&lt;'Données projet'!$A$62,$AF$205^A24,IF(A24='Données projet'!$A$62,'Données projet'!$B$62,AI23+AH24-AQ23)))</f>
        <v>28.851222755348811</v>
      </c>
      <c r="AJ24" s="13">
        <f>AI24*VLOOKUP('Données projet'!$B$10,Paramètres!$A$1:$I$89,3,0)*VLOOKUP('Données projet'!$B$10,Paramètres!$A$1:$I$89,5,0)</f>
        <v>29.255139873923696</v>
      </c>
      <c r="AK24" s="13">
        <f t="shared" si="35"/>
        <v>9.1009831466851168</v>
      </c>
      <c r="AL24" s="20">
        <f t="shared" si="4"/>
        <v>66.803580927560347</v>
      </c>
      <c r="AM24" s="59">
        <f t="shared" si="5"/>
        <v>290.64459475064484</v>
      </c>
      <c r="AN24" s="59">
        <f ca="1">AVERAGE(OFFSET($AM$3,0,0,'Données projet'!$E$10+1,1))-AVERAGE(OFFSET($H$3,0,0,'Données projet'!$E$10+1,1))</f>
        <v>623.16549611107564</v>
      </c>
      <c r="AO24" s="59">
        <f t="shared" si="36"/>
        <v>326.15178903425885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52.40352</v>
      </c>
      <c r="BF24" s="13">
        <f t="shared" si="37"/>
        <v>15.232772897226488</v>
      </c>
      <c r="BG24" s="20">
        <f t="shared" si="7"/>
        <v>117.79987679600281</v>
      </c>
      <c r="BH24" s="59">
        <f t="shared" si="8"/>
        <v>341.64089061908732</v>
      </c>
      <c r="BI24" s="59">
        <f ca="1">AVERAGE(OFFSET($BH$3,0,0,'Données projet'!$E$11+1,1))-AVERAGE(OFFSET($H$3,0,0,'Données projet'!$E$11+1,1))</f>
        <v>326.2912419133811</v>
      </c>
      <c r="BJ24" s="59">
        <f t="shared" si="38"/>
        <v>315.07976787459938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10.199999999999999</v>
      </c>
      <c r="BY24" s="12">
        <f>IF('Données projet'!$A$114&gt;35,BY23+BX24-CG23,IF(A24&lt;'Données projet'!$A$114,$BV$205^A24,IF(A24='Données projet'!$A$114,'Données projet'!$B$114,BY23+BX24-CG23)))</f>
        <v>85.199999999999989</v>
      </c>
      <c r="BZ24" s="13">
        <f>BY24*VLOOKUP('Données projet'!$B$12,Paramètres!$A$1:$I$89,3,0)*VLOOKUP('Données projet'!$B$12,Paramètres!$A$1:$I$89,5,0)</f>
        <v>54.493919999999996</v>
      </c>
      <c r="CA24" s="13">
        <f t="shared" si="39"/>
        <v>15.768457129679897</v>
      </c>
      <c r="CB24" s="20">
        <f t="shared" si="10"/>
        <v>122.37364016752581</v>
      </c>
      <c r="CC24" s="59">
        <f t="shared" si="11"/>
        <v>346.21465399061032</v>
      </c>
      <c r="CD24" s="59">
        <f ca="1">AVERAGE(OFFSET($CC$3,0,0,'Données projet'!$E$12+1,1))-AVERAGE(OFFSET($H$3,0,0,'Données projet'!$E$12+1,1))</f>
        <v>297.03992602744393</v>
      </c>
      <c r="CE24" s="59">
        <f t="shared" si="40"/>
        <v>265.2588848922893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97.800000000000011</v>
      </c>
      <c r="CU24" s="17">
        <f>CT24*VLOOKUP('Données projet'!$B$13,Paramètres!$A$1:$I$89,3,0)*VLOOKUP('Données projet'!$B$13,Paramètres!$A$1:$I$89,5,0)</f>
        <v>77.809680000000014</v>
      </c>
      <c r="CV24" s="13">
        <f t="shared" si="41"/>
        <v>21.600777311280577</v>
      </c>
      <c r="CW24" s="20">
        <f t="shared" si="13"/>
        <v>173.13987981714703</v>
      </c>
      <c r="CX24" s="59">
        <f t="shared" si="14"/>
        <v>396.98089364023156</v>
      </c>
      <c r="CY24" s="59">
        <f ca="1">AVERAGE(OFFSET($CX$3,0,0,'Données projet'!$E$13+1,1))-AVERAGE(OFFSET($H$3,0,0,'Données projet'!$E$13+1,1))</f>
        <v>427.42918901489531</v>
      </c>
      <c r="CZ24" s="59">
        <f t="shared" si="42"/>
        <v>410.68601510655412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4.0628205133333335</v>
      </c>
      <c r="DO24" s="12">
        <f>IF('Données projet'!$A$166&gt;35,DO23+DN24-DW23,IF(A24&lt;'Données projet'!$A$166,$DL$205^A24,IF(A24='Données projet'!$A$166,'Données projet'!$B$166,DO23+DN24-DW23)))</f>
        <v>28.851222755348811</v>
      </c>
      <c r="DP24" s="17">
        <f>DO24*VLOOKUP('Données projet'!$B$14,Paramètres!$A$1:$I$89,3,0)*VLOOKUP('Données projet'!$B$14,Paramètres!$A$1:$I$89,5,0)</f>
        <v>27.904902648973369</v>
      </c>
      <c r="DQ24" s="13">
        <f t="shared" si="43"/>
        <v>8.7288165268783757</v>
      </c>
      <c r="DR24" s="20">
        <f t="shared" si="16"/>
        <v>63.803727564608444</v>
      </c>
      <c r="DS24" s="59">
        <f t="shared" si="17"/>
        <v>287.64474138769293</v>
      </c>
      <c r="DT24" s="59">
        <f ca="1">AVERAGE(OFFSET($DS$3,0,0,'Données projet'!$E$14+1,1))-AVERAGE(OFFSET($H$3,0,0,'Données projet'!$E$14+1,1))</f>
        <v>598.03945725240396</v>
      </c>
      <c r="DU24" s="59">
        <f t="shared" si="44"/>
        <v>313.9014686755695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4.0628205128205126</v>
      </c>
      <c r="EJ24" s="12">
        <f>IF('Données projet'!$A$192&gt;35,EJ23+EI24-ER23,IF(A24&lt;'Données projet'!$A$192,$EG$205^A24,IF(A24='Données projet'!$A$192,'Données projet'!$B$192,EJ23+EI24-ER23)))</f>
        <v>28.851222752799568</v>
      </c>
      <c r="EK24" s="17">
        <f>EJ24*VLOOKUP('Données projet'!$B$15,Paramètres!$A$1:$I$89,3,0)*VLOOKUP('Données projet'!$B$15,Paramètres!$A$1:$I$89,5,0)</f>
        <v>19.35340022257795</v>
      </c>
      <c r="EL24" s="13">
        <f t="shared" si="45"/>
        <v>6.3172897316595966</v>
      </c>
      <c r="EM24" s="20">
        <f t="shared" si="19"/>
        <v>44.70978500363038</v>
      </c>
      <c r="EN24" s="59">
        <f t="shared" si="20"/>
        <v>268.55079882671487</v>
      </c>
      <c r="EO24" s="59">
        <f ca="1">AVERAGE(OFFSET($EN$3,0,0,'Données projet'!$E$15+1,1))-AVERAGE(OFFSET($H$3,0,0,'Données projet'!$E$15+1,1))</f>
        <v>438.27475674276604</v>
      </c>
      <c r="EP24" s="59">
        <f t="shared" si="46"/>
        <v>235.97720136798864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4.8773333333333335</v>
      </c>
      <c r="FE24" s="12">
        <f>IF('Données projet'!$A$218&gt;35,FE23+FD24-FM23,IF(A24&lt;'Données projet'!$A$218,$FB$205^A24,IF(A24='Données projet'!$A$218,'Données projet'!$B$218,FE23+FD24-FM23)))</f>
        <v>32.787823209778814</v>
      </c>
      <c r="FF24" s="17">
        <f>FE24*VLOOKUP('Données projet'!$B$16,Paramètres!$A$1:$I$89,3,0)*VLOOKUP('Données projet'!$B$16,Paramètres!$A$1:$I$89,5,0)</f>
        <v>15.344701262176484</v>
      </c>
      <c r="FG24" s="13">
        <f t="shared" si="47"/>
        <v>5.1459426345120232</v>
      </c>
      <c r="FH24" s="20">
        <f t="shared" si="22"/>
        <v>35.687871453399147</v>
      </c>
      <c r="FI24" s="59">
        <f t="shared" si="23"/>
        <v>259.52888527648366</v>
      </c>
      <c r="FJ24" s="59">
        <f ca="1">AVERAGE(OFFSET($FI$3,0,0,'Données projet'!$E$16+1,1))-AVERAGE(OFFSET($H$3,0,0,'Données projet'!$E$16+1,1))</f>
        <v>329.49463758169588</v>
      </c>
      <c r="FK24" s="59">
        <f t="shared" si="48"/>
        <v>207.1447698203379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25</v>
      </c>
      <c r="FZ24" s="12">
        <f>IF('Données projet'!$A$244&gt;35,FZ23+FY24-GH23,IF(A24&lt;'Données projet'!$A$244,$FW$205^A24,IF(A24='Données projet'!$A$244,'Données projet'!$B$244,FZ23+FY24-GH23)))</f>
        <v>180.99999999999997</v>
      </c>
      <c r="GA24" s="17">
        <f>FZ24*VLOOKUP('Données projet'!$B$17,Paramètres!$A$1:$I$89,3,0)*VLOOKUP('Données projet'!$B$17,Paramètres!$A$1:$I$89,5,0)</f>
        <v>108.23799999999999</v>
      </c>
      <c r="GB24" s="13">
        <f t="shared" si="49"/>
        <v>28.915454284197679</v>
      </c>
      <c r="GC24" s="20">
        <f t="shared" si="25"/>
        <v>238.8755995449776</v>
      </c>
      <c r="GD24" s="59">
        <f t="shared" si="26"/>
        <v>462.7166133680621</v>
      </c>
      <c r="GE24" s="59">
        <f ca="1">AVERAGE(OFFSET($GD$3,0,0,'Données projet'!$E$17+1,1))-AVERAGE(OFFSET($H$3,0,0,'Données projet'!$E$17+1,1))</f>
        <v>577.07444926285291</v>
      </c>
      <c r="GF24" s="59">
        <f t="shared" si="50"/>
        <v>501.3762209070419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24.209484180638739</v>
      </c>
      <c r="GN24" s="21">
        <f>EXP(-LN(2)/2)*GN23+(1-EXP(-LN(2)/2))/(LN(2)/2)*GH24*GK24*VLOOKUP('Données projet'!$B$17,Paramètres!$A$1:$I$89,3,0)*0.475*44/12</f>
        <v>1.7773216490421708</v>
      </c>
      <c r="GO24" s="21">
        <f t="shared" si="27"/>
        <v>25.986805829680911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54.047549224477585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2.5641025599999923</v>
      </c>
      <c r="GU24" s="12">
        <f>IF('Données projet'!$A$270&gt;35,GU23+GT24-HC23,IF(A24&lt;'Données projet'!$A$270,$GR$205^A24,IF(A24='Données projet'!$A$270,'Données projet'!$B$270,GU23+GT24-HC23)))</f>
        <v>312.82051281999998</v>
      </c>
      <c r="GV24" s="17">
        <f>GU24*VLOOKUP('Données projet'!$B$18,Paramètres!$A$1:$I$89,3,0)*VLOOKUP('Données projet'!$B$18,Paramètres!$A$1:$I$89,5,0)</f>
        <v>165.43199999972882</v>
      </c>
      <c r="GW24" s="13">
        <f t="shared" si="51"/>
        <v>42.065327350277776</v>
      </c>
      <c r="GX24" s="20">
        <f t="shared" si="28"/>
        <v>361.39117846792811</v>
      </c>
      <c r="GY24" s="59">
        <f t="shared" si="29"/>
        <v>585.23219229101255</v>
      </c>
      <c r="GZ24" s="59">
        <f ca="1">AVERAGE(OFFSET($GY$3,0,0,'Données projet'!$E$18+1,1))-AVERAGE(OFFSET($H$3,0,0,'Données projet'!$E$18+1,1))</f>
        <v>212.75657290802619</v>
      </c>
      <c r="HA24" s="59">
        <f t="shared" si="52"/>
        <v>411.47446316045978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4.60745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16.893983333333335</v>
      </c>
      <c r="H25" s="66">
        <f t="shared" si="1"/>
        <v>189.09073333333333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295.94838840738328</v>
      </c>
      <c r="S25" s="59">
        <f ca="1">AVERAGE(OFFSET($R$3,0,0,'Données projet'!$E$9+1,1))-AVERAGE(OFFSET($H$3,0,0,'Données projet'!$E$9+1,1))</f>
        <v>564.49981446852132</v>
      </c>
      <c r="T25" s="59">
        <f t="shared" si="34"/>
        <v>297.54722913785406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4.0628205133333335</v>
      </c>
      <c r="AI25" s="13">
        <f>IF('Données projet'!$A$62&gt;35,AI24+AH25-AQ24,IF(A25&lt;'Données projet'!$A$62,$AF$205^A25,IF(A25='Données projet'!$A$62,'Données projet'!$B$62,AI24+AH25-AQ24)))</f>
        <v>33.860693886946351</v>
      </c>
      <c r="AJ25" s="13">
        <f>AI25*VLOOKUP('Données projet'!$B$10,Paramètres!$A$1:$I$89,3,0)*VLOOKUP('Données projet'!$B$10,Paramètres!$A$1:$I$89,5,0)</f>
        <v>34.334743601363606</v>
      </c>
      <c r="AK25" s="13">
        <f t="shared" si="35"/>
        <v>10.483986623205627</v>
      </c>
      <c r="AL25" s="20">
        <f t="shared" si="4"/>
        <v>78.059288474458086</v>
      </c>
      <c r="AM25" s="59">
        <f t="shared" si="5"/>
        <v>304.13723549403181</v>
      </c>
      <c r="AN25" s="59">
        <f ca="1">AVERAGE(OFFSET($AM$3,0,0,'Données projet'!$E$10+1,1))-AVERAGE(OFFSET($H$3,0,0,'Données projet'!$E$10+1,1))</f>
        <v>623.16549611107564</v>
      </c>
      <c r="AO25" s="59">
        <f t="shared" si="36"/>
        <v>326.15178903425885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62.624639999999999</v>
      </c>
      <c r="BF25" s="13">
        <f t="shared" si="37"/>
        <v>17.830197796836153</v>
      </c>
      <c r="BG25" s="20">
        <f t="shared" si="7"/>
        <v>140.12550916282296</v>
      </c>
      <c r="BH25" s="59">
        <f t="shared" si="8"/>
        <v>366.20345618239668</v>
      </c>
      <c r="BI25" s="59">
        <f ca="1">AVERAGE(OFFSET($BH$3,0,0,'Données projet'!$E$11+1,1))-AVERAGE(OFFSET($H$3,0,0,'Données projet'!$E$11+1,1))</f>
        <v>326.2912419133811</v>
      </c>
      <c r="BJ25" s="59">
        <f t="shared" si="38"/>
        <v>315.07976787459938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10.199999999999999</v>
      </c>
      <c r="BY25" s="12">
        <f>IF('Données projet'!$A$114&gt;35,BY24+BX25-CG24,IF(A25&lt;'Données projet'!$A$114,$BV$205^A25,IF(A25='Données projet'!$A$114,'Données projet'!$B$114,BY24+BX25-CG24)))</f>
        <v>95.399999999999991</v>
      </c>
      <c r="BZ25" s="13">
        <f>BY25*VLOOKUP('Données projet'!$B$12,Paramètres!$A$1:$I$89,3,0)*VLOOKUP('Données projet'!$B$12,Paramètres!$A$1:$I$89,5,0)</f>
        <v>61.01784</v>
      </c>
      <c r="CA25" s="13">
        <f t="shared" si="39"/>
        <v>17.425358414033564</v>
      </c>
      <c r="CB25" s="20">
        <f t="shared" si="10"/>
        <v>136.62190390444178</v>
      </c>
      <c r="CC25" s="59">
        <f t="shared" si="11"/>
        <v>362.69985092401549</v>
      </c>
      <c r="CD25" s="59">
        <f ca="1">AVERAGE(OFFSET($CC$3,0,0,'Données projet'!$E$12+1,1))-AVERAGE(OFFSET($H$3,0,0,'Données projet'!$E$12+1,1))</f>
        <v>297.03992602744393</v>
      </c>
      <c r="CE25" s="59">
        <f t="shared" si="40"/>
        <v>265.2588848922893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114.60000000000001</v>
      </c>
      <c r="CU25" s="17">
        <f>CT25*VLOOKUP('Données projet'!$B$13,Paramètres!$A$1:$I$89,3,0)*VLOOKUP('Données projet'!$B$13,Paramètres!$A$1:$I$89,5,0)</f>
        <v>91.175760000000011</v>
      </c>
      <c r="CV25" s="13">
        <f t="shared" si="41"/>
        <v>24.848575433138123</v>
      </c>
      <c r="CW25" s="20">
        <f t="shared" si="13"/>
        <v>202.07571754604893</v>
      </c>
      <c r="CX25" s="59">
        <f t="shared" si="14"/>
        <v>428.15366456562265</v>
      </c>
      <c r="CY25" s="59">
        <f ca="1">AVERAGE(OFFSET($CX$3,0,0,'Données projet'!$E$13+1,1))-AVERAGE(OFFSET($H$3,0,0,'Données projet'!$E$13+1,1))</f>
        <v>427.42918901489531</v>
      </c>
      <c r="CZ25" s="59">
        <f t="shared" si="42"/>
        <v>410.68601510655412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4.0628205133333335</v>
      </c>
      <c r="DO25" s="12">
        <f>IF('Données projet'!$A$166&gt;35,DO24+DN25-DW24,IF(A25&lt;'Données projet'!$A$166,$DL$205^A25,IF(A25='Données projet'!$A$166,'Données projet'!$B$166,DO24+DN25-DW24)))</f>
        <v>33.860693886946351</v>
      </c>
      <c r="DP25" s="17">
        <f>DO25*VLOOKUP('Données projet'!$B$14,Paramètres!$A$1:$I$89,3,0)*VLOOKUP('Données projet'!$B$14,Paramètres!$A$1:$I$89,5,0)</f>
        <v>32.75006312745451</v>
      </c>
      <c r="DQ25" s="13">
        <f t="shared" si="43"/>
        <v>10.055264824607562</v>
      </c>
      <c r="DR25" s="20">
        <f t="shared" si="16"/>
        <v>74.552612849841438</v>
      </c>
      <c r="DS25" s="59">
        <f t="shared" si="17"/>
        <v>300.63055986941515</v>
      </c>
      <c r="DT25" s="59">
        <f ca="1">AVERAGE(OFFSET($DS$3,0,0,'Données projet'!$E$14+1,1))-AVERAGE(OFFSET($H$3,0,0,'Données projet'!$E$14+1,1))</f>
        <v>598.03945725240396</v>
      </c>
      <c r="DU25" s="59">
        <f t="shared" si="44"/>
        <v>313.9014686755695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4.0628205128205126</v>
      </c>
      <c r="EJ25" s="12">
        <f>IF('Données projet'!$A$192&gt;35,EJ24+EI25-ER24,IF(A25&lt;'Données projet'!$A$192,$EG$205^A25,IF(A25='Données projet'!$A$192,'Données projet'!$B$192,EJ24+EI25-ER24)))</f>
        <v>33.860693883812012</v>
      </c>
      <c r="EK25" s="17">
        <f>EJ25*VLOOKUP('Données projet'!$B$15,Paramètres!$A$1:$I$89,3,0)*VLOOKUP('Données projet'!$B$15,Paramètres!$A$1:$I$89,5,0)</f>
        <v>22.713753457261099</v>
      </c>
      <c r="EL25" s="13">
        <f t="shared" si="45"/>
        <v>7.277277627473751</v>
      </c>
      <c r="EM25" s="20">
        <f t="shared" si="19"/>
        <v>52.234379139246528</v>
      </c>
      <c r="EN25" s="59">
        <f t="shared" si="20"/>
        <v>278.31232615882027</v>
      </c>
      <c r="EO25" s="59">
        <f ca="1">AVERAGE(OFFSET($EN$3,0,0,'Données projet'!$E$15+1,1))-AVERAGE(OFFSET($H$3,0,0,'Données projet'!$E$15+1,1))</f>
        <v>438.27475674276604</v>
      </c>
      <c r="EP25" s="59">
        <f t="shared" si="46"/>
        <v>235.97720136798864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4.8773333333333335</v>
      </c>
      <c r="FE25" s="12">
        <f>IF('Données projet'!$A$218&gt;35,FE24+FD25-FM24,IF(A25&lt;'Données projet'!$A$218,$FB$205^A25,IF(A25='Données projet'!$A$218,'Données projet'!$B$218,FE24+FD25-FM24)))</f>
        <v>38.715901340416693</v>
      </c>
      <c r="FF25" s="17">
        <f>FE25*VLOOKUP('Données projet'!$B$16,Paramètres!$A$1:$I$89,3,0)*VLOOKUP('Données projet'!$B$16,Paramètres!$A$1:$I$89,5,0)</f>
        <v>18.119041827315012</v>
      </c>
      <c r="FG25" s="13">
        <f t="shared" si="47"/>
        <v>5.9599189253148284</v>
      </c>
      <c r="FH25" s="20">
        <f t="shared" si="22"/>
        <v>41.937523310830301</v>
      </c>
      <c r="FI25" s="59">
        <f t="shared" si="23"/>
        <v>268.01547033040401</v>
      </c>
      <c r="FJ25" s="59">
        <f ca="1">AVERAGE(OFFSET($FI$3,0,0,'Données projet'!$E$16+1,1))-AVERAGE(OFFSET($H$3,0,0,'Données projet'!$E$16+1,1))</f>
        <v>329.49463758169588</v>
      </c>
      <c r="FK25" s="59">
        <f t="shared" si="48"/>
        <v>207.1447698203379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25</v>
      </c>
      <c r="FZ25" s="12">
        <f>IF('Données projet'!$A$244&gt;35,FZ24+FY25-GH24,IF(A25&lt;'Données projet'!$A$244,$FW$205^A25,IF(A25='Données projet'!$A$244,'Données projet'!$B$244,FZ24+FY25-GH24)))</f>
        <v>205.99999999999997</v>
      </c>
      <c r="GA25" s="17">
        <f>FZ25*VLOOKUP('Données projet'!$B$17,Paramètres!$A$1:$I$89,3,0)*VLOOKUP('Données projet'!$B$17,Paramètres!$A$1:$I$89,5,0)</f>
        <v>123.18799999999999</v>
      </c>
      <c r="GB25" s="13">
        <f t="shared" si="49"/>
        <v>32.417409489939047</v>
      </c>
      <c r="GC25" s="20">
        <f t="shared" si="25"/>
        <v>271.01275486164383</v>
      </c>
      <c r="GD25" s="59">
        <f t="shared" si="26"/>
        <v>497.09070188121757</v>
      </c>
      <c r="GE25" s="59">
        <f ca="1">AVERAGE(OFFSET($GD$3,0,0,'Données projet'!$E$17+1,1))-AVERAGE(OFFSET($H$3,0,0,'Données projet'!$E$17+1,1))</f>
        <v>577.07444926285291</v>
      </c>
      <c r="GF25" s="59">
        <f t="shared" si="50"/>
        <v>501.3762209070419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23.547474562597731</v>
      </c>
      <c r="GN25" s="21">
        <f>EXP(-LN(2)/2)*GN24+(1-EXP(-LN(2)/2))/(LN(2)/2)*GH25*GK25*VLOOKUP('Données projet'!$B$17,Paramètres!$A$1:$I$89,3,0)*0.475*44/12</f>
        <v>1.2567561903873763</v>
      </c>
      <c r="GO25" s="21">
        <f t="shared" si="27"/>
        <v>24.804230752985106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54.324288581095864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2.5641025599999923</v>
      </c>
      <c r="GU25" s="12">
        <f>IF('Données projet'!$A$270&gt;35,GU24+GT25-HC24,IF(A25&lt;'Données projet'!$A$270,$GR$205^A25,IF(A25='Données projet'!$A$270,'Données projet'!$B$270,GU24+GT25-HC24)))</f>
        <v>315.38461537999996</v>
      </c>
      <c r="GV25" s="17">
        <f>GU25*VLOOKUP('Données projet'!$B$18,Paramètres!$A$1:$I$89,3,0)*VLOOKUP('Données projet'!$B$18,Paramètres!$A$1:$I$89,5,0)</f>
        <v>166.78799999755921</v>
      </c>
      <c r="GW25" s="13">
        <f t="shared" si="51"/>
        <v>42.369845757123997</v>
      </c>
      <c r="GX25" s="20">
        <f t="shared" si="28"/>
        <v>364.28324802273983</v>
      </c>
      <c r="GY25" s="59">
        <f t="shared" si="29"/>
        <v>590.36119504231351</v>
      </c>
      <c r="GZ25" s="59">
        <f ca="1">AVERAGE(OFFSET($GY$3,0,0,'Données projet'!$E$18+1,1))-AVERAGE(OFFSET($H$3,0,0,'Données projet'!$E$18+1,1))</f>
        <v>212.75657290802619</v>
      </c>
      <c r="HA25" s="59">
        <f t="shared" si="52"/>
        <v>411.47446316045978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4.60745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16.893983333333335</v>
      </c>
      <c r="H26" s="66">
        <f t="shared" si="1"/>
        <v>189.09073333333333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309.9416303209187</v>
      </c>
      <c r="S26" s="59">
        <f ca="1">AVERAGE(OFFSET($R$3,0,0,'Données projet'!$E$9+1,1))-AVERAGE(OFFSET($H$3,0,0,'Données projet'!$E$9+1,1))</f>
        <v>564.49981446852132</v>
      </c>
      <c r="T26" s="59">
        <f t="shared" si="34"/>
        <v>297.54722913785406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4.0628205133333335</v>
      </c>
      <c r="AI26" s="13">
        <f>IF('Données projet'!$A$62&gt;35,AI25+AH26-AQ25,IF(A26&lt;'Données projet'!$A$62,$AF$205^A26,IF(A26='Données projet'!$A$62,'Données projet'!$B$62,AI25+AH26-AQ25)))</f>
        <v>39.739965277309587</v>
      </c>
      <c r="AJ26" s="13">
        <f>AI26*VLOOKUP('Données projet'!$B$10,Paramètres!$A$1:$I$89,3,0)*VLOOKUP('Données projet'!$B$10,Paramètres!$A$1:$I$89,5,0)</f>
        <v>40.296324791191921</v>
      </c>
      <c r="AK26" s="13">
        <f t="shared" si="35"/>
        <v>12.077154055118635</v>
      </c>
      <c r="AL26" s="20">
        <f t="shared" si="4"/>
        <v>91.217142323990871</v>
      </c>
      <c r="AM26" s="59">
        <f t="shared" si="5"/>
        <v>319.51441957320424</v>
      </c>
      <c r="AN26" s="59">
        <f ca="1">AVERAGE(OFFSET($AM$3,0,0,'Données projet'!$E$10+1,1))-AVERAGE(OFFSET($H$3,0,0,'Données projet'!$E$10+1,1))</f>
        <v>623.16549611107564</v>
      </c>
      <c r="AO26" s="59">
        <f t="shared" si="36"/>
        <v>326.15178903425885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72.845759999999984</v>
      </c>
      <c r="BF26" s="13">
        <f t="shared" si="37"/>
        <v>20.378512751497539</v>
      </c>
      <c r="BG26" s="20">
        <f t="shared" si="7"/>
        <v>162.36560837552486</v>
      </c>
      <c r="BH26" s="59">
        <f t="shared" si="8"/>
        <v>390.66288562473824</v>
      </c>
      <c r="BI26" s="59">
        <f ca="1">AVERAGE(OFFSET($BH$3,0,0,'Données projet'!$E$11+1,1))-AVERAGE(OFFSET($H$3,0,0,'Données projet'!$E$11+1,1))</f>
        <v>326.2912419133811</v>
      </c>
      <c r="BJ26" s="59">
        <f t="shared" si="38"/>
        <v>315.07976787459938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10.199999999999999</v>
      </c>
      <c r="BY26" s="12">
        <f>IF('Données projet'!$A$114&gt;35,BY25+BX26-CG25,IF(A26&lt;'Données projet'!$A$114,$BV$205^A26,IF(A26='Données projet'!$A$114,'Données projet'!$B$114,BY25+BX26-CG25)))</f>
        <v>105.6</v>
      </c>
      <c r="BZ26" s="13">
        <f>BY26*VLOOKUP('Données projet'!$B$12,Paramètres!$A$1:$I$89,3,0)*VLOOKUP('Données projet'!$B$12,Paramètres!$A$1:$I$89,5,0)</f>
        <v>67.541759999999996</v>
      </c>
      <c r="CA26" s="13">
        <f t="shared" si="39"/>
        <v>19.061725619888932</v>
      </c>
      <c r="CB26" s="20">
        <f t="shared" si="10"/>
        <v>150.83440412130653</v>
      </c>
      <c r="CC26" s="59">
        <f t="shared" si="11"/>
        <v>379.13168137051991</v>
      </c>
      <c r="CD26" s="59">
        <f ca="1">AVERAGE(OFFSET($CC$3,0,0,'Données projet'!$E$12+1,1))-AVERAGE(OFFSET($H$3,0,0,'Données projet'!$E$12+1,1))</f>
        <v>297.03992602744393</v>
      </c>
      <c r="CE26" s="59">
        <f t="shared" si="40"/>
        <v>265.2588848922893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131.4</v>
      </c>
      <c r="CU26" s="17">
        <f>CT26*VLOOKUP('Données projet'!$B$13,Paramètres!$A$1:$I$89,3,0)*VLOOKUP('Données projet'!$B$13,Paramètres!$A$1:$I$89,5,0)</f>
        <v>104.54184000000002</v>
      </c>
      <c r="CV26" s="13">
        <f t="shared" si="41"/>
        <v>28.041215323191079</v>
      </c>
      <c r="CW26" s="20">
        <f t="shared" si="13"/>
        <v>230.91548802122449</v>
      </c>
      <c r="CX26" s="59">
        <f t="shared" si="14"/>
        <v>459.21276527043784</v>
      </c>
      <c r="CY26" s="59">
        <f ca="1">AVERAGE(OFFSET($CX$3,0,0,'Données projet'!$E$13+1,1))-AVERAGE(OFFSET($H$3,0,0,'Données projet'!$E$13+1,1))</f>
        <v>427.42918901489531</v>
      </c>
      <c r="CZ26" s="59">
        <f t="shared" si="42"/>
        <v>410.68601510655412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4.0628205133333335</v>
      </c>
      <c r="DO26" s="12">
        <f>IF('Données projet'!$A$166&gt;35,DO25+DN26-DW25,IF(A26&lt;'Données projet'!$A$166,$DL$205^A26,IF(A26='Données projet'!$A$166,'Données projet'!$B$166,DO25+DN26-DW25)))</f>
        <v>39.739965277309587</v>
      </c>
      <c r="DP26" s="17">
        <f>DO26*VLOOKUP('Données projet'!$B$14,Paramètres!$A$1:$I$89,3,0)*VLOOKUP('Données projet'!$B$14,Paramètres!$A$1:$I$89,5,0)</f>
        <v>38.436494416213833</v>
      </c>
      <c r="DQ26" s="13">
        <f t="shared" si="43"/>
        <v>11.583282840422903</v>
      </c>
      <c r="DR26" s="20">
        <f t="shared" si="16"/>
        <v>87.11777872197564</v>
      </c>
      <c r="DS26" s="59">
        <f t="shared" si="17"/>
        <v>315.41505597118896</v>
      </c>
      <c r="DT26" s="59">
        <f ca="1">AVERAGE(OFFSET($DS$3,0,0,'Données projet'!$E$14+1,1))-AVERAGE(OFFSET($H$3,0,0,'Données projet'!$E$14+1,1))</f>
        <v>598.03945725240396</v>
      </c>
      <c r="DU26" s="59">
        <f t="shared" si="44"/>
        <v>313.9014686755695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4.0628205128205126</v>
      </c>
      <c r="EJ26" s="12">
        <f>IF('Données projet'!$A$192&gt;35,EJ25+EI26-ER25,IF(A26&lt;'Données projet'!$A$192,$EG$205^A26,IF(A26='Données projet'!$A$192,'Données projet'!$B$192,EJ25+EI26-ER25)))</f>
        <v>39.739965273463824</v>
      </c>
      <c r="EK26" s="17">
        <f>EJ26*VLOOKUP('Données projet'!$B$15,Paramètres!$A$1:$I$89,3,0)*VLOOKUP('Données projet'!$B$15,Paramètres!$A$1:$I$89,5,0)</f>
        <v>26.65756870543953</v>
      </c>
      <c r="EL26" s="13">
        <f t="shared" si="45"/>
        <v>8.3831471907838733</v>
      </c>
      <c r="EM26" s="20">
        <f t="shared" si="19"/>
        <v>61.029246852589097</v>
      </c>
      <c r="EN26" s="59">
        <f t="shared" si="20"/>
        <v>289.32652410180242</v>
      </c>
      <c r="EO26" s="59">
        <f ca="1">AVERAGE(OFFSET($EN$3,0,0,'Données projet'!$E$15+1,1))-AVERAGE(OFFSET($H$3,0,0,'Données projet'!$E$15+1,1))</f>
        <v>438.27475674276604</v>
      </c>
      <c r="EP26" s="59">
        <f t="shared" si="46"/>
        <v>235.97720136798864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4.8773333333333335</v>
      </c>
      <c r="FE26" s="12">
        <f>IF('Données projet'!$A$218&gt;35,FE25+FD26-FM25,IF(A26&lt;'Données projet'!$A$218,$FB$205^A26,IF(A26='Données projet'!$A$218,'Données projet'!$B$218,FE25+FD26-FM25)))</f>
        <v>45.71578317385319</v>
      </c>
      <c r="FF26" s="17">
        <f>FE26*VLOOKUP('Données projet'!$B$16,Paramètres!$A$1:$I$89,3,0)*VLOOKUP('Données projet'!$B$16,Paramètres!$A$1:$I$89,5,0)</f>
        <v>21.394986525363294</v>
      </c>
      <c r="FG26" s="13">
        <f t="shared" si="47"/>
        <v>6.9026485756179028</v>
      </c>
      <c r="FH26" s="20">
        <f t="shared" si="22"/>
        <v>49.285047800875581</v>
      </c>
      <c r="FI26" s="59">
        <f t="shared" si="23"/>
        <v>277.58232505008891</v>
      </c>
      <c r="FJ26" s="59">
        <f ca="1">AVERAGE(OFFSET($FI$3,0,0,'Données projet'!$E$16+1,1))-AVERAGE(OFFSET($H$3,0,0,'Données projet'!$E$16+1,1))</f>
        <v>329.49463758169588</v>
      </c>
      <c r="FK26" s="59">
        <f t="shared" si="48"/>
        <v>207.1447698203379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25</v>
      </c>
      <c r="FZ26" s="12">
        <f>IF('Données projet'!$A$244&gt;35,FZ25+FY26-GH25,IF(A26&lt;'Données projet'!$A$244,$FW$205^A26,IF(A26='Données projet'!$A$244,'Données projet'!$B$244,FZ25+FY26-GH25)))</f>
        <v>230.99999999999997</v>
      </c>
      <c r="GA26" s="17">
        <f>FZ26*VLOOKUP('Données projet'!$B$17,Paramètres!$A$1:$I$89,3,0)*VLOOKUP('Données projet'!$B$17,Paramètres!$A$1:$I$89,5,0)</f>
        <v>138.13800000000001</v>
      </c>
      <c r="GB26" s="13">
        <f t="shared" si="49"/>
        <v>35.870115614757175</v>
      </c>
      <c r="GC26" s="20">
        <f t="shared" si="25"/>
        <v>303.06413469570208</v>
      </c>
      <c r="GD26" s="59">
        <f t="shared" si="26"/>
        <v>531.3614119449154</v>
      </c>
      <c r="GE26" s="59">
        <f ca="1">AVERAGE(OFFSET($GD$3,0,0,'Données projet'!$E$17+1,1))-AVERAGE(OFFSET($H$3,0,0,'Données projet'!$E$17+1,1))</f>
        <v>577.07444926285291</v>
      </c>
      <c r="GF26" s="59">
        <f t="shared" si="50"/>
        <v>501.3762209070419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22.903567632375626</v>
      </c>
      <c r="GN26" s="21">
        <f>EXP(-LN(2)/2)*GN25+(1-EXP(-LN(2)/2))/(LN(2)/2)*GH26*GK26*VLOOKUP('Données projet'!$B$17,Paramètres!$A$1:$I$89,3,0)*0.475*44/12</f>
        <v>0.88866082452108563</v>
      </c>
      <c r="GO26" s="21">
        <f t="shared" si="27"/>
        <v>23.792228456896712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54.596227128573339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2.5641025599999923</v>
      </c>
      <c r="GU26" s="12">
        <f>IF('Données projet'!$A$270&gt;35,GU25+GT26-HC25,IF(A26&lt;'Données projet'!$A$270,$GR$205^A26,IF(A26='Données projet'!$A$270,'Données projet'!$B$270,GU25+GT26-HC25)))</f>
        <v>317.94871793999994</v>
      </c>
      <c r="GV26" s="17">
        <f>GU26*VLOOKUP('Données projet'!$B$18,Paramètres!$A$1:$I$89,3,0)*VLOOKUP('Données projet'!$B$18,Paramètres!$A$1:$I$89,5,0)</f>
        <v>168.14399999538958</v>
      </c>
      <c r="GW26" s="13">
        <f t="shared" si="51"/>
        <v>42.674076118534146</v>
      </c>
      <c r="GX26" s="20">
        <f t="shared" si="28"/>
        <v>367.17481589841714</v>
      </c>
      <c r="GY26" s="59">
        <f t="shared" si="29"/>
        <v>595.47209314763052</v>
      </c>
      <c r="GZ26" s="59">
        <f ca="1">AVERAGE(OFFSET($GY$3,0,0,'Données projet'!$E$18+1,1))-AVERAGE(OFFSET($H$3,0,0,'Données projet'!$E$18+1,1))</f>
        <v>212.75657290802619</v>
      </c>
      <c r="HA26" s="59">
        <f t="shared" si="52"/>
        <v>411.47446316045978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4.60745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16.893983333333335</v>
      </c>
      <c r="H27" s="66">
        <f t="shared" si="1"/>
        <v>189.09073333333333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325.90752451391069</v>
      </c>
      <c r="S27" s="59">
        <f ca="1">AVERAGE(OFFSET($R$3,0,0,'Données projet'!$E$9+1,1))-AVERAGE(OFFSET($H$3,0,0,'Données projet'!$E$9+1,1))</f>
        <v>564.49981446852132</v>
      </c>
      <c r="T27" s="59">
        <f t="shared" si="34"/>
        <v>297.54722913785406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4.0628205133333335</v>
      </c>
      <c r="AI27" s="13">
        <f>IF('Données projet'!$A$62&gt;35,AI26+AH27-AQ26,IF(A27&lt;'Données projet'!$A$62,$AF$205^A27,IF(A27='Données projet'!$A$62,'Données projet'!$B$62,AI26+AH27-AQ26)))</f>
        <v>46.64006135003023</v>
      </c>
      <c r="AJ27" s="13">
        <f>AI27*VLOOKUP('Données projet'!$B$10,Paramètres!$A$1:$I$89,3,0)*VLOOKUP('Données projet'!$B$10,Paramètres!$A$1:$I$89,5,0)</f>
        <v>47.293022208930658</v>
      </c>
      <c r="AK27" s="13">
        <f t="shared" si="35"/>
        <v>13.912422374540427</v>
      </c>
      <c r="AL27" s="20">
        <f t="shared" si="4"/>
        <v>106.59948264954546</v>
      </c>
      <c r="AM27" s="59">
        <f t="shared" si="5"/>
        <v>337.09879253366927</v>
      </c>
      <c r="AN27" s="59">
        <f ca="1">AVERAGE(OFFSET($AM$3,0,0,'Données projet'!$E$10+1,1))-AVERAGE(OFFSET($H$3,0,0,'Données projet'!$E$10+1,1))</f>
        <v>623.16549611107564</v>
      </c>
      <c r="AO27" s="59">
        <f t="shared" si="36"/>
        <v>326.15178903425885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83.066879999999983</v>
      </c>
      <c r="BF27" s="13">
        <f t="shared" si="37"/>
        <v>22.88540255569357</v>
      </c>
      <c r="BG27" s="20">
        <f t="shared" si="7"/>
        <v>184.5335587844996</v>
      </c>
      <c r="BH27" s="59">
        <f t="shared" si="8"/>
        <v>415.03286866862345</v>
      </c>
      <c r="BI27" s="59">
        <f ca="1">AVERAGE(OFFSET($BH$3,0,0,'Données projet'!$E$11+1,1))-AVERAGE(OFFSET($H$3,0,0,'Données projet'!$E$11+1,1))</f>
        <v>326.2912419133811</v>
      </c>
      <c r="BJ27" s="59">
        <f t="shared" si="38"/>
        <v>315.07976787459938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10.199999999999999</v>
      </c>
      <c r="BY27" s="12">
        <f>IF('Données projet'!$A$114&gt;35,BY26+BX27-CG26,IF(A27&lt;'Données projet'!$A$114,$BV$205^A27,IF(A27='Données projet'!$A$114,'Données projet'!$B$114,BY26+BX27-CG26)))</f>
        <v>115.8</v>
      </c>
      <c r="BZ27" s="13">
        <f>BY27*VLOOKUP('Données projet'!$B$12,Paramètres!$A$1:$I$89,3,0)*VLOOKUP('Données projet'!$B$12,Paramètres!$A$1:$I$89,5,0)</f>
        <v>74.06568</v>
      </c>
      <c r="CA27" s="13">
        <f t="shared" si="39"/>
        <v>20.679767839019505</v>
      </c>
      <c r="CB27" s="20">
        <f t="shared" si="10"/>
        <v>165.01498831962564</v>
      </c>
      <c r="CC27" s="59">
        <f t="shared" si="11"/>
        <v>395.51429820374949</v>
      </c>
      <c r="CD27" s="59">
        <f ca="1">AVERAGE(OFFSET($CC$3,0,0,'Données projet'!$E$12+1,1))-AVERAGE(OFFSET($H$3,0,0,'Données projet'!$E$12+1,1))</f>
        <v>297.03992602744393</v>
      </c>
      <c r="CE27" s="59">
        <f t="shared" si="40"/>
        <v>265.2588848922893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148.20000000000002</v>
      </c>
      <c r="CU27" s="17">
        <f>CT27*VLOOKUP('Données projet'!$B$13,Paramètres!$A$1:$I$89,3,0)*VLOOKUP('Données projet'!$B$13,Paramètres!$A$1:$I$89,5,0)</f>
        <v>117.90792000000002</v>
      </c>
      <c r="CV27" s="13">
        <f t="shared" si="41"/>
        <v>31.186557651984323</v>
      </c>
      <c r="CW27" s="20">
        <f t="shared" si="13"/>
        <v>259.67288191053939</v>
      </c>
      <c r="CX27" s="59">
        <f t="shared" si="14"/>
        <v>490.17219179466321</v>
      </c>
      <c r="CY27" s="59">
        <f ca="1">AVERAGE(OFFSET($CX$3,0,0,'Données projet'!$E$13+1,1))-AVERAGE(OFFSET($H$3,0,0,'Données projet'!$E$13+1,1))</f>
        <v>427.42918901489531</v>
      </c>
      <c r="CZ27" s="59">
        <f t="shared" si="42"/>
        <v>410.68601510655412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4.0628205133333335</v>
      </c>
      <c r="DO27" s="12">
        <f>IF('Données projet'!$A$166&gt;35,DO26+DN27-DW26,IF(A27&lt;'Données projet'!$A$166,$DL$205^A27,IF(A27='Données projet'!$A$166,'Données projet'!$B$166,DO26+DN27-DW26)))</f>
        <v>46.64006135003023</v>
      </c>
      <c r="DP27" s="17">
        <f>DO27*VLOOKUP('Données projet'!$B$14,Paramètres!$A$1:$I$89,3,0)*VLOOKUP('Données projet'!$B$14,Paramètres!$A$1:$I$89,5,0)</f>
        <v>45.110267337749242</v>
      </c>
      <c r="DQ27" s="13">
        <f t="shared" si="43"/>
        <v>13.343501509068625</v>
      </c>
      <c r="DR27" s="20">
        <f t="shared" si="16"/>
        <v>101.80698074154111</v>
      </c>
      <c r="DS27" s="59">
        <f t="shared" si="17"/>
        <v>332.30629062566493</v>
      </c>
      <c r="DT27" s="59">
        <f ca="1">AVERAGE(OFFSET($DS$3,0,0,'Données projet'!$E$14+1,1))-AVERAGE(OFFSET($H$3,0,0,'Données projet'!$E$14+1,1))</f>
        <v>598.03945725240396</v>
      </c>
      <c r="DU27" s="59">
        <f t="shared" si="44"/>
        <v>313.9014686755695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4.0628205128205126</v>
      </c>
      <c r="EJ27" s="12">
        <f>IF('Données projet'!$A$192&gt;35,EJ26+EI27-ER26,IF(A27&lt;'Données projet'!$A$192,$EG$205^A27,IF(A27='Données projet'!$A$192,'Données projet'!$B$192,EJ26+EI27-ER26)))</f>
        <v>46.640061345320483</v>
      </c>
      <c r="EK27" s="17">
        <f>EJ27*VLOOKUP('Données projet'!$B$15,Paramètres!$A$1:$I$89,3,0)*VLOOKUP('Données projet'!$B$15,Paramètres!$A$1:$I$89,5,0)</f>
        <v>31.286153150440978</v>
      </c>
      <c r="EL27" s="13">
        <f t="shared" si="45"/>
        <v>9.6570668895510785</v>
      </c>
      <c r="EM27" s="20">
        <f t="shared" si="19"/>
        <v>71.309441569652833</v>
      </c>
      <c r="EN27" s="59">
        <f t="shared" si="20"/>
        <v>301.80875145377667</v>
      </c>
      <c r="EO27" s="59">
        <f ca="1">AVERAGE(OFFSET($EN$3,0,0,'Données projet'!$E$15+1,1))-AVERAGE(OFFSET($H$3,0,0,'Données projet'!$E$15+1,1))</f>
        <v>438.27475674276604</v>
      </c>
      <c r="EP27" s="59">
        <f t="shared" si="46"/>
        <v>235.97720136798864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4.8773333333333335</v>
      </c>
      <c r="FE27" s="12">
        <f>IF('Données projet'!$A$218&gt;35,FE26+FD27-FM26,IF(A27&lt;'Données projet'!$A$218,$FB$205^A27,IF(A27='Données projet'!$A$218,'Données projet'!$B$218,FE26+FD27-FM26)))</f>
        <v>53.981252117124654</v>
      </c>
      <c r="FF27" s="17">
        <f>FE27*VLOOKUP('Données projet'!$B$16,Paramètres!$A$1:$I$89,3,0)*VLOOKUP('Données projet'!$B$16,Paramètres!$A$1:$I$89,5,0)</f>
        <v>25.263225990814338</v>
      </c>
      <c r="FG27" s="13">
        <f t="shared" si="47"/>
        <v>7.9944975687673434</v>
      </c>
      <c r="FH27" s="20">
        <f t="shared" si="22"/>
        <v>57.923868532938087</v>
      </c>
      <c r="FI27" s="59">
        <f t="shared" si="23"/>
        <v>288.42317841706188</v>
      </c>
      <c r="FJ27" s="59">
        <f ca="1">AVERAGE(OFFSET($FI$3,0,0,'Données projet'!$E$16+1,1))-AVERAGE(OFFSET($H$3,0,0,'Données projet'!$E$16+1,1))</f>
        <v>329.49463758169588</v>
      </c>
      <c r="FK27" s="59">
        <f t="shared" si="48"/>
        <v>207.1447698203379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25</v>
      </c>
      <c r="FZ27" s="12">
        <f>IF('Données projet'!$A$244&gt;35,FZ26+FY27-GH26,IF(A27&lt;'Données projet'!$A$244,$FW$205^A27,IF(A27='Données projet'!$A$244,'Données projet'!$B$244,FZ26+FY27-GH26)))</f>
        <v>255.99999999999997</v>
      </c>
      <c r="GA27" s="17">
        <f>FZ27*VLOOKUP('Données projet'!$B$17,Paramètres!$A$1:$I$89,3,0)*VLOOKUP('Données projet'!$B$17,Paramètres!$A$1:$I$89,5,0)</f>
        <v>153.08799999999999</v>
      </c>
      <c r="GB27" s="13">
        <f t="shared" si="49"/>
        <v>39.279510265435114</v>
      </c>
      <c r="GC27" s="20">
        <f t="shared" si="25"/>
        <v>335.04008037896614</v>
      </c>
      <c r="GD27" s="59">
        <f t="shared" si="26"/>
        <v>565.5393902630899</v>
      </c>
      <c r="GE27" s="59">
        <f ca="1">AVERAGE(OFFSET($GD$3,0,0,'Données projet'!$E$17+1,1))-AVERAGE(OFFSET($H$3,0,0,'Données projet'!$E$17+1,1))</f>
        <v>577.07444926285291</v>
      </c>
      <c r="GF27" s="59">
        <f t="shared" si="50"/>
        <v>501.3762209070419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22.277268371022039</v>
      </c>
      <c r="GN27" s="21">
        <f>EXP(-LN(2)/2)*GN26+(1-EXP(-LN(2)/2))/(LN(2)/2)*GH27*GK27*VLOOKUP('Données projet'!$B$17,Paramètres!$A$1:$I$89,3,0)*0.475*44/12</f>
        <v>0.62837809519368826</v>
      </c>
      <c r="GO27" s="21">
        <f t="shared" si="27"/>
        <v>22.905646466215728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54.863448150215582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>
        <f>VLOOKUP(A27,'Données projet'!$A$269:$I$289,2,0)</f>
        <v>320.51282049999998</v>
      </c>
      <c r="GS27" s="12">
        <f>VLOOKUP(A27,'Données projet'!$A$269:$I$289,9,0)</f>
        <v>2.5641025599999923</v>
      </c>
      <c r="GT27" s="12">
        <f t="array" ref="GT27">INDEX(GS:GS,MIN(IF(ISNUMBER(GS27:GS223),ROW(GS27:GS223),"")))</f>
        <v>2.5641025599999923</v>
      </c>
      <c r="GU27" s="12">
        <f>IF('Données projet'!$A$270&gt;35,GU26+GT27-HC26,IF(A27&lt;'Données projet'!$A$270,$GR$205^A27,IF(A27='Données projet'!$A$270,'Données projet'!$B$270,GU26+GT27-HC26)))</f>
        <v>320.51282049999992</v>
      </c>
      <c r="GV27" s="17">
        <f>GU27*VLOOKUP('Données projet'!$B$18,Paramètres!$A$1:$I$89,3,0)*VLOOKUP('Données projet'!$B$18,Paramètres!$A$1:$I$89,5,0)</f>
        <v>169.49999999321997</v>
      </c>
      <c r="GW27" s="13">
        <f t="shared" si="51"/>
        <v>42.978021026685852</v>
      </c>
      <c r="GX27" s="20">
        <f t="shared" si="28"/>
        <v>370.06588660966935</v>
      </c>
      <c r="GY27" s="59">
        <f t="shared" si="29"/>
        <v>600.56519649379311</v>
      </c>
      <c r="GZ27" s="59">
        <f ca="1">AVERAGE(OFFSET($GY$3,0,0,'Données projet'!$E$18+1,1))-AVERAGE(OFFSET($H$3,0,0,'Données projet'!$E$18+1,1))</f>
        <v>212.75657290802619</v>
      </c>
      <c r="HA27" s="59">
        <f t="shared" si="52"/>
        <v>411.47446316045978</v>
      </c>
      <c r="HB27" s="15" t="str">
        <f>IF(ISNA(VLOOKUP(A27,'Données projet'!$A$269:$I$289,3,0)),0,VLOOKUP(A27,'Données projet'!$A$269:$I$289,3,0))</f>
        <v>CR</v>
      </c>
      <c r="HC27" s="15">
        <f>IF(ISNA(VLOOKUP(A27,'Données projet'!$A$269:$I$289,4,0)),0,VLOOKUP(A27,'Données projet'!$A$269:$I$289,4,0))</f>
        <v>320.51282049999998</v>
      </c>
      <c r="HD27" s="16">
        <f>IF(ISNA(VLOOKUP(A27,'Données projet'!$A$269:$I$289,5,0)),0%,VLOOKUP(A27,'Données projet'!$A$269:$I$289,5,0)*VLOOKUP('Données projet'!$B$18,Paramètres!$A$1:$I$89,7,0))</f>
        <v>0.46199999999999997</v>
      </c>
      <c r="HE27" s="16">
        <f>IF(ISNA(VLOOKUP(A27,'Données projet'!$A$269:$I$289,6,0)),0%,VLOOKUP(A27,'Données projet'!$A$269:$I$289,6,0)*VLOOKUP('Données projet'!$B$18,Paramètres!$A$1:$I$89,7,0))</f>
        <v>0.126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86.568279947383061</v>
      </c>
      <c r="HH27" s="21">
        <f>EXP(-LN(2)/25)*HH26+(1-EXP(-LN(2)/25))/(LN(2)/25)*Calculateur!HC27*Calculateur!HE27*VLOOKUP('Données projet'!$B$18,Paramètres!$A$1:$I$89,3,0)*0.475*44/12</f>
        <v>23.5165711756717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110.08485112305476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4.60745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16.893983333333335</v>
      </c>
      <c r="H28" s="66">
        <f t="shared" si="1"/>
        <v>189.09073333333333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344.18362648516563</v>
      </c>
      <c r="S28" s="59">
        <f ca="1">AVERAGE(OFFSET($R$3,0,0,'Données projet'!$E$9+1,1))-AVERAGE(OFFSET($H$3,0,0,'Données projet'!$E$9+1,1))</f>
        <v>564.49981446852132</v>
      </c>
      <c r="T28" s="59">
        <f t="shared" si="34"/>
        <v>297.54722913785406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4.0628205133333335</v>
      </c>
      <c r="AI28" s="13">
        <f>IF('Données projet'!$A$62&gt;35,AI27+AH28-AQ27,IF(A28&lt;'Données projet'!$A$62,$AF$205^A28,IF(A28='Données projet'!$A$62,'Données projet'!$B$62,AI27+AH28-AQ27)))</f>
        <v>54.738229073808903</v>
      </c>
      <c r="AJ28" s="13">
        <f>AI28*VLOOKUP('Données projet'!$B$10,Paramètres!$A$1:$I$89,3,0)*VLOOKUP('Données projet'!$B$10,Paramètres!$A$1:$I$89,5,0)</f>
        <v>55.504564280842231</v>
      </c>
      <c r="AK28" s="13">
        <f t="shared" si="35"/>
        <v>16.02658171322895</v>
      </c>
      <c r="AL28" s="20">
        <f t="shared" si="4"/>
        <v>124.58341260634063</v>
      </c>
      <c r="AM28" s="59">
        <f t="shared" si="5"/>
        <v>357.26775760524265</v>
      </c>
      <c r="AN28" s="59">
        <f ca="1">AVERAGE(OFFSET($AM$3,0,0,'Données projet'!$E$10+1,1))-AVERAGE(OFFSET($H$3,0,0,'Données projet'!$E$10+1,1))</f>
        <v>623.16549611107564</v>
      </c>
      <c r="AO28" s="59">
        <f t="shared" si="36"/>
        <v>326.15178903425885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93.287999999999982</v>
      </c>
      <c r="BF28" s="13">
        <f t="shared" si="37"/>
        <v>25.356547829040977</v>
      </c>
      <c r="BG28" s="20">
        <f t="shared" si="7"/>
        <v>206.63925413557965</v>
      </c>
      <c r="BH28" s="59">
        <f t="shared" si="8"/>
        <v>439.3235991344817</v>
      </c>
      <c r="BI28" s="59">
        <f ca="1">AVERAGE(OFFSET($BH$3,0,0,'Données projet'!$E$11+1,1))-AVERAGE(OFFSET($H$3,0,0,'Données projet'!$E$11+1,1))</f>
        <v>326.2912419133811</v>
      </c>
      <c r="BJ28" s="59">
        <f t="shared" si="38"/>
        <v>315.07976787459938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126</v>
      </c>
      <c r="BW28" s="12">
        <f>VLOOKUP(A28,'Données projet'!$A$113:$I$133,9,0)</f>
        <v>10.199999999999999</v>
      </c>
      <c r="BX28" s="12">
        <f t="array" ref="BX28">INDEX(BW:BW,MIN(IF(ISNUMBER(BW28:BW224),ROW(BW28:BW224),"")))</f>
        <v>10.199999999999999</v>
      </c>
      <c r="BY28" s="12">
        <f>IF('Données projet'!$A$114&gt;35,BY27+BX28-CG27,IF(A28&lt;'Données projet'!$A$114,$BV$205^A28,IF(A28='Données projet'!$A$114,'Données projet'!$B$114,BY27+BX28-CG27)))</f>
        <v>126</v>
      </c>
      <c r="BZ28" s="13">
        <f>BY28*VLOOKUP('Données projet'!$B$12,Paramètres!$A$1:$I$89,3,0)*VLOOKUP('Données projet'!$B$12,Paramètres!$A$1:$I$89,5,0)</f>
        <v>80.589600000000004</v>
      </c>
      <c r="CA28" s="13">
        <f t="shared" si="39"/>
        <v>22.281282727508763</v>
      </c>
      <c r="CB28" s="20">
        <f t="shared" si="10"/>
        <v>179.16678741707778</v>
      </c>
      <c r="CC28" s="59">
        <f t="shared" si="11"/>
        <v>411.85113241597981</v>
      </c>
      <c r="CD28" s="59">
        <f ca="1">AVERAGE(OFFSET($CC$3,0,0,'Données projet'!$E$12+1,1))-AVERAGE(OFFSET($H$3,0,0,'Données projet'!$E$12+1,1))</f>
        <v>297.03992602744393</v>
      </c>
      <c r="CE28" s="59">
        <f t="shared" si="40"/>
        <v>265.2588848922893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26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165.00000000000003</v>
      </c>
      <c r="CU28" s="17">
        <f>CT28*VLOOKUP('Données projet'!$B$13,Paramètres!$A$1:$I$89,3,0)*VLOOKUP('Données projet'!$B$13,Paramètres!$A$1:$I$89,5,0)</f>
        <v>131.27400000000003</v>
      </c>
      <c r="CV28" s="13">
        <f t="shared" si="41"/>
        <v>34.290576031111669</v>
      </c>
      <c r="CW28" s="20">
        <f t="shared" si="13"/>
        <v>288.35830325418618</v>
      </c>
      <c r="CX28" s="59">
        <f t="shared" si="14"/>
        <v>521.04264825308826</v>
      </c>
      <c r="CY28" s="59">
        <f ca="1">AVERAGE(OFFSET($CX$3,0,0,'Données projet'!$E$13+1,1))-AVERAGE(OFFSET($H$3,0,0,'Données projet'!$E$13+1,1))</f>
        <v>427.42918901489531</v>
      </c>
      <c r="CZ28" s="59">
        <f t="shared" si="42"/>
        <v>410.68601510655412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4.0628205133333335</v>
      </c>
      <c r="DO28" s="12">
        <f>IF('Données projet'!$A$166&gt;35,DO27+DN28-DW27,IF(A28&lt;'Données projet'!$A$166,$DL$205^A28,IF(A28='Données projet'!$A$166,'Données projet'!$B$166,DO27+DN28-DW27)))</f>
        <v>54.738229073808903</v>
      </c>
      <c r="DP28" s="17">
        <f>DO28*VLOOKUP('Données projet'!$B$14,Paramètres!$A$1:$I$89,3,0)*VLOOKUP('Données projet'!$B$14,Paramètres!$A$1:$I$89,5,0)</f>
        <v>52.942815160187969</v>
      </c>
      <c r="DQ28" s="13">
        <f t="shared" si="43"/>
        <v>15.371206502975815</v>
      </c>
      <c r="DR28" s="20">
        <f t="shared" si="16"/>
        <v>118.98025439667691</v>
      </c>
      <c r="DS28" s="59">
        <f t="shared" si="17"/>
        <v>351.66459939557899</v>
      </c>
      <c r="DT28" s="59">
        <f ca="1">AVERAGE(OFFSET($DS$3,0,0,'Données projet'!$E$14+1,1))-AVERAGE(OFFSET($H$3,0,0,'Données projet'!$E$14+1,1))</f>
        <v>598.03945725240396</v>
      </c>
      <c r="DU28" s="59">
        <f t="shared" si="44"/>
        <v>313.9014686755695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4.0628205128205126</v>
      </c>
      <c r="EJ28" s="12">
        <f>IF('Données projet'!$A$192&gt;35,EJ27+EI28-ER27,IF(A28&lt;'Données projet'!$A$192,$EG$205^A28,IF(A28='Données projet'!$A$192,'Données projet'!$B$192,EJ27+EI28-ER27)))</f>
        <v>54.738229068051083</v>
      </c>
      <c r="EK28" s="17">
        <f>EJ28*VLOOKUP('Données projet'!$B$15,Paramètres!$A$1:$I$89,3,0)*VLOOKUP('Données projet'!$B$15,Paramètres!$A$1:$I$89,5,0)</f>
        <v>36.71840405884867</v>
      </c>
      <c r="EL28" s="13">
        <f t="shared" si="45"/>
        <v>11.124573956161623</v>
      </c>
      <c r="EM28" s="20">
        <f t="shared" si="19"/>
        <v>83.326520042809591</v>
      </c>
      <c r="EN28" s="59">
        <f t="shared" si="20"/>
        <v>316.01086504171167</v>
      </c>
      <c r="EO28" s="59">
        <f ca="1">AVERAGE(OFFSET($EN$3,0,0,'Données projet'!$E$15+1,1))-AVERAGE(OFFSET($H$3,0,0,'Données projet'!$E$15+1,1))</f>
        <v>438.27475674276604</v>
      </c>
      <c r="EP28" s="59">
        <f t="shared" si="46"/>
        <v>235.97720136798864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4.8773333333333335</v>
      </c>
      <c r="FE28" s="12">
        <f>IF('Données projet'!$A$218&gt;35,FE27+FD28-FM27,IF(A28&lt;'Données projet'!$A$218,$FB$205^A28,IF(A28='Données projet'!$A$218,'Données projet'!$B$218,FE27+FD28-FM27)))</f>
        <v>63.74112785186194</v>
      </c>
      <c r="FF28" s="17">
        <f>FE28*VLOOKUP('Données projet'!$B$16,Paramètres!$A$1:$I$89,3,0)*VLOOKUP('Données projet'!$B$16,Paramètres!$A$1:$I$89,5,0)</f>
        <v>29.830847834671388</v>
      </c>
      <c r="FG28" s="13">
        <f t="shared" si="47"/>
        <v>9.2590533440717326</v>
      </c>
      <c r="FH28" s="20">
        <f t="shared" si="22"/>
        <v>68.081577886310939</v>
      </c>
      <c r="FI28" s="59">
        <f t="shared" si="23"/>
        <v>300.765922885213</v>
      </c>
      <c r="FJ28" s="59">
        <f ca="1">AVERAGE(OFFSET($FI$3,0,0,'Données projet'!$E$16+1,1))-AVERAGE(OFFSET($H$3,0,0,'Données projet'!$E$16+1,1))</f>
        <v>329.49463758169588</v>
      </c>
      <c r="FK28" s="59">
        <f t="shared" si="48"/>
        <v>207.1447698203379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281</v>
      </c>
      <c r="FX28" s="12">
        <f>VLOOKUP(A28,'Données projet'!$A$243:$I$263,9,0)</f>
        <v>25</v>
      </c>
      <c r="FY28" s="12">
        <f t="array" ref="FY28">INDEX(FX:FX,MIN(IF(ISNUMBER(FX28:FX224),ROW(FX28:FX224),"")))</f>
        <v>25</v>
      </c>
      <c r="FZ28" s="12">
        <f>IF('Données projet'!$A$244&gt;35,FZ27+FY28-GH27,IF(A28&lt;'Données projet'!$A$244,$FW$205^A28,IF(A28='Données projet'!$A$244,'Données projet'!$B$244,FZ27+FY28-GH27)))</f>
        <v>281</v>
      </c>
      <c r="GA28" s="17">
        <f>FZ28*VLOOKUP('Données projet'!$B$17,Paramètres!$A$1:$I$89,3,0)*VLOOKUP('Données projet'!$B$17,Paramètres!$A$1:$I$89,5,0)</f>
        <v>168.03800000000004</v>
      </c>
      <c r="GB28" s="13">
        <f t="shared" si="49"/>
        <v>42.650304418351887</v>
      </c>
      <c r="GC28" s="20">
        <f t="shared" si="25"/>
        <v>366.94879686196288</v>
      </c>
      <c r="GD28" s="59">
        <f t="shared" si="26"/>
        <v>599.63314186086495</v>
      </c>
      <c r="GE28" s="59">
        <f ca="1">AVERAGE(OFFSET($GD$3,0,0,'Données projet'!$E$17+1,1))-AVERAGE(OFFSET($H$3,0,0,'Données projet'!$E$17+1,1))</f>
        <v>577.07444926285291</v>
      </c>
      <c r="GF28" s="59">
        <f t="shared" si="50"/>
        <v>501.3762209070419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70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0.45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46.558200718231816</v>
      </c>
      <c r="GN28" s="21">
        <f>EXP(-LN(2)/2)*GN27+(1-EXP(-LN(2)/2))/(LN(2)/2)*GH28*GK28*VLOOKUP('Données projet'!$B$17,Paramètres!$A$1:$I$89,3,0)*0.475*44/12</f>
        <v>0.44433041226054287</v>
      </c>
      <c r="GO28" s="21">
        <f t="shared" si="27"/>
        <v>47.002531130492358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55.126033484549041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-5.6843418860808015E-14</v>
      </c>
      <c r="GV28" s="17">
        <f>GU28*VLOOKUP('Données projet'!$B$18,Paramètres!$A$1:$I$89,3,0)*VLOOKUP('Données projet'!$B$18,Paramètres!$A$1:$I$89,5,0)</f>
        <v>-3.0061073630349716E-14</v>
      </c>
      <c r="GW28" s="13" t="e">
        <f t="shared" si="51"/>
        <v>#NUM!</v>
      </c>
      <c r="GX28" s="20" t="e">
        <f t="shared" si="28"/>
        <v>#NUM!</v>
      </c>
      <c r="GY28" s="59" t="e">
        <f t="shared" si="29"/>
        <v>#NUM!</v>
      </c>
      <c r="GZ28" s="59">
        <f ca="1">AVERAGE(OFFSET($GY$3,0,0,'Données projet'!$E$18+1,1))-AVERAGE(OFFSET($H$3,0,0,'Données projet'!$E$18+1,1))</f>
        <v>212.75657290802619</v>
      </c>
      <c r="HA28" s="59">
        <f t="shared" si="52"/>
        <v>411.47446316045978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84.870728779051944</v>
      </c>
      <c r="HH28" s="21">
        <f>EXP(-LN(2)/25)*HH27+(1-EXP(-LN(2)/25))/(LN(2)/25)*Calculateur!HC28*Calculateur!HE28*VLOOKUP('Données projet'!$B$18,Paramètres!$A$1:$I$89,3,0)*0.475*44/12</f>
        <v>22.873509300190229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107.74423807924217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4.60745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16.893983333333335</v>
      </c>
      <c r="H29" s="66">
        <f t="shared" si="1"/>
        <v>189.09073333333333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365.16478908640045</v>
      </c>
      <c r="S29" s="59">
        <f ca="1">AVERAGE(OFFSET($R$3,0,0,'Données projet'!$E$9+1,1))-AVERAGE(OFFSET($H$3,0,0,'Données projet'!$E$9+1,1))</f>
        <v>564.49981446852132</v>
      </c>
      <c r="T29" s="59">
        <f t="shared" si="34"/>
        <v>297.54722913785406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4.0628205133333335</v>
      </c>
      <c r="AI29" s="13">
        <f>IF('Données projet'!$A$62&gt;35,AI28+AH29-AQ28,IF(A29&lt;'Données projet'!$A$62,$AF$205^A29,IF(A29='Données projet'!$A$62,'Données projet'!$B$62,AI28+AH29-AQ28)))</f>
        <v>64.242491013250699</v>
      </c>
      <c r="AJ29" s="13">
        <f>AI29*VLOOKUP('Données projet'!$B$10,Paramètres!$A$1:$I$89,3,0)*VLOOKUP('Données projet'!$B$10,Paramètres!$A$1:$I$89,5,0)</f>
        <v>65.141885887436217</v>
      </c>
      <c r="AK29" s="13">
        <f t="shared" si="35"/>
        <v>18.462012904441391</v>
      </c>
      <c r="AL29" s="20">
        <f t="shared" si="4"/>
        <v>145.61012372918682</v>
      </c>
      <c r="AM29" s="59">
        <f t="shared" si="5"/>
        <v>380.46280119170848</v>
      </c>
      <c r="AN29" s="59">
        <f ca="1">AVERAGE(OFFSET($AM$3,0,0,'Données projet'!$E$10+1,1))-AVERAGE(OFFSET($H$3,0,0,'Données projet'!$E$10+1,1))</f>
        <v>623.16549611107564</v>
      </c>
      <c r="AO29" s="59">
        <f t="shared" si="36"/>
        <v>326.15178903425885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80.14655999999998</v>
      </c>
      <c r="BF29" s="13">
        <f t="shared" si="37"/>
        <v>22.17301499240547</v>
      </c>
      <c r="BG29" s="20">
        <f t="shared" si="7"/>
        <v>178.2065931117728</v>
      </c>
      <c r="BH29" s="59">
        <f t="shared" si="8"/>
        <v>413.05927057429449</v>
      </c>
      <c r="BI29" s="59">
        <f ca="1">AVERAGE(OFFSET($BH$3,0,0,'Données projet'!$E$11+1,1))-AVERAGE(OFFSET($H$3,0,0,'Données projet'!$E$11+1,1))</f>
        <v>326.2912419133811</v>
      </c>
      <c r="BJ29" s="59">
        <f t="shared" si="38"/>
        <v>315.07976787459938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9.8000000000000007</v>
      </c>
      <c r="BY29" s="12">
        <f>IF('Données projet'!$A$114&gt;35,BY28+BX29-CG28,IF(A29&lt;'Données projet'!$A$114,$BV$205^A29,IF(A29='Données projet'!$A$114,'Données projet'!$B$114,BY28+BX29-CG28)))</f>
        <v>109.80000000000001</v>
      </c>
      <c r="BZ29" s="13">
        <f>BY29*VLOOKUP('Données projet'!$B$12,Paramètres!$A$1:$I$89,3,0)*VLOOKUP('Données projet'!$B$12,Paramètres!$A$1:$I$89,5,0)</f>
        <v>70.228080000000006</v>
      </c>
      <c r="CA29" s="13">
        <f t="shared" si="39"/>
        <v>19.73008714610275</v>
      </c>
      <c r="CB29" s="20">
        <f t="shared" si="10"/>
        <v>156.67714111279562</v>
      </c>
      <c r="CC29" s="59">
        <f t="shared" si="11"/>
        <v>391.52981857531728</v>
      </c>
      <c r="CD29" s="59">
        <f ca="1">AVERAGE(OFFSET($CC$3,0,0,'Données projet'!$E$12+1,1))-AVERAGE(OFFSET($H$3,0,0,'Données projet'!$E$12+1,1))</f>
        <v>297.03992602744393</v>
      </c>
      <c r="CE29" s="59">
        <f t="shared" si="40"/>
        <v>265.2588848922893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139.40000000000003</v>
      </c>
      <c r="CU29" s="17">
        <f>CT29*VLOOKUP('Données projet'!$B$13,Paramètres!$A$1:$I$89,3,0)*VLOOKUP('Données projet'!$B$13,Paramètres!$A$1:$I$89,5,0)</f>
        <v>110.90664000000004</v>
      </c>
      <c r="CV29" s="13">
        <f t="shared" si="41"/>
        <v>29.544493872672952</v>
      </c>
      <c r="CW29" s="20">
        <f t="shared" si="13"/>
        <v>244.6190581615721</v>
      </c>
      <c r="CX29" s="59">
        <f t="shared" si="14"/>
        <v>479.47173562409375</v>
      </c>
      <c r="CY29" s="59">
        <f ca="1">AVERAGE(OFFSET($CX$3,0,0,'Données projet'!$E$13+1,1))-AVERAGE(OFFSET($H$3,0,0,'Données projet'!$E$13+1,1))</f>
        <v>427.42918901489531</v>
      </c>
      <c r="CZ29" s="59">
        <f t="shared" si="42"/>
        <v>410.68601510655412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4.0628205133333335</v>
      </c>
      <c r="DO29" s="12">
        <f>IF('Données projet'!$A$166&gt;35,DO28+DN29-DW28,IF(A29&lt;'Données projet'!$A$166,$DL$205^A29,IF(A29='Données projet'!$A$166,'Données projet'!$B$166,DO28+DN29-DW28)))</f>
        <v>64.242491013250699</v>
      </c>
      <c r="DP29" s="17">
        <f>DO29*VLOOKUP('Données projet'!$B$14,Paramètres!$A$1:$I$89,3,0)*VLOOKUP('Données projet'!$B$14,Paramètres!$A$1:$I$89,5,0)</f>
        <v>62.135337308016076</v>
      </c>
      <c r="DQ29" s="13">
        <f t="shared" si="43"/>
        <v>17.707045575447157</v>
      </c>
      <c r="DR29" s="20">
        <f t="shared" si="16"/>
        <v>139.05881685536514</v>
      </c>
      <c r="DS29" s="59">
        <f t="shared" si="17"/>
        <v>373.91149431788676</v>
      </c>
      <c r="DT29" s="59">
        <f ca="1">AVERAGE(OFFSET($DS$3,0,0,'Données projet'!$E$14+1,1))-AVERAGE(OFFSET($H$3,0,0,'Données projet'!$E$14+1,1))</f>
        <v>598.03945725240396</v>
      </c>
      <c r="DU29" s="59">
        <f t="shared" si="44"/>
        <v>313.9014686755695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4.0628205128205126</v>
      </c>
      <c r="EJ29" s="12">
        <f>IF('Données projet'!$A$192&gt;35,EJ28+EI29-ER28,IF(A29&lt;'Données projet'!$A$192,$EG$205^A29,IF(A29='Données projet'!$A$192,'Données projet'!$B$192,EJ28+EI29-ER28)))</f>
        <v>64.242491006222849</v>
      </c>
      <c r="EK29" s="17">
        <f>EJ29*VLOOKUP('Données projet'!$B$15,Paramètres!$A$1:$I$89,3,0)*VLOOKUP('Données projet'!$B$15,Paramètres!$A$1:$I$89,5,0)</f>
        <v>43.093862966974292</v>
      </c>
      <c r="EL29" s="13">
        <f t="shared" si="45"/>
        <v>12.815086311560426</v>
      </c>
      <c r="EM29" s="20">
        <f t="shared" si="19"/>
        <v>97.374753326781288</v>
      </c>
      <c r="EN29" s="59">
        <f t="shared" si="20"/>
        <v>332.22743078930296</v>
      </c>
      <c r="EO29" s="59">
        <f ca="1">AVERAGE(OFFSET($EN$3,0,0,'Données projet'!$E$15+1,1))-AVERAGE(OFFSET($H$3,0,0,'Données projet'!$E$15+1,1))</f>
        <v>438.27475674276604</v>
      </c>
      <c r="EP29" s="59">
        <f t="shared" si="46"/>
        <v>235.97720136798864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4.8773333333333335</v>
      </c>
      <c r="FE29" s="12">
        <f>IF('Données projet'!$A$218&gt;35,FE28+FD29-FM28,IF(A29&lt;'Données projet'!$A$218,$FB$205^A29,IF(A29='Données projet'!$A$218,'Données projet'!$B$218,FE28+FD29-FM28)))</f>
        <v>75.265600935153429</v>
      </c>
      <c r="FF29" s="17">
        <f>FE29*VLOOKUP('Données projet'!$B$16,Paramètres!$A$1:$I$89,3,0)*VLOOKUP('Données projet'!$B$16,Paramètres!$A$1:$I$89,5,0)</f>
        <v>35.224301237651801</v>
      </c>
      <c r="FG29" s="13">
        <f t="shared" si="47"/>
        <v>10.723634361125281</v>
      </c>
      <c r="FH29" s="20">
        <f t="shared" si="22"/>
        <v>80.025987834536735</v>
      </c>
      <c r="FI29" s="59">
        <f t="shared" si="23"/>
        <v>314.87866529705838</v>
      </c>
      <c r="FJ29" s="59">
        <f ca="1">AVERAGE(OFFSET($FI$3,0,0,'Données projet'!$E$16+1,1))-AVERAGE(OFFSET($H$3,0,0,'Données projet'!$E$16+1,1))</f>
        <v>329.49463758169588</v>
      </c>
      <c r="FK29" s="59">
        <f t="shared" si="48"/>
        <v>207.1447698203379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26.6</v>
      </c>
      <c r="FZ29" s="12">
        <f>IF('Données projet'!$A$244&gt;35,FZ28+FY29-GH28,IF(A29&lt;'Données projet'!$A$244,$FW$205^A29,IF(A29='Données projet'!$A$244,'Données projet'!$B$244,FZ28+FY29-GH28)))</f>
        <v>237.60000000000002</v>
      </c>
      <c r="GA29" s="17">
        <f>FZ29*VLOOKUP('Données projet'!$B$17,Paramètres!$A$1:$I$89,3,0)*VLOOKUP('Données projet'!$B$17,Paramètres!$A$1:$I$89,5,0)</f>
        <v>142.08480000000003</v>
      </c>
      <c r="GB29" s="13">
        <f t="shared" si="49"/>
        <v>36.774192249654888</v>
      </c>
      <c r="GC29" s="20">
        <f t="shared" si="25"/>
        <v>311.51274483481569</v>
      </c>
      <c r="GD29" s="59">
        <f t="shared" si="26"/>
        <v>546.36542229733732</v>
      </c>
      <c r="GE29" s="59">
        <f ca="1">AVERAGE(OFFSET($GD$3,0,0,'Données projet'!$E$17+1,1))-AVERAGE(OFFSET($H$3,0,0,'Données projet'!$E$17+1,1))</f>
        <v>577.07444926285291</v>
      </c>
      <c r="GF29" s="59">
        <f t="shared" si="50"/>
        <v>501.3762209070419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45.285064271202401</v>
      </c>
      <c r="GN29" s="21">
        <f>EXP(-LN(2)/2)*GN28+(1-EXP(-LN(2)/2))/(LN(2)/2)*GH29*GK29*VLOOKUP('Données projet'!$B$17,Paramètres!$A$1:$I$89,3,0)*0.475*44/12</f>
        <v>0.31418904759684418</v>
      </c>
      <c r="GO29" s="21">
        <f t="shared" si="27"/>
        <v>45.599253318799242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55.384063550384681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-5.6843418860808015E-14</v>
      </c>
      <c r="GV29" s="17">
        <f>GU29*VLOOKUP('Données projet'!$B$18,Paramètres!$A$1:$I$89,3,0)*VLOOKUP('Données projet'!$B$18,Paramètres!$A$1:$I$89,5,0)</f>
        <v>-3.0061073630349716E-14</v>
      </c>
      <c r="GW29" s="13" t="e">
        <f t="shared" si="51"/>
        <v>#NUM!</v>
      </c>
      <c r="GX29" s="20" t="e">
        <f t="shared" si="28"/>
        <v>#NUM!</v>
      </c>
      <c r="GY29" s="59" t="e">
        <f t="shared" si="29"/>
        <v>#NUM!</v>
      </c>
      <c r="GZ29" s="59">
        <f ca="1">AVERAGE(OFFSET($GY$3,0,0,'Données projet'!$E$18+1,1))-AVERAGE(OFFSET($H$3,0,0,'Données projet'!$E$18+1,1))</f>
        <v>212.75657290802619</v>
      </c>
      <c r="HA29" s="59">
        <f t="shared" si="52"/>
        <v>411.47446316045978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83.206465553727824</v>
      </c>
      <c r="HH29" s="21">
        <f>EXP(-LN(2)/25)*HH28+(1-EXP(-LN(2)/25))/(LN(2)/25)*Calculateur!HC29*Calculateur!HE29*VLOOKUP('Données projet'!$B$18,Paramètres!$A$1:$I$89,3,0)*0.475*44/12</f>
        <v>22.248031985510952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105.45449753923877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4.60745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16.893983333333335</v>
      </c>
      <c r="H30" s="66">
        <f t="shared" si="1"/>
        <v>189.09073333333333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389.31292133517115</v>
      </c>
      <c r="S30" s="59">
        <f ca="1">AVERAGE(OFFSET($R$3,0,0,'Données projet'!$E$9+1,1))-AVERAGE(OFFSET($H$3,0,0,'Données projet'!$E$9+1,1))</f>
        <v>564.49981446852132</v>
      </c>
      <c r="T30" s="59">
        <f t="shared" si="34"/>
        <v>297.54722913785406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4.0628205133333335</v>
      </c>
      <c r="AI30" s="13">
        <f>IF('Données projet'!$A$62&gt;35,AI29+AH30-AQ29,IF(A30&lt;'Données projet'!$A$62,$AF$205^A30,IF(A30='Données projet'!$A$62,'Données projet'!$B$62,AI29+AH30-AQ29)))</f>
        <v>75.396988931129442</v>
      </c>
      <c r="AJ30" s="13">
        <f>AI30*VLOOKUP('Données projet'!$B$10,Paramètres!$A$1:$I$89,3,0)*VLOOKUP('Données projet'!$B$10,Paramètres!$A$1:$I$89,5,0)</f>
        <v>76.452546776165264</v>
      </c>
      <c r="AK30" s="13">
        <f t="shared" si="35"/>
        <v>21.267537057039007</v>
      </c>
      <c r="AL30" s="20">
        <f t="shared" si="4"/>
        <v>170.19581267616408</v>
      </c>
      <c r="AM30" s="59">
        <f t="shared" si="5"/>
        <v>407.20040970480267</v>
      </c>
      <c r="AN30" s="59">
        <f ca="1">AVERAGE(OFFSET($AM$3,0,0,'Données projet'!$E$10+1,1))-AVERAGE(OFFSET($H$3,0,0,'Données projet'!$E$10+1,1))</f>
        <v>623.16549611107564</v>
      </c>
      <c r="AO30" s="59">
        <f t="shared" si="36"/>
        <v>326.15178903425885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89.718719999999976</v>
      </c>
      <c r="BF30" s="13">
        <f t="shared" si="37"/>
        <v>24.49737467739692</v>
      </c>
      <c r="BG30" s="20">
        <f t="shared" si="7"/>
        <v>198.92636489646625</v>
      </c>
      <c r="BH30" s="59">
        <f t="shared" si="8"/>
        <v>435.93096192510484</v>
      </c>
      <c r="BI30" s="59">
        <f ca="1">AVERAGE(OFFSET($BH$3,0,0,'Données projet'!$E$11+1,1))-AVERAGE(OFFSET($H$3,0,0,'Données projet'!$E$11+1,1))</f>
        <v>326.2912419133811</v>
      </c>
      <c r="BJ30" s="59">
        <f t="shared" si="38"/>
        <v>315.07976787459938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9.8000000000000007</v>
      </c>
      <c r="BY30" s="12">
        <f>IF('Données projet'!$A$114&gt;35,BY29+BX30-CG29,IF(A30&lt;'Données projet'!$A$114,$BV$205^A30,IF(A30='Données projet'!$A$114,'Données projet'!$B$114,BY29+BX30-CG29)))</f>
        <v>119.60000000000001</v>
      </c>
      <c r="BZ30" s="13">
        <f>BY30*VLOOKUP('Données projet'!$B$12,Paramètres!$A$1:$I$89,3,0)*VLOOKUP('Données projet'!$B$12,Paramètres!$A$1:$I$89,5,0)</f>
        <v>76.496160000000003</v>
      </c>
      <c r="CA30" s="13">
        <f t="shared" si="39"/>
        <v>21.278256808653087</v>
      </c>
      <c r="CB30" s="20">
        <f t="shared" si="10"/>
        <v>170.29044260840411</v>
      </c>
      <c r="CC30" s="59">
        <f t="shared" si="11"/>
        <v>407.29503963704269</v>
      </c>
      <c r="CD30" s="59">
        <f ca="1">AVERAGE(OFFSET($CC$3,0,0,'Données projet'!$E$12+1,1))-AVERAGE(OFFSET($H$3,0,0,'Données projet'!$E$12+1,1))</f>
        <v>297.03992602744393</v>
      </c>
      <c r="CE30" s="59">
        <f t="shared" si="40"/>
        <v>265.2588848922893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155.80000000000004</v>
      </c>
      <c r="CU30" s="17">
        <f>CT30*VLOOKUP('Données projet'!$B$13,Paramètres!$A$1:$I$89,3,0)*VLOOKUP('Données projet'!$B$13,Paramètres!$A$1:$I$89,5,0)</f>
        <v>123.95448000000005</v>
      </c>
      <c r="CV30" s="13">
        <f t="shared" si="41"/>
        <v>32.595569202682604</v>
      </c>
      <c r="CW30" s="20">
        <f t="shared" si="13"/>
        <v>272.65800236133896</v>
      </c>
      <c r="CX30" s="59">
        <f t="shared" si="14"/>
        <v>509.66259938997757</v>
      </c>
      <c r="CY30" s="59">
        <f ca="1">AVERAGE(OFFSET($CX$3,0,0,'Données projet'!$E$13+1,1))-AVERAGE(OFFSET($H$3,0,0,'Données projet'!$E$13+1,1))</f>
        <v>427.42918901489531</v>
      </c>
      <c r="CZ30" s="59">
        <f t="shared" si="42"/>
        <v>410.68601510655412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4.0628205133333335</v>
      </c>
      <c r="DO30" s="12">
        <f>IF('Données projet'!$A$166&gt;35,DO29+DN30-DW29,IF(A30&lt;'Données projet'!$A$166,$DL$205^A30,IF(A30='Données projet'!$A$166,'Données projet'!$B$166,DO29+DN30-DW29)))</f>
        <v>75.396988931129442</v>
      </c>
      <c r="DP30" s="17">
        <f>DO30*VLOOKUP('Données projet'!$B$14,Paramètres!$A$1:$I$89,3,0)*VLOOKUP('Données projet'!$B$14,Paramètres!$A$1:$I$89,5,0)</f>
        <v>72.923967694188406</v>
      </c>
      <c r="DQ30" s="13">
        <f t="shared" si="43"/>
        <v>20.397843393117032</v>
      </c>
      <c r="DR30" s="20">
        <f t="shared" si="16"/>
        <v>162.53548764372363</v>
      </c>
      <c r="DS30" s="59">
        <f t="shared" si="17"/>
        <v>399.54008467236224</v>
      </c>
      <c r="DT30" s="59">
        <f ca="1">AVERAGE(OFFSET($DS$3,0,0,'Données projet'!$E$14+1,1))-AVERAGE(OFFSET($H$3,0,0,'Données projet'!$E$14+1,1))</f>
        <v>598.03945725240396</v>
      </c>
      <c r="DU30" s="59">
        <f t="shared" si="44"/>
        <v>313.9014686755695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4.0628205128205126</v>
      </c>
      <c r="EJ30" s="12">
        <f>IF('Données projet'!$A$192&gt;35,EJ29+EI30-ER29,IF(A30&lt;'Données projet'!$A$192,$EG$205^A30,IF(A30='Données projet'!$A$192,'Données projet'!$B$192,EJ29+EI30-ER29)))</f>
        <v>75.396988922564091</v>
      </c>
      <c r="EK30" s="17">
        <f>EJ30*VLOOKUP('Données projet'!$B$15,Paramètres!$A$1:$I$89,3,0)*VLOOKUP('Données projet'!$B$15,Paramètres!$A$1:$I$89,5,0)</f>
        <v>50.576300169255994</v>
      </c>
      <c r="EL30" s="13">
        <f t="shared" si="45"/>
        <v>14.762492282392751</v>
      </c>
      <c r="EM30" s="20">
        <f t="shared" si="19"/>
        <v>113.79839685328822</v>
      </c>
      <c r="EN30" s="59">
        <f t="shared" si="20"/>
        <v>350.8029938819268</v>
      </c>
      <c r="EO30" s="59">
        <f ca="1">AVERAGE(OFFSET($EN$3,0,0,'Données projet'!$E$15+1,1))-AVERAGE(OFFSET($H$3,0,0,'Données projet'!$E$15+1,1))</f>
        <v>438.27475674276604</v>
      </c>
      <c r="EP30" s="59">
        <f t="shared" si="46"/>
        <v>235.97720136798864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4.8773333333333335</v>
      </c>
      <c r="FE30" s="12">
        <f>IF('Données projet'!$A$218&gt;35,FE29+FD30-FM29,IF(A30&lt;'Données projet'!$A$218,$FB$205^A30,IF(A30='Données projet'!$A$218,'Données projet'!$B$218,FE29+FD30-FM29)))</f>
        <v>88.873712703913057</v>
      </c>
      <c r="FF30" s="17">
        <f>FE30*VLOOKUP('Données projet'!$B$16,Paramètres!$A$1:$I$89,3,0)*VLOOKUP('Données projet'!$B$16,Paramètres!$A$1:$I$89,5,0)</f>
        <v>41.592897545431306</v>
      </c>
      <c r="FG30" s="13">
        <f t="shared" si="47"/>
        <v>12.419880266132731</v>
      </c>
      <c r="FH30" s="20">
        <f t="shared" si="22"/>
        <v>94.072254688474018</v>
      </c>
      <c r="FI30" s="59">
        <f t="shared" si="23"/>
        <v>331.07685171711262</v>
      </c>
      <c r="FJ30" s="59">
        <f ca="1">AVERAGE(OFFSET($FI$3,0,0,'Données projet'!$E$16+1,1))-AVERAGE(OFFSET($H$3,0,0,'Données projet'!$E$16+1,1))</f>
        <v>329.49463758169588</v>
      </c>
      <c r="FK30" s="59">
        <f t="shared" si="48"/>
        <v>207.1447698203379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26.6</v>
      </c>
      <c r="FZ30" s="12">
        <f>IF('Données projet'!$A$244&gt;35,FZ29+FY30-GH29,IF(A30&lt;'Données projet'!$A$244,$FW$205^A30,IF(A30='Données projet'!$A$244,'Données projet'!$B$244,FZ29+FY30-GH29)))</f>
        <v>264.20000000000005</v>
      </c>
      <c r="GA30" s="17">
        <f>FZ30*VLOOKUP('Données projet'!$B$17,Paramètres!$A$1:$I$89,3,0)*VLOOKUP('Données projet'!$B$17,Paramètres!$A$1:$I$89,5,0)</f>
        <v>157.99160000000003</v>
      </c>
      <c r="GB30" s="13">
        <f t="shared" si="49"/>
        <v>40.389182682530297</v>
      </c>
      <c r="GC30" s="20">
        <f t="shared" si="25"/>
        <v>345.513196505407</v>
      </c>
      <c r="GD30" s="59">
        <f t="shared" si="26"/>
        <v>582.51779353404561</v>
      </c>
      <c r="GE30" s="59">
        <f ca="1">AVERAGE(OFFSET($GD$3,0,0,'Données projet'!$E$17+1,1))-AVERAGE(OFFSET($H$3,0,0,'Données projet'!$E$17+1,1))</f>
        <v>577.07444926285291</v>
      </c>
      <c r="GF30" s="59">
        <f t="shared" si="50"/>
        <v>501.3762209070419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44.04674180726834</v>
      </c>
      <c r="GN30" s="21">
        <f>EXP(-LN(2)/2)*GN29+(1-EXP(-LN(2)/2))/(LN(2)/2)*GH30*GK30*VLOOKUP('Données projet'!$B$17,Paramètres!$A$1:$I$89,3,0)*0.475*44/12</f>
        <v>0.22216520613027149</v>
      </c>
      <c r="GO30" s="21">
        <f t="shared" si="27"/>
        <v>44.268907013398611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55.637617371446879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-5.6843418860808015E-14</v>
      </c>
      <c r="GV30" s="17">
        <f>GU30*VLOOKUP('Données projet'!$B$18,Paramètres!$A$1:$I$89,3,0)*VLOOKUP('Données projet'!$B$18,Paramètres!$A$1:$I$89,5,0)</f>
        <v>-3.0061073630349716E-14</v>
      </c>
      <c r="GW30" s="13" t="e">
        <f t="shared" si="51"/>
        <v>#NUM!</v>
      </c>
      <c r="GX30" s="20" t="e">
        <f t="shared" si="28"/>
        <v>#NUM!</v>
      </c>
      <c r="GY30" s="59" t="e">
        <f t="shared" si="29"/>
        <v>#NUM!</v>
      </c>
      <c r="GZ30" s="59">
        <f ca="1">AVERAGE(OFFSET($GY$3,0,0,'Données projet'!$E$18+1,1))-AVERAGE(OFFSET($H$3,0,0,'Données projet'!$E$18+1,1))</f>
        <v>212.75657290802619</v>
      </c>
      <c r="HA30" s="59">
        <f t="shared" si="52"/>
        <v>411.47446316045978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81.57483751515197</v>
      </c>
      <c r="HH30" s="21">
        <f>EXP(-LN(2)/25)*HH29+(1-EXP(-LN(2)/25))/(LN(2)/25)*Calculateur!HC30*Calculateur!HE30*VLOOKUP('Données projet'!$B$18,Paramètres!$A$1:$I$89,3,0)*0.475*44/12</f>
        <v>21.639658380894002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103.21449589604597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4.60745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16.893983333333335</v>
      </c>
      <c r="H31" s="66">
        <f t="shared" si="1"/>
        <v>189.09073333333333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417.16841265217454</v>
      </c>
      <c r="S31" s="59">
        <f ca="1">AVERAGE(OFFSET($R$3,0,0,'Données projet'!$E$9+1,1))-AVERAGE(OFFSET($H$3,0,0,'Données projet'!$E$9+1,1))</f>
        <v>564.49981446852132</v>
      </c>
      <c r="T31" s="59">
        <f t="shared" si="34"/>
        <v>297.54722913785406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4.0628205133333335</v>
      </c>
      <c r="AI31" s="13">
        <f>IF('Données projet'!$A$62&gt;35,AI30+AH31-AQ30,IF(A31&lt;'Données projet'!$A$62,$AF$205^A31,IF(A31='Données projet'!$A$62,'Données projet'!$B$62,AI30+AH31-AQ30)))</f>
        <v>88.488255206485093</v>
      </c>
      <c r="AJ31" s="13">
        <f>AI31*VLOOKUP('Données projet'!$B$10,Paramètres!$A$1:$I$89,3,0)*VLOOKUP('Données projet'!$B$10,Paramètres!$A$1:$I$89,5,0)</f>
        <v>89.727090779375885</v>
      </c>
      <c r="AK31" s="13">
        <f t="shared" si="35"/>
        <v>24.499394232560416</v>
      </c>
      <c r="AL31" s="20">
        <f t="shared" si="4"/>
        <v>198.94446139578906</v>
      </c>
      <c r="AM31" s="59">
        <f t="shared" si="5"/>
        <v>438.08484982011987</v>
      </c>
      <c r="AN31" s="59">
        <f ca="1">AVERAGE(OFFSET($AM$3,0,0,'Données projet'!$E$10+1,1))-AVERAGE(OFFSET($H$3,0,0,'Données projet'!$E$10+1,1))</f>
        <v>623.16549611107564</v>
      </c>
      <c r="AO31" s="59">
        <f t="shared" si="36"/>
        <v>326.15178903425885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99.290879999999973</v>
      </c>
      <c r="BF31" s="13">
        <f t="shared" si="37"/>
        <v>26.792989580133234</v>
      </c>
      <c r="BG31" s="20">
        <f t="shared" si="7"/>
        <v>219.5960728520653</v>
      </c>
      <c r="BH31" s="59">
        <f t="shared" si="8"/>
        <v>458.73646127639608</v>
      </c>
      <c r="BI31" s="59">
        <f ca="1">AVERAGE(OFFSET($BH$3,0,0,'Données projet'!$E$11+1,1))-AVERAGE(OFFSET($H$3,0,0,'Données projet'!$E$11+1,1))</f>
        <v>326.2912419133811</v>
      </c>
      <c r="BJ31" s="59">
        <f t="shared" si="38"/>
        <v>315.07976787459938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9.8000000000000007</v>
      </c>
      <c r="BY31" s="12">
        <f>IF('Données projet'!$A$114&gt;35,BY30+BX31-CG30,IF(A31&lt;'Données projet'!$A$114,$BV$205^A31,IF(A31='Données projet'!$A$114,'Données projet'!$B$114,BY30+BX31-CG30)))</f>
        <v>129.4</v>
      </c>
      <c r="BZ31" s="13">
        <f>BY31*VLOOKUP('Données projet'!$B$12,Paramètres!$A$1:$I$89,3,0)*VLOOKUP('Données projet'!$B$12,Paramètres!$A$1:$I$89,5,0)</f>
        <v>82.764240000000001</v>
      </c>
      <c r="CA31" s="13">
        <f t="shared" si="39"/>
        <v>22.811713176658596</v>
      </c>
      <c r="CB31" s="20">
        <f t="shared" si="10"/>
        <v>183.87811844934708</v>
      </c>
      <c r="CC31" s="59">
        <f t="shared" si="11"/>
        <v>423.01850687367789</v>
      </c>
      <c r="CD31" s="59">
        <f ca="1">AVERAGE(OFFSET($CC$3,0,0,'Données projet'!$E$12+1,1))-AVERAGE(OFFSET($H$3,0,0,'Données projet'!$E$12+1,1))</f>
        <v>297.03992602744393</v>
      </c>
      <c r="CE31" s="59">
        <f t="shared" si="40"/>
        <v>265.2588848922893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172.20000000000005</v>
      </c>
      <c r="CU31" s="17">
        <f>CT31*VLOOKUP('Données projet'!$B$13,Paramètres!$A$1:$I$89,3,0)*VLOOKUP('Données projet'!$B$13,Paramètres!$A$1:$I$89,5,0)</f>
        <v>137.00232000000005</v>
      </c>
      <c r="CV31" s="13">
        <f t="shared" si="41"/>
        <v>35.609416420931346</v>
      </c>
      <c r="CW31" s="20">
        <f t="shared" si="13"/>
        <v>300.63210759978887</v>
      </c>
      <c r="CX31" s="59">
        <f t="shared" si="14"/>
        <v>539.77249602411962</v>
      </c>
      <c r="CY31" s="59">
        <f ca="1">AVERAGE(OFFSET($CX$3,0,0,'Données projet'!$E$13+1,1))-AVERAGE(OFFSET($H$3,0,0,'Données projet'!$E$13+1,1))</f>
        <v>427.42918901489531</v>
      </c>
      <c r="CZ31" s="59">
        <f t="shared" si="42"/>
        <v>410.68601510655412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4.0628205133333335</v>
      </c>
      <c r="DO31" s="12">
        <f>IF('Données projet'!$A$166&gt;35,DO30+DN31-DW30,IF(A31&lt;'Données projet'!$A$166,$DL$205^A31,IF(A31='Données projet'!$A$166,'Données projet'!$B$166,DO30+DN31-DW30)))</f>
        <v>88.488255206485093</v>
      </c>
      <c r="DP31" s="17">
        <f>DO31*VLOOKUP('Données projet'!$B$14,Paramètres!$A$1:$I$89,3,0)*VLOOKUP('Données projet'!$B$14,Paramètres!$A$1:$I$89,5,0)</f>
        <v>85.585840435712385</v>
      </c>
      <c r="DQ31" s="13">
        <f t="shared" si="43"/>
        <v>23.497540191970781</v>
      </c>
      <c r="DR31" s="20">
        <f t="shared" si="16"/>
        <v>189.98688792654818</v>
      </c>
      <c r="DS31" s="59">
        <f t="shared" si="17"/>
        <v>429.12727635087901</v>
      </c>
      <c r="DT31" s="59">
        <f ca="1">AVERAGE(OFFSET($DS$3,0,0,'Données projet'!$E$14+1,1))-AVERAGE(OFFSET($H$3,0,0,'Données projet'!$E$14+1,1))</f>
        <v>598.03945725240396</v>
      </c>
      <c r="DU31" s="59">
        <f t="shared" si="44"/>
        <v>313.9014686755695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4.0628205128205126</v>
      </c>
      <c r="EJ31" s="12">
        <f>IF('Données projet'!$A$192&gt;35,EJ30+EI31-ER30,IF(A31&lt;'Données projet'!$A$192,$EG$205^A31,IF(A31='Données projet'!$A$192,'Données projet'!$B$192,EJ30+EI31-ER30)))</f>
        <v>88.488255196060223</v>
      </c>
      <c r="EK31" s="17">
        <f>EJ31*VLOOKUP('Données projet'!$B$15,Paramètres!$A$1:$I$89,3,0)*VLOOKUP('Données projet'!$B$15,Paramètres!$A$1:$I$89,5,0)</f>
        <v>59.357921585517204</v>
      </c>
      <c r="EL31" s="13">
        <f t="shared" si="45"/>
        <v>17.005829932734116</v>
      </c>
      <c r="EM31" s="20">
        <f t="shared" si="19"/>
        <v>133.00020056095437</v>
      </c>
      <c r="EN31" s="59">
        <f t="shared" si="20"/>
        <v>372.14058898528515</v>
      </c>
      <c r="EO31" s="59">
        <f ca="1">AVERAGE(OFFSET($EN$3,0,0,'Données projet'!$E$15+1,1))-AVERAGE(OFFSET($H$3,0,0,'Données projet'!$E$15+1,1))</f>
        <v>438.27475674276604</v>
      </c>
      <c r="EP31" s="59">
        <f t="shared" si="46"/>
        <v>235.97720136798864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4.8773333333333335</v>
      </c>
      <c r="FE31" s="12">
        <f>IF('Données projet'!$A$218&gt;35,FE30+FD31-FM30,IF(A31&lt;'Données projet'!$A$218,$FB$205^A31,IF(A31='Données projet'!$A$218,'Données projet'!$B$218,FE30+FD31-FM30)))</f>
        <v>104.94218755501358</v>
      </c>
      <c r="FF31" s="17">
        <f>FE31*VLOOKUP('Données projet'!$B$16,Paramètres!$A$1:$I$89,3,0)*VLOOKUP('Données projet'!$B$16,Paramètres!$A$1:$I$89,5,0)</f>
        <v>49.112943775746352</v>
      </c>
      <c r="FG31" s="13">
        <f t="shared" si="47"/>
        <v>14.384435409721176</v>
      </c>
      <c r="FH31" s="20">
        <f t="shared" si="22"/>
        <v>110.59126874802261</v>
      </c>
      <c r="FI31" s="59">
        <f t="shared" si="23"/>
        <v>349.73165717235344</v>
      </c>
      <c r="FJ31" s="59">
        <f ca="1">AVERAGE(OFFSET($FI$3,0,0,'Données projet'!$E$16+1,1))-AVERAGE(OFFSET($H$3,0,0,'Données projet'!$E$16+1,1))</f>
        <v>329.49463758169588</v>
      </c>
      <c r="FK31" s="59">
        <f t="shared" si="48"/>
        <v>207.1447698203379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26.6</v>
      </c>
      <c r="FZ31" s="12">
        <f>IF('Données projet'!$A$244&gt;35,FZ30+FY31-GH30,IF(A31&lt;'Données projet'!$A$244,$FW$205^A31,IF(A31='Données projet'!$A$244,'Données projet'!$B$244,FZ30+FY31-GH30)))</f>
        <v>290.80000000000007</v>
      </c>
      <c r="GA31" s="17">
        <f>FZ31*VLOOKUP('Données projet'!$B$17,Paramètres!$A$1:$I$89,3,0)*VLOOKUP('Données projet'!$B$17,Paramètres!$A$1:$I$89,5,0)</f>
        <v>173.89840000000004</v>
      </c>
      <c r="GB31" s="13">
        <f t="shared" si="49"/>
        <v>43.961980047450574</v>
      </c>
      <c r="GC31" s="20">
        <f t="shared" si="25"/>
        <v>379.44016191597643</v>
      </c>
      <c r="GD31" s="59">
        <f t="shared" si="26"/>
        <v>618.58055034030724</v>
      </c>
      <c r="GE31" s="59">
        <f ca="1">AVERAGE(OFFSET($GD$3,0,0,'Données projet'!$E$17+1,1))-AVERAGE(OFFSET($H$3,0,0,'Données projet'!$E$17+1,1))</f>
        <v>577.07444926285291</v>
      </c>
      <c r="GF31" s="59">
        <f t="shared" si="50"/>
        <v>501.3762209070419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42.842281336231103</v>
      </c>
      <c r="GN31" s="21">
        <f>EXP(-LN(2)/2)*GN30+(1-EXP(-LN(2)/2))/(LN(2)/2)*GH31*GK31*VLOOKUP('Données projet'!$B$17,Paramètres!$A$1:$I$89,3,0)*0.475*44/12</f>
        <v>0.15709452379842212</v>
      </c>
      <c r="GO31" s="21">
        <f t="shared" si="27"/>
        <v>42.999375860029524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55.886772600575064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-5.6843418860808015E-14</v>
      </c>
      <c r="GV31" s="17">
        <f>GU31*VLOOKUP('Données projet'!$B$18,Paramètres!$A$1:$I$89,3,0)*VLOOKUP('Données projet'!$B$18,Paramètres!$A$1:$I$89,5,0)</f>
        <v>-3.0061073630349716E-14</v>
      </c>
      <c r="GW31" s="13" t="e">
        <f t="shared" si="51"/>
        <v>#NUM!</v>
      </c>
      <c r="GX31" s="20" t="e">
        <f t="shared" si="28"/>
        <v>#NUM!</v>
      </c>
      <c r="GY31" s="59" t="e">
        <f t="shared" si="29"/>
        <v>#NUM!</v>
      </c>
      <c r="GZ31" s="59">
        <f ca="1">AVERAGE(OFFSET($GY$3,0,0,'Données projet'!$E$18+1,1))-AVERAGE(OFFSET($H$3,0,0,'Données projet'!$E$18+1,1))</f>
        <v>212.75657290802619</v>
      </c>
      <c r="HA31" s="59">
        <f t="shared" si="52"/>
        <v>411.47446316045978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79.975204707217756</v>
      </c>
      <c r="HH31" s="21">
        <f>EXP(-LN(2)/25)*HH30+(1-EXP(-LN(2)/25))/(LN(2)/25)*Calculateur!HC31*Calculateur!HE31*VLOOKUP('Données projet'!$B$18,Paramètres!$A$1:$I$89,3,0)*0.475*44/12</f>
        <v>21.04792078448828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101.02312549170604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4.60745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16.893983333333335</v>
      </c>
      <c r="H32" s="66">
        <f t="shared" si="1"/>
        <v>189.09073333333333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449.36350728704565</v>
      </c>
      <c r="S32" s="59">
        <f ca="1">AVERAGE(OFFSET($R$3,0,0,'Données projet'!$E$9+1,1))-AVERAGE(OFFSET($H$3,0,0,'Données projet'!$E$9+1,1))</f>
        <v>564.49981446852132</v>
      </c>
      <c r="T32" s="59">
        <f t="shared" si="34"/>
        <v>297.54722913785406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4.0628205133333335</v>
      </c>
      <c r="AI32" s="13">
        <f>IF('Données projet'!$A$62&gt;35,AI31+AH32-AQ31,IF(A32&lt;'Données projet'!$A$62,$AF$205^A32,IF(A32='Données projet'!$A$62,'Données projet'!$B$62,AI31+AH32-AQ31)))</f>
        <v>103.85257316628947</v>
      </c>
      <c r="AJ32" s="13">
        <f>AI32*VLOOKUP('Données projet'!$B$10,Paramètres!$A$1:$I$89,3,0)*VLOOKUP('Données projet'!$B$10,Paramètres!$A$1:$I$89,5,0)</f>
        <v>105.30650919061753</v>
      </c>
      <c r="AK32" s="13">
        <f t="shared" si="35"/>
        <v>28.222370844006942</v>
      </c>
      <c r="AL32" s="20">
        <f t="shared" si="4"/>
        <v>232.56279939363762</v>
      </c>
      <c r="AM32" s="59">
        <f t="shared" si="5"/>
        <v>473.82313083093561</v>
      </c>
      <c r="AN32" s="59">
        <f ca="1">AVERAGE(OFFSET($AM$3,0,0,'Données projet'!$E$10+1,1))-AVERAGE(OFFSET($H$3,0,0,'Données projet'!$E$10+1,1))</f>
        <v>623.16549611107564</v>
      </c>
      <c r="AO32" s="59">
        <f t="shared" si="36"/>
        <v>326.15178903425885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108.86303999999997</v>
      </c>
      <c r="BF32" s="13">
        <f t="shared" si="37"/>
        <v>29.062946162784755</v>
      </c>
      <c r="BG32" s="20">
        <f t="shared" si="7"/>
        <v>240.22109256685007</v>
      </c>
      <c r="BH32" s="59">
        <f t="shared" si="8"/>
        <v>481.48142400414804</v>
      </c>
      <c r="BI32" s="59">
        <f ca="1">AVERAGE(OFFSET($BH$3,0,0,'Données projet'!$E$11+1,1))-AVERAGE(OFFSET($H$3,0,0,'Données projet'!$E$11+1,1))</f>
        <v>326.2912419133811</v>
      </c>
      <c r="BJ32" s="59">
        <f t="shared" si="38"/>
        <v>315.07976787459938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9.8000000000000007</v>
      </c>
      <c r="BY32" s="12">
        <f>IF('Données projet'!$A$114&gt;35,BY31+BX32-CG31,IF(A32&lt;'Données projet'!$A$114,$BV$205^A32,IF(A32='Données projet'!$A$114,'Données projet'!$B$114,BY31+BX32-CG31)))</f>
        <v>139.20000000000002</v>
      </c>
      <c r="BZ32" s="13">
        <f>BY32*VLOOKUP('Données projet'!$B$12,Paramètres!$A$1:$I$89,3,0)*VLOOKUP('Données projet'!$B$12,Paramètres!$A$1:$I$89,5,0)</f>
        <v>89.032320000000013</v>
      </c>
      <c r="CA32" s="13">
        <f t="shared" si="39"/>
        <v>24.331697249847547</v>
      </c>
      <c r="CB32" s="20">
        <f t="shared" si="10"/>
        <v>197.4423300434845</v>
      </c>
      <c r="CC32" s="59">
        <f t="shared" si="11"/>
        <v>438.70266148078247</v>
      </c>
      <c r="CD32" s="59">
        <f ca="1">AVERAGE(OFFSET($CC$3,0,0,'Données projet'!$E$12+1,1))-AVERAGE(OFFSET($H$3,0,0,'Données projet'!$E$12+1,1))</f>
        <v>297.03992602744393</v>
      </c>
      <c r="CE32" s="59">
        <f t="shared" si="40"/>
        <v>265.2588848922893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188.60000000000005</v>
      </c>
      <c r="CU32" s="17">
        <f>CT32*VLOOKUP('Données projet'!$B$13,Paramètres!$A$1:$I$89,3,0)*VLOOKUP('Données projet'!$B$13,Paramètres!$A$1:$I$89,5,0)</f>
        <v>150.05016000000003</v>
      </c>
      <c r="CV32" s="13">
        <f t="shared" si="41"/>
        <v>38.589984439024605</v>
      </c>
      <c r="CW32" s="20">
        <f t="shared" si="13"/>
        <v>328.5482515646346</v>
      </c>
      <c r="CX32" s="59">
        <f t="shared" si="14"/>
        <v>569.80858300193256</v>
      </c>
      <c r="CY32" s="59">
        <f ca="1">AVERAGE(OFFSET($CX$3,0,0,'Données projet'!$E$13+1,1))-AVERAGE(OFFSET($H$3,0,0,'Données projet'!$E$13+1,1))</f>
        <v>427.42918901489531</v>
      </c>
      <c r="CZ32" s="59">
        <f t="shared" si="42"/>
        <v>410.68601510655412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4.0628205133333335</v>
      </c>
      <c r="DO32" s="12">
        <f>IF('Données projet'!$A$166&gt;35,DO31+DN32-DW31,IF(A32&lt;'Données projet'!$A$166,$DL$205^A32,IF(A32='Données projet'!$A$166,'Données projet'!$B$166,DO31+DN32-DW31)))</f>
        <v>103.85257316628947</v>
      </c>
      <c r="DP32" s="17">
        <f>DO32*VLOOKUP('Données projet'!$B$14,Paramètres!$A$1:$I$89,3,0)*VLOOKUP('Données projet'!$B$14,Paramètres!$A$1:$I$89,5,0)</f>
        <v>100.44620876643518</v>
      </c>
      <c r="DQ32" s="13">
        <f t="shared" si="43"/>
        <v>27.068273073397172</v>
      </c>
      <c r="DR32" s="20">
        <f t="shared" si="16"/>
        <v>222.08772253770795</v>
      </c>
      <c r="DS32" s="59">
        <f t="shared" si="17"/>
        <v>463.34805397500594</v>
      </c>
      <c r="DT32" s="59">
        <f ca="1">AVERAGE(OFFSET($DS$3,0,0,'Données projet'!$E$14+1,1))-AVERAGE(OFFSET($H$3,0,0,'Données projet'!$E$14+1,1))</f>
        <v>598.03945725240396</v>
      </c>
      <c r="DU32" s="59">
        <f t="shared" si="44"/>
        <v>313.9014686755695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4.0628205128205126</v>
      </c>
      <c r="EJ32" s="12">
        <f>IF('Données projet'!$A$192&gt;35,EJ31+EI32-ER31,IF(A32&lt;'Données projet'!$A$192,$EG$205^A32,IF(A32='Données projet'!$A$192,'Données projet'!$B$192,EJ31+EI32-ER31)))</f>
        <v>103.85257315361756</v>
      </c>
      <c r="EK32" s="17">
        <f>EJ32*VLOOKUP('Données projet'!$B$15,Paramètres!$A$1:$I$89,3,0)*VLOOKUP('Données projet'!$B$15,Paramètres!$A$1:$I$89,5,0)</f>
        <v>69.66430607144666</v>
      </c>
      <c r="EL32" s="13">
        <f t="shared" si="45"/>
        <v>19.590069628419247</v>
      </c>
      <c r="EM32" s="20">
        <f t="shared" si="19"/>
        <v>155.45137101059979</v>
      </c>
      <c r="EN32" s="59">
        <f t="shared" si="20"/>
        <v>396.71170244789778</v>
      </c>
      <c r="EO32" s="59">
        <f ca="1">AVERAGE(OFFSET($EN$3,0,0,'Données projet'!$E$15+1,1))-AVERAGE(OFFSET($H$3,0,0,'Données projet'!$E$15+1,1))</f>
        <v>438.27475674276604</v>
      </c>
      <c r="EP32" s="59">
        <f t="shared" si="46"/>
        <v>235.97720136798864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4.8773333333333335</v>
      </c>
      <c r="FE32" s="12">
        <f>IF('Données projet'!$A$218&gt;35,FE31+FD32-FM31,IF(A32&lt;'Données projet'!$A$218,$FB$205^A32,IF(A32='Données projet'!$A$218,'Données projet'!$B$218,FE31+FD32-FM31)))</f>
        <v>123.91586211236064</v>
      </c>
      <c r="FF32" s="17">
        <f>FE32*VLOOKUP('Données projet'!$B$16,Paramètres!$A$1:$I$89,3,0)*VLOOKUP('Données projet'!$B$16,Paramètres!$A$1:$I$89,5,0)</f>
        <v>57.992623468584782</v>
      </c>
      <c r="FG32" s="13">
        <f t="shared" si="47"/>
        <v>16.659740482415152</v>
      </c>
      <c r="FH32" s="20">
        <f t="shared" si="22"/>
        <v>130.01953388132486</v>
      </c>
      <c r="FI32" s="59">
        <f t="shared" si="23"/>
        <v>371.27986531862285</v>
      </c>
      <c r="FJ32" s="59">
        <f ca="1">AVERAGE(OFFSET($FI$3,0,0,'Données projet'!$E$16+1,1))-AVERAGE(OFFSET($H$3,0,0,'Données projet'!$E$16+1,1))</f>
        <v>329.49463758169588</v>
      </c>
      <c r="FK32" s="59">
        <f t="shared" si="48"/>
        <v>207.1447698203379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26.6</v>
      </c>
      <c r="FZ32" s="12">
        <f>IF('Données projet'!$A$244&gt;35,FZ31+FY32-GH31,IF(A32&lt;'Données projet'!$A$244,$FW$205^A32,IF(A32='Données projet'!$A$244,'Données projet'!$B$244,FZ31+FY32-GH31)))</f>
        <v>317.40000000000009</v>
      </c>
      <c r="GA32" s="17">
        <f>FZ32*VLOOKUP('Données projet'!$B$17,Paramètres!$A$1:$I$89,3,0)*VLOOKUP('Données projet'!$B$17,Paramètres!$A$1:$I$89,5,0)</f>
        <v>189.80520000000007</v>
      </c>
      <c r="GB32" s="13">
        <f t="shared" si="49"/>
        <v>47.496882766206909</v>
      </c>
      <c r="GC32" s="20">
        <f t="shared" si="25"/>
        <v>413.30112748447715</v>
      </c>
      <c r="GD32" s="59">
        <f t="shared" si="26"/>
        <v>654.56145892177517</v>
      </c>
      <c r="GE32" s="59">
        <f ca="1">AVERAGE(OFFSET($GD$3,0,0,'Données projet'!$E$17+1,1))-AVERAGE(OFFSET($H$3,0,0,'Données projet'!$E$17+1,1))</f>
        <v>577.07444926285291</v>
      </c>
      <c r="GF32" s="59">
        <f t="shared" si="50"/>
        <v>501.3762209070419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41.670756900114206</v>
      </c>
      <c r="GN32" s="21">
        <f>EXP(-LN(2)/2)*GN31+(1-EXP(-LN(2)/2))/(LN(2)/2)*GH32*GK32*VLOOKUP('Données projet'!$B$17,Paramètres!$A$1:$I$89,3,0)*0.475*44/12</f>
        <v>0.11108260306513576</v>
      </c>
      <c r="GO32" s="21">
        <f t="shared" si="27"/>
        <v>41.781839503179341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56.131605543505522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-5.6843418860808015E-14</v>
      </c>
      <c r="GV32" s="17">
        <f>GU32*VLOOKUP('Données projet'!$B$18,Paramètres!$A$1:$I$89,3,0)*VLOOKUP('Données projet'!$B$18,Paramètres!$A$1:$I$89,5,0)</f>
        <v>-3.0061073630349716E-14</v>
      </c>
      <c r="GW32" s="13" t="e">
        <f t="shared" si="51"/>
        <v>#NUM!</v>
      </c>
      <c r="GX32" s="20" t="e">
        <f t="shared" si="28"/>
        <v>#NUM!</v>
      </c>
      <c r="GY32" s="59" t="e">
        <f t="shared" si="29"/>
        <v>#NUM!</v>
      </c>
      <c r="GZ32" s="59">
        <f ca="1">AVERAGE(OFFSET($GY$3,0,0,'Données projet'!$E$18+1,1))-AVERAGE(OFFSET($H$3,0,0,'Données projet'!$E$18+1,1))</f>
        <v>212.75657290802619</v>
      </c>
      <c r="HA32" s="59">
        <f t="shared" si="52"/>
        <v>411.47446316045978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78.406939722967451</v>
      </c>
      <c r="HH32" s="21">
        <f>EXP(-LN(2)/25)*HH31+(1-EXP(-LN(2)/25))/(LN(2)/25)*Calculateur!HC32*Calculateur!HE32*VLOOKUP('Données projet'!$B$18,Paramètres!$A$1:$I$89,3,0)*0.475*44/12</f>
        <v>20.4723642837744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98.879304006741847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4.60745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16.893983333333335</v>
      </c>
      <c r="H33" s="66">
        <f t="shared" si="1"/>
        <v>189.09073333333333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486.63796247118739</v>
      </c>
      <c r="S33" s="59">
        <f ca="1">AVERAGE(OFFSET($R$3,0,0,'Données projet'!$E$9+1,1))-AVERAGE(OFFSET($H$3,0,0,'Données projet'!$E$9+1,1))</f>
        <v>564.49981446852132</v>
      </c>
      <c r="T33" s="59">
        <f t="shared" si="34"/>
        <v>297.54722913785406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121.8846154</v>
      </c>
      <c r="AG33" s="12">
        <f>VLOOKUP(A33,'Données projet'!$A$61:$I$81,9,0)</f>
        <v>4.0628205133333335</v>
      </c>
      <c r="AH33" s="12">
        <f t="array" ref="AH33">INDEX(AG:AG,MIN(IF(ISNUMBER(AG33:AG229),ROW(AG33:AG229),"")))</f>
        <v>4.0628205133333335</v>
      </c>
      <c r="AI33" s="13">
        <f>IF('Données projet'!$A$62&gt;35,AI32+AH33-AQ32,IF(A33&lt;'Données projet'!$A$62,$AF$205^A33,IF(A33='Données projet'!$A$62,'Données projet'!$B$62,AI32+AH33-AQ32)))</f>
        <v>121.8846154</v>
      </c>
      <c r="AJ33" s="13">
        <f>AI33*VLOOKUP('Données projet'!$B$10,Paramètres!$A$1:$I$89,3,0)*VLOOKUP('Données projet'!$B$10,Paramètres!$A$1:$I$89,5,0)</f>
        <v>123.5910000156</v>
      </c>
      <c r="AK33" s="13">
        <f t="shared" si="35"/>
        <v>32.511098376386634</v>
      </c>
      <c r="AL33" s="20">
        <f t="shared" si="4"/>
        <v>271.87782136604341</v>
      </c>
      <c r="AM33" s="59">
        <f t="shared" si="5"/>
        <v>515.24252236759219</v>
      </c>
      <c r="AN33" s="59">
        <f ca="1">AVERAGE(OFFSET($AM$3,0,0,'Données projet'!$E$10+1,1))-AVERAGE(OFFSET($H$3,0,0,'Données projet'!$E$10+1,1))</f>
        <v>623.16549611107564</v>
      </c>
      <c r="AO33" s="59">
        <f t="shared" si="36"/>
        <v>326.15178903425885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118.43519999999998</v>
      </c>
      <c r="BF33" s="13">
        <f t="shared" si="37"/>
        <v>31.309757056296963</v>
      </c>
      <c r="BG33" s="20">
        <f t="shared" si="7"/>
        <v>260.80580020638388</v>
      </c>
      <c r="BH33" s="59">
        <f t="shared" si="8"/>
        <v>504.17050120793272</v>
      </c>
      <c r="BI33" s="59">
        <f ca="1">AVERAGE(OFFSET($BH$3,0,0,'Données projet'!$E$11+1,1))-AVERAGE(OFFSET($H$3,0,0,'Données projet'!$E$11+1,1))</f>
        <v>326.2912419133811</v>
      </c>
      <c r="BJ33" s="59">
        <f t="shared" si="38"/>
        <v>315.07976787459938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projet'!$A$114&gt;35,BY32+BX33-CG32,IF(A33&lt;'Données projet'!$A$114,$BV$205^A33,IF(A33='Données projet'!$A$114,'Données projet'!$B$114,BY32+BX33-CG32)))</f>
        <v>149.00000000000003</v>
      </c>
      <c r="BZ33" s="13">
        <f>BY33*VLOOKUP('Données projet'!$B$12,Paramètres!$A$1:$I$89,3,0)*VLOOKUP('Données projet'!$B$12,Paramètres!$A$1:$I$89,5,0)</f>
        <v>95.300400000000025</v>
      </c>
      <c r="CA33" s="13">
        <f t="shared" si="39"/>
        <v>25.839265391812681</v>
      </c>
      <c r="CB33" s="20">
        <f t="shared" si="10"/>
        <v>210.9849172240738</v>
      </c>
      <c r="CC33" s="59">
        <f t="shared" si="11"/>
        <v>454.34961822562263</v>
      </c>
      <c r="CD33" s="59">
        <f ca="1">AVERAGE(OFFSET($CC$3,0,0,'Données projet'!$E$12+1,1))-AVERAGE(OFFSET($H$3,0,0,'Données projet'!$E$12+1,1))</f>
        <v>297.03992602744393</v>
      </c>
      <c r="CE33" s="59">
        <f t="shared" si="40"/>
        <v>265.2588848922893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27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205.00000000000006</v>
      </c>
      <c r="CU33" s="17">
        <f>CT33*VLOOKUP('Données projet'!$B$13,Paramètres!$A$1:$I$89,3,0)*VLOOKUP('Données projet'!$B$13,Paramètres!$A$1:$I$89,5,0)</f>
        <v>163.09800000000004</v>
      </c>
      <c r="CV33" s="13">
        <f t="shared" si="41"/>
        <v>41.540496136845142</v>
      </c>
      <c r="CW33" s="20">
        <f t="shared" si="13"/>
        <v>356.41204743833867</v>
      </c>
      <c r="CX33" s="59">
        <f t="shared" si="14"/>
        <v>599.77674843988746</v>
      </c>
      <c r="CY33" s="59">
        <f ca="1">AVERAGE(OFFSET($CX$3,0,0,'Données projet'!$E$13+1,1))-AVERAGE(OFFSET($H$3,0,0,'Données projet'!$E$13+1,1))</f>
        <v>427.42918901489531</v>
      </c>
      <c r="CZ33" s="59">
        <f t="shared" si="42"/>
        <v>410.68601510655412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121.8846154</v>
      </c>
      <c r="DM33" s="12">
        <f>VLOOKUP(A33,'Données projet'!$A$165:$I$185,9,0)</f>
        <v>4.0628205133333335</v>
      </c>
      <c r="DN33" s="12">
        <f t="array" ref="DN33">INDEX(DM:DM,MIN(IF(ISNUMBER(DM33:DM229),ROW(DM33:DM229),"")))</f>
        <v>4.0628205133333335</v>
      </c>
      <c r="DO33" s="12">
        <f>IF('Données projet'!$A$166&gt;35,DO32+DN33-DW32,IF(A33&lt;'Données projet'!$A$166,$DL$205^A33,IF(A33='Données projet'!$A$166,'Données projet'!$B$166,DO32+DN33-DW32)))</f>
        <v>121.8846154</v>
      </c>
      <c r="DP33" s="17">
        <f>DO33*VLOOKUP('Données projet'!$B$14,Paramètres!$A$1:$I$89,3,0)*VLOOKUP('Données projet'!$B$14,Paramètres!$A$1:$I$89,5,0)</f>
        <v>117.88680001488001</v>
      </c>
      <c r="DQ33" s="13">
        <f t="shared" si="43"/>
        <v>31.181621616136695</v>
      </c>
      <c r="DR33" s="20">
        <f t="shared" si="16"/>
        <v>259.62750100735406</v>
      </c>
      <c r="DS33" s="59">
        <f t="shared" si="17"/>
        <v>502.99220200890284</v>
      </c>
      <c r="DT33" s="59">
        <f ca="1">AVERAGE(OFFSET($DS$3,0,0,'Données projet'!$E$14+1,1))-AVERAGE(OFFSET($H$3,0,0,'Données projet'!$E$14+1,1))</f>
        <v>598.03945725240396</v>
      </c>
      <c r="DU33" s="59">
        <f t="shared" si="44"/>
        <v>313.9014686755695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121.88461538461537</v>
      </c>
      <c r="EH33" s="12">
        <f>VLOOKUP(A33,'Données projet'!$A$191:$I$211,9,0)</f>
        <v>4.0628205128205126</v>
      </c>
      <c r="EI33" s="12">
        <f t="array" ref="EI33">INDEX(EH:EH,MIN(IF(ISNUMBER(EH33:EH229),ROW(EH33:EH229),"")))</f>
        <v>4.0628205128205126</v>
      </c>
      <c r="EJ33" s="12">
        <f>IF('Données projet'!$A$192&gt;35,EJ32+EI33-ER32,IF(A33&lt;'Données projet'!$A$192,$EG$205^A33,IF(A33='Données projet'!$A$192,'Données projet'!$B$192,EJ32+EI33-ER32)))</f>
        <v>121.88461538461537</v>
      </c>
      <c r="EK33" s="17">
        <f>EJ33*VLOOKUP('Données projet'!$B$15,Paramètres!$A$1:$I$89,3,0)*VLOOKUP('Données projet'!$B$15,Paramètres!$A$1:$I$89,5,0)</f>
        <v>81.760199999999998</v>
      </c>
      <c r="EL33" s="13">
        <f t="shared" si="45"/>
        <v>22.567015521400862</v>
      </c>
      <c r="EM33" s="20">
        <f t="shared" si="19"/>
        <v>181.70323369977314</v>
      </c>
      <c r="EN33" s="59">
        <f t="shared" si="20"/>
        <v>425.06793470132197</v>
      </c>
      <c r="EO33" s="59">
        <f ca="1">AVERAGE(OFFSET($EN$3,0,0,'Données projet'!$E$15+1,1))-AVERAGE(OFFSET($H$3,0,0,'Données projet'!$E$15+1,1))</f>
        <v>438.27475674276604</v>
      </c>
      <c r="EP33" s="59">
        <f t="shared" si="46"/>
        <v>235.97720136798864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146.32</v>
      </c>
      <c r="FC33" s="12">
        <f>VLOOKUP(A33,'Données projet'!$A$217:$I$237,9,0)</f>
        <v>4.8773333333333335</v>
      </c>
      <c r="FD33" s="12">
        <f t="array" ref="FD33">INDEX(FC:FC,MIN(IF(ISNUMBER(FC33:FC229),ROW(FC33:FC229),"")))</f>
        <v>4.8773333333333335</v>
      </c>
      <c r="FE33" s="12">
        <f>IF('Données projet'!$A$218&gt;35,FE32+FD33-FM32,IF(A33&lt;'Données projet'!$A$218,$FB$205^A33,IF(A33='Données projet'!$A$218,'Données projet'!$B$218,FE32+FD33-FM32)))</f>
        <v>146.32</v>
      </c>
      <c r="FF33" s="17">
        <f>FE33*VLOOKUP('Données projet'!$B$16,Paramètres!$A$1:$I$89,3,0)*VLOOKUP('Données projet'!$B$16,Paramètres!$A$1:$I$89,5,0)</f>
        <v>68.477760000000004</v>
      </c>
      <c r="FG33" s="13">
        <f t="shared" si="47"/>
        <v>19.294949369639667</v>
      </c>
      <c r="FH33" s="20">
        <f t="shared" si="22"/>
        <v>152.87080215212242</v>
      </c>
      <c r="FI33" s="59">
        <f t="shared" si="23"/>
        <v>396.23550315367123</v>
      </c>
      <c r="FJ33" s="59">
        <f ca="1">AVERAGE(OFFSET($FI$3,0,0,'Données projet'!$E$16+1,1))-AVERAGE(OFFSET($H$3,0,0,'Données projet'!$E$16+1,1))</f>
        <v>329.49463758169588</v>
      </c>
      <c r="FK33" s="59">
        <f t="shared" si="48"/>
        <v>207.1447698203379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344</v>
      </c>
      <c r="FX33" s="12">
        <f>VLOOKUP(A33,'Données projet'!$A$243:$I$263,9,0)</f>
        <v>26.6</v>
      </c>
      <c r="FY33" s="12">
        <f t="array" ref="FY33">INDEX(FX:FX,MIN(IF(ISNUMBER(FX33:FX229),ROW(FX33:FX229),"")))</f>
        <v>26.6</v>
      </c>
      <c r="FZ33" s="12">
        <f>IF('Données projet'!$A$244&gt;35,FZ32+FY33-GH32,IF(A33&lt;'Données projet'!$A$244,$FW$205^A33,IF(A33='Données projet'!$A$244,'Données projet'!$B$244,FZ32+FY33-GH32)))</f>
        <v>344.00000000000011</v>
      </c>
      <c r="GA33" s="17">
        <f>FZ33*VLOOKUP('Données projet'!$B$17,Paramètres!$A$1:$I$89,3,0)*VLOOKUP('Données projet'!$B$17,Paramètres!$A$1:$I$89,5,0)</f>
        <v>205.7120000000001</v>
      </c>
      <c r="GB33" s="13">
        <f t="shared" si="49"/>
        <v>50.997427696933762</v>
      </c>
      <c r="GC33" s="20">
        <f t="shared" si="25"/>
        <v>447.10225323882645</v>
      </c>
      <c r="GD33" s="59">
        <f t="shared" si="26"/>
        <v>690.46695424037523</v>
      </c>
      <c r="GE33" s="59">
        <f ca="1">AVERAGE(OFFSET($GD$3,0,0,'Données projet'!$E$17+1,1))-AVERAGE(OFFSET($H$3,0,0,'Données projet'!$E$17+1,1))</f>
        <v>577.07444926285291</v>
      </c>
      <c r="GF33" s="59">
        <f t="shared" si="50"/>
        <v>501.3762209070419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70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0.45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65.421373283636711</v>
      </c>
      <c r="GN33" s="21">
        <f>EXP(-LN(2)/2)*GN32+(1-EXP(-LN(2)/2))/(LN(2)/2)*GH33*GK33*VLOOKUP('Données projet'!$B$17,Paramètres!$A$1:$I$89,3,0)*0.475*44/12</f>
        <v>7.8547261899211074E-2</v>
      </c>
      <c r="GO33" s="21">
        <f t="shared" si="27"/>
        <v>65.499920545535929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56.372191182240591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-5.6843418860808015E-14</v>
      </c>
      <c r="GV33" s="17">
        <f>GU33*VLOOKUP('Données projet'!$B$18,Paramètres!$A$1:$I$89,3,0)*VLOOKUP('Données projet'!$B$18,Paramètres!$A$1:$I$89,5,0)</f>
        <v>-3.0061073630349716E-14</v>
      </c>
      <c r="GW33" s="13" t="e">
        <f t="shared" si="51"/>
        <v>#NUM!</v>
      </c>
      <c r="GX33" s="20" t="e">
        <f t="shared" si="28"/>
        <v>#NUM!</v>
      </c>
      <c r="GY33" s="59" t="e">
        <f t="shared" si="29"/>
        <v>#NUM!</v>
      </c>
      <c r="GZ33" s="59">
        <f ca="1">AVERAGE(OFFSET($GY$3,0,0,'Données projet'!$E$18+1,1))-AVERAGE(OFFSET($H$3,0,0,'Données projet'!$E$18+1,1))</f>
        <v>212.75657290802619</v>
      </c>
      <c r="HA33" s="59">
        <f t="shared" si="52"/>
        <v>411.47446316045978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76.869427458511112</v>
      </c>
      <c r="HH33" s="21">
        <f>EXP(-LN(2)/25)*HH32+(1-EXP(-LN(2)/25))/(LN(2)/25)*Calculateur!HC33*Calculateur!HE33*VLOOKUP('Données projet'!$B$18,Paramètres!$A$1:$I$89,3,0)*0.475*44/12</f>
        <v>19.912546405839741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96.781973864350846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4.60745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16.893983333333335</v>
      </c>
      <c r="H34" s="66">
        <f t="shared" si="1"/>
        <v>189.09073333333333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15.881076923076924</v>
      </c>
      <c r="N34" s="13">
        <f>IF('Données projet'!$A$36&gt;35,N33+M34-V33,IF(A34&lt;'Données projet'!$A$36,$K$205^A34,IF(A34='Données projet'!$A$36,'Données projet'!$B$36,N33+M34-V33)))</f>
        <v>137.76569230769229</v>
      </c>
      <c r="O34" s="13">
        <f>N34*VLOOKUP('Données projet'!$B$9,Paramètres!$A$1:$I$89,3,0)*VLOOKUP('Données projet'!$B$9,Paramètres!$A$1:$I$89,5,0)</f>
        <v>124.65039839999997</v>
      </c>
      <c r="P34" s="13">
        <f t="shared" si="33"/>
        <v>32.757216606444366</v>
      </c>
      <c r="Q34" s="20">
        <f t="shared" si="2"/>
        <v>274.15159613622387</v>
      </c>
      <c r="R34" s="59">
        <f t="shared" si="0"/>
        <v>518.38314119560312</v>
      </c>
      <c r="S34" s="59">
        <f ca="1">AVERAGE(OFFSET($R$3,0,0,'Données projet'!$E$9+1,1))-AVERAGE(OFFSET($H$3,0,0,'Données projet'!$E$9+1,1))</f>
        <v>564.49981446852132</v>
      </c>
      <c r="T34" s="59">
        <f t="shared" si="34"/>
        <v>297.54722913785406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15.881076919999998</v>
      </c>
      <c r="AI34" s="13">
        <f>IF('Données projet'!$A$62&gt;35,AI33+AH34-AQ33,IF(A34&lt;'Données projet'!$A$62,$AF$205^A34,IF(A34='Données projet'!$A$62,'Données projet'!$B$62,AI33+AH34-AQ33)))</f>
        <v>137.76569232</v>
      </c>
      <c r="AJ34" s="13">
        <f>AI34*VLOOKUP('Données projet'!$B$10,Paramètres!$A$1:$I$89,3,0)*VLOOKUP('Données projet'!$B$10,Paramètres!$A$1:$I$89,5,0)</f>
        <v>139.69441201248003</v>
      </c>
      <c r="AK34" s="13">
        <f t="shared" si="35"/>
        <v>36.226990677680369</v>
      </c>
      <c r="AL34" s="20">
        <f t="shared" si="4"/>
        <v>306.396443018696</v>
      </c>
      <c r="AM34" s="59">
        <f t="shared" si="5"/>
        <v>550.62798807807519</v>
      </c>
      <c r="AN34" s="59">
        <f ca="1">AVERAGE(OFFSET($AM$3,0,0,'Données projet'!$E$10+1,1))-AVERAGE(OFFSET($H$3,0,0,'Données projet'!$E$10+1,1))</f>
        <v>623.16549611107564</v>
      </c>
      <c r="AO34" s="59">
        <f t="shared" si="36"/>
        <v>326.15178903425885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104.48256000000001</v>
      </c>
      <c r="BF34" s="13">
        <f t="shared" si="37"/>
        <v>28.02716504477474</v>
      </c>
      <c r="BG34" s="20">
        <f t="shared" si="7"/>
        <v>230.78777111964931</v>
      </c>
      <c r="BH34" s="59">
        <f t="shared" si="8"/>
        <v>475.01931617902852</v>
      </c>
      <c r="BI34" s="59">
        <f ca="1">AVERAGE(OFFSET($BH$3,0,0,'Données projet'!$E$11+1,1))-AVERAGE(OFFSET($H$3,0,0,'Données projet'!$E$11+1,1))</f>
        <v>326.2912419133811</v>
      </c>
      <c r="BJ34" s="59">
        <f t="shared" si="38"/>
        <v>315.07976787459938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9.1999999999999993</v>
      </c>
      <c r="BY34" s="12">
        <f>IF('Données projet'!$A$114&gt;35,BY33+BX34-CG33,IF(A34&lt;'Données projet'!$A$114,$BV$205^A34,IF(A34='Données projet'!$A$114,'Données projet'!$B$114,BY33+BX34-CG33)))</f>
        <v>131.20000000000002</v>
      </c>
      <c r="BZ34" s="13">
        <f>BY34*VLOOKUP('Données projet'!$B$12,Paramètres!$A$1:$I$89,3,0)*VLOOKUP('Données projet'!$B$12,Paramètres!$A$1:$I$89,5,0)</f>
        <v>83.915520000000001</v>
      </c>
      <c r="CA34" s="13">
        <f t="shared" si="39"/>
        <v>23.091870453158084</v>
      </c>
      <c r="CB34" s="20">
        <f t="shared" si="10"/>
        <v>186.3712050392503</v>
      </c>
      <c r="CC34" s="59">
        <f t="shared" si="11"/>
        <v>430.60275009862949</v>
      </c>
      <c r="CD34" s="59">
        <f ca="1">AVERAGE(OFFSET($CC$3,0,0,'Données projet'!$E$12+1,1))-AVERAGE(OFFSET($H$3,0,0,'Données projet'!$E$12+1,1))</f>
        <v>297.03992602744393</v>
      </c>
      <c r="CE34" s="59">
        <f t="shared" si="40"/>
        <v>265.2588848922893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178.20000000000005</v>
      </c>
      <c r="CU34" s="17">
        <f>CT34*VLOOKUP('Données projet'!$B$13,Paramètres!$A$1:$I$89,3,0)*VLOOKUP('Données projet'!$B$13,Paramètres!$A$1:$I$89,5,0)</f>
        <v>141.77592000000004</v>
      </c>
      <c r="CV34" s="13">
        <f t="shared" si="41"/>
        <v>36.703544878441981</v>
      </c>
      <c r="CW34" s="20">
        <f t="shared" si="13"/>
        <v>310.85173466328649</v>
      </c>
      <c r="CX34" s="59">
        <f t="shared" si="14"/>
        <v>555.08327972266568</v>
      </c>
      <c r="CY34" s="59">
        <f ca="1">AVERAGE(OFFSET($CX$3,0,0,'Données projet'!$E$13+1,1))-AVERAGE(OFFSET($H$3,0,0,'Données projet'!$E$13+1,1))</f>
        <v>427.42918901489531</v>
      </c>
      <c r="CZ34" s="59">
        <f t="shared" si="42"/>
        <v>410.68601510655412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15.881076919999998</v>
      </c>
      <c r="DO34" s="12">
        <f>IF('Données projet'!$A$166&gt;35,DO33+DN34-DW33,IF(A34&lt;'Données projet'!$A$166,$DL$205^A34,IF(A34='Données projet'!$A$166,'Données projet'!$B$166,DO33+DN34-DW33)))</f>
        <v>137.76569232</v>
      </c>
      <c r="DP34" s="17">
        <f>DO34*VLOOKUP('Données projet'!$B$14,Paramètres!$A$1:$I$89,3,0)*VLOOKUP('Données projet'!$B$14,Paramètres!$A$1:$I$89,5,0)</f>
        <v>133.24697761190401</v>
      </c>
      <c r="DQ34" s="13">
        <f t="shared" si="43"/>
        <v>34.745559886195672</v>
      </c>
      <c r="DR34" s="20">
        <f t="shared" si="16"/>
        <v>292.58700280919032</v>
      </c>
      <c r="DS34" s="59">
        <f t="shared" si="17"/>
        <v>536.81854786856957</v>
      </c>
      <c r="DT34" s="59">
        <f ca="1">AVERAGE(OFFSET($DS$3,0,0,'Données projet'!$E$14+1,1))-AVERAGE(OFFSET($H$3,0,0,'Données projet'!$E$14+1,1))</f>
        <v>598.03945725240396</v>
      </c>
      <c r="DU34" s="59">
        <f t="shared" si="44"/>
        <v>313.9014686755695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15.881076923076924</v>
      </c>
      <c r="EJ34" s="12">
        <f>IF('Données projet'!$A$192&gt;35,EJ33+EI34-ER33,IF(A34&lt;'Données projet'!$A$192,$EG$205^A34,IF(A34='Données projet'!$A$192,'Données projet'!$B$192,EJ33+EI34-ER33)))</f>
        <v>137.76569230769229</v>
      </c>
      <c r="EK34" s="17">
        <f>EJ34*VLOOKUP('Données projet'!$B$15,Paramètres!$A$1:$I$89,3,0)*VLOOKUP('Données projet'!$B$15,Paramètres!$A$1:$I$89,5,0)</f>
        <v>92.413226399999999</v>
      </c>
      <c r="EL34" s="13">
        <f t="shared" si="45"/>
        <v>25.146337766837547</v>
      </c>
      <c r="EM34" s="20">
        <f t="shared" si="19"/>
        <v>204.74957425724202</v>
      </c>
      <c r="EN34" s="59">
        <f t="shared" si="20"/>
        <v>448.98111931662123</v>
      </c>
      <c r="EO34" s="59">
        <f ca="1">AVERAGE(OFFSET($EN$3,0,0,'Données projet'!$E$15+1,1))-AVERAGE(OFFSET($H$3,0,0,'Données projet'!$E$15+1,1))</f>
        <v>438.27475674276604</v>
      </c>
      <c r="EP34" s="59">
        <f t="shared" si="46"/>
        <v>235.97720136798864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16.511666666666667</v>
      </c>
      <c r="FE34" s="12">
        <f>IF('Données projet'!$A$218&gt;35,FE33+FD34-FM33,IF(A34&lt;'Données projet'!$A$218,$FB$205^A34,IF(A34='Données projet'!$A$218,'Données projet'!$B$218,FE33+FD34-FM33)))</f>
        <v>162.83166666666665</v>
      </c>
      <c r="FF34" s="17">
        <f>FE34*VLOOKUP('Données projet'!$B$16,Paramètres!$A$1:$I$89,3,0)*VLOOKUP('Données projet'!$B$16,Paramètres!$A$1:$I$89,5,0)</f>
        <v>76.205219999999997</v>
      </c>
      <c r="FG34" s="13">
        <f t="shared" si="47"/>
        <v>21.206732805864224</v>
      </c>
      <c r="FH34" s="20">
        <f t="shared" si="22"/>
        <v>169.65915113688018</v>
      </c>
      <c r="FI34" s="59">
        <f t="shared" si="23"/>
        <v>413.8906961962594</v>
      </c>
      <c r="FJ34" s="59">
        <f ca="1">AVERAGE(OFFSET($FI$3,0,0,'Données projet'!$E$16+1,1))-AVERAGE(OFFSET($H$3,0,0,'Données projet'!$E$16+1,1))</f>
        <v>329.49463758169588</v>
      </c>
      <c r="FK34" s="59">
        <f t="shared" si="48"/>
        <v>207.1447698203379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26.8</v>
      </c>
      <c r="FZ34" s="12">
        <f>IF('Données projet'!$A$244&gt;35,FZ33+FY34-GH33,IF(A34&lt;'Données projet'!$A$244,$FW$205^A34,IF(A34='Données projet'!$A$244,'Données projet'!$B$244,FZ33+FY34-GH33)))</f>
        <v>300.80000000000013</v>
      </c>
      <c r="GA34" s="17">
        <f>FZ34*VLOOKUP('Données projet'!$B$17,Paramètres!$A$1:$I$89,3,0)*VLOOKUP('Données projet'!$B$17,Paramètres!$A$1:$I$89,5,0)</f>
        <v>179.87840000000008</v>
      </c>
      <c r="GB34" s="13">
        <f t="shared" si="49"/>
        <v>45.295131342961916</v>
      </c>
      <c r="GC34" s="20">
        <f t="shared" si="25"/>
        <v>392.17723375565879</v>
      </c>
      <c r="GD34" s="59">
        <f t="shared" si="26"/>
        <v>636.40877881503798</v>
      </c>
      <c r="GE34" s="59">
        <f ca="1">AVERAGE(OFFSET($GD$3,0,0,'Données projet'!$E$17+1,1))-AVERAGE(OFFSET($H$3,0,0,'Données projet'!$E$17+1,1))</f>
        <v>577.07444926285291</v>
      </c>
      <c r="GF34" s="59">
        <f t="shared" si="50"/>
        <v>501.3762209070419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63.632422390835167</v>
      </c>
      <c r="GN34" s="21">
        <f>EXP(-LN(2)/2)*GN33+(1-EXP(-LN(2)/2))/(LN(2)/2)*GH34*GK34*VLOOKUP('Données projet'!$B$17,Paramètres!$A$1:$I$89,3,0)*0.475*44/12</f>
        <v>5.5541301532567887E-2</v>
      </c>
      <c r="GO34" s="21">
        <f t="shared" si="27"/>
        <v>63.687963692367738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56.608603198012517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-5.6843418860808015E-14</v>
      </c>
      <c r="GV34" s="17">
        <f>GU34*VLOOKUP('Données projet'!$B$18,Paramètres!$A$1:$I$89,3,0)*VLOOKUP('Données projet'!$B$18,Paramètres!$A$1:$I$89,5,0)</f>
        <v>-3.0061073630349716E-14</v>
      </c>
      <c r="GW34" s="13" t="e">
        <f t="shared" si="51"/>
        <v>#NUM!</v>
      </c>
      <c r="GX34" s="20" t="e">
        <f t="shared" si="28"/>
        <v>#NUM!</v>
      </c>
      <c r="GY34" s="59" t="e">
        <f t="shared" si="29"/>
        <v>#NUM!</v>
      </c>
      <c r="GZ34" s="59">
        <f ca="1">AVERAGE(OFFSET($GY$3,0,0,'Données projet'!$E$18+1,1))-AVERAGE(OFFSET($H$3,0,0,'Données projet'!$E$18+1,1))</f>
        <v>212.75657290802619</v>
      </c>
      <c r="HA34" s="59">
        <f t="shared" si="52"/>
        <v>411.47446316045978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75.362064871770883</v>
      </c>
      <c r="HH34" s="21">
        <f>EXP(-LN(2)/25)*HH33+(1-EXP(-LN(2)/25))/(LN(2)/25)*Calculateur!HC34*Calculateur!HE34*VLOOKUP('Données projet'!$B$18,Paramètres!$A$1:$I$89,3,0)*0.475*44/12</f>
        <v>19.368036777216748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94.730101648987628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4.60745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16.893983333333335</v>
      </c>
      <c r="H35" s="66">
        <f t="shared" si="1"/>
        <v>189.09073333333333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15.881076923076924</v>
      </c>
      <c r="N35" s="13">
        <f>IF('Données projet'!$A$36&gt;35,N34+M35-V34,IF(A35&lt;'Données projet'!$A$36,$K$205^A35,IF(A35='Données projet'!$A$36,'Données projet'!$B$36,N34+M35-V34)))</f>
        <v>153.64676923076922</v>
      </c>
      <c r="O35" s="13">
        <f>N35*VLOOKUP('Données projet'!$B$9,Paramètres!$A$1:$I$89,3,0)*VLOOKUP('Données projet'!$B$9,Paramètres!$A$1:$I$89,5,0)</f>
        <v>139.01959679999999</v>
      </c>
      <c r="P35" s="13">
        <f t="shared" si="33"/>
        <v>36.072317111421967</v>
      </c>
      <c r="Q35" s="20">
        <f t="shared" ref="Q35:Q66" si="53">(O35+P35)*0.475*44/12</f>
        <v>304.95175006239322</v>
      </c>
      <c r="R35" s="59">
        <f t="shared" si="0"/>
        <v>550.03510137317244</v>
      </c>
      <c r="S35" s="59">
        <f ca="1">AVERAGE(OFFSET($R$3,0,0,'Données projet'!$E$9+1,1))-AVERAGE(OFFSET($H$3,0,0,'Données projet'!$E$9+1,1))</f>
        <v>564.49981446852132</v>
      </c>
      <c r="T35" s="59">
        <f t="shared" si="34"/>
        <v>297.54722913785406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15.881076919999998</v>
      </c>
      <c r="AI35" s="13">
        <f>IF('Données projet'!$A$62&gt;35,AI34+AH35-AQ34,IF(A35&lt;'Données projet'!$A$62,$AF$205^A35,IF(A35='Données projet'!$A$62,'Données projet'!$B$62,AI34+AH35-AQ34)))</f>
        <v>153.64676924</v>
      </c>
      <c r="AJ35" s="13">
        <f>AI35*VLOOKUP('Données projet'!$B$10,Paramètres!$A$1:$I$89,3,0)*VLOOKUP('Données projet'!$B$10,Paramètres!$A$1:$I$89,5,0)</f>
        <v>155.79782400936</v>
      </c>
      <c r="AK35" s="13">
        <f t="shared" si="35"/>
        <v>39.893239751845705</v>
      </c>
      <c r="AL35" s="20">
        <f t="shared" si="4"/>
        <v>340.82860271743323</v>
      </c>
      <c r="AM35" s="59">
        <f t="shared" si="5"/>
        <v>585.91195402821245</v>
      </c>
      <c r="AN35" s="59">
        <f ca="1">AVERAGE(OFFSET($AM$3,0,0,'Données projet'!$E$10+1,1))-AVERAGE(OFFSET($H$3,0,0,'Données projet'!$E$10+1,1))</f>
        <v>623.16549611107564</v>
      </c>
      <c r="AO35" s="59">
        <f t="shared" si="36"/>
        <v>326.15178903425885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113.24352</v>
      </c>
      <c r="BF35" s="13">
        <f t="shared" si="37"/>
        <v>30.093885898919435</v>
      </c>
      <c r="BG35" s="20">
        <f t="shared" si="7"/>
        <v>249.64598194061804</v>
      </c>
      <c r="BH35" s="59">
        <f t="shared" si="8"/>
        <v>494.72933325139729</v>
      </c>
      <c r="BI35" s="59">
        <f ca="1">AVERAGE(OFFSET($BH$3,0,0,'Données projet'!$E$11+1,1))-AVERAGE(OFFSET($H$3,0,0,'Données projet'!$E$11+1,1))</f>
        <v>326.2912419133811</v>
      </c>
      <c r="BJ35" s="59">
        <f t="shared" si="38"/>
        <v>315.07976787459938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9.1999999999999993</v>
      </c>
      <c r="BY35" s="12">
        <f>IF('Données projet'!$A$114&gt;35,BY34+BX35-CG34,IF(A35&lt;'Données projet'!$A$114,$BV$205^A35,IF(A35='Données projet'!$A$114,'Données projet'!$B$114,BY34+BX35-CG34)))</f>
        <v>140.4</v>
      </c>
      <c r="BZ35" s="13">
        <f>BY35*VLOOKUP('Données projet'!$B$12,Paramètres!$A$1:$I$89,3,0)*VLOOKUP('Données projet'!$B$12,Paramètres!$A$1:$I$89,5,0)</f>
        <v>89.799840000000003</v>
      </c>
      <c r="CA35" s="13">
        <f t="shared" si="39"/>
        <v>24.516944968171948</v>
      </c>
      <c r="CB35" s="20">
        <f t="shared" si="10"/>
        <v>199.10173381956614</v>
      </c>
      <c r="CC35" s="59">
        <f t="shared" si="11"/>
        <v>444.18508513034539</v>
      </c>
      <c r="CD35" s="59">
        <f ca="1">AVERAGE(OFFSET($CC$3,0,0,'Données projet'!$E$12+1,1))-AVERAGE(OFFSET($H$3,0,0,'Données projet'!$E$12+1,1))</f>
        <v>297.03992602744393</v>
      </c>
      <c r="CE35" s="59">
        <f t="shared" si="40"/>
        <v>265.2588848922893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193.40000000000003</v>
      </c>
      <c r="CU35" s="17">
        <f>CT35*VLOOKUP('Données projet'!$B$13,Paramètres!$A$1:$I$89,3,0)*VLOOKUP('Données projet'!$B$13,Paramètres!$A$1:$I$89,5,0)</f>
        <v>153.86904000000004</v>
      </c>
      <c r="CV35" s="13">
        <f t="shared" si="41"/>
        <v>39.456531419736123</v>
      </c>
      <c r="CW35" s="20">
        <f t="shared" si="13"/>
        <v>336.70870355604046</v>
      </c>
      <c r="CX35" s="59">
        <f t="shared" si="14"/>
        <v>581.79205486681974</v>
      </c>
      <c r="CY35" s="59">
        <f ca="1">AVERAGE(OFFSET($CX$3,0,0,'Données projet'!$E$13+1,1))-AVERAGE(OFFSET($H$3,0,0,'Données projet'!$E$13+1,1))</f>
        <v>427.42918901489531</v>
      </c>
      <c r="CZ35" s="59">
        <f t="shared" si="42"/>
        <v>410.68601510655412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15.881076919999998</v>
      </c>
      <c r="DO35" s="12">
        <f>IF('Données projet'!$A$166&gt;35,DO34+DN35-DW34,IF(A35&lt;'Données projet'!$A$166,$DL$205^A35,IF(A35='Données projet'!$A$166,'Données projet'!$B$166,DO34+DN35-DW34)))</f>
        <v>153.64676924</v>
      </c>
      <c r="DP35" s="17">
        <f>DO35*VLOOKUP('Données projet'!$B$14,Paramètres!$A$1:$I$89,3,0)*VLOOKUP('Données projet'!$B$14,Paramètres!$A$1:$I$89,5,0)</f>
        <v>148.60715520892799</v>
      </c>
      <c r="DQ35" s="13">
        <f t="shared" si="43"/>
        <v>38.261884990245903</v>
      </c>
      <c r="DR35" s="20">
        <f t="shared" si="16"/>
        <v>325.46357834689451</v>
      </c>
      <c r="DS35" s="59">
        <f t="shared" si="17"/>
        <v>570.54692965767379</v>
      </c>
      <c r="DT35" s="59">
        <f ca="1">AVERAGE(OFFSET($DS$3,0,0,'Données projet'!$E$14+1,1))-AVERAGE(OFFSET($H$3,0,0,'Données projet'!$E$14+1,1))</f>
        <v>598.03945725240396</v>
      </c>
      <c r="DU35" s="59">
        <f t="shared" si="44"/>
        <v>313.9014686755695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15.881076923076924</v>
      </c>
      <c r="EJ35" s="12">
        <f>IF('Données projet'!$A$192&gt;35,EJ34+EI35-ER34,IF(A35&lt;'Données projet'!$A$192,$EG$205^A35,IF(A35='Données projet'!$A$192,'Données projet'!$B$192,EJ34+EI35-ER34)))</f>
        <v>153.64676923076922</v>
      </c>
      <c r="EK35" s="17">
        <f>EJ35*VLOOKUP('Données projet'!$B$15,Paramètres!$A$1:$I$89,3,0)*VLOOKUP('Données projet'!$B$15,Paramètres!$A$1:$I$89,5,0)</f>
        <v>103.0662528</v>
      </c>
      <c r="EL35" s="13">
        <f t="shared" si="45"/>
        <v>27.691201026458319</v>
      </c>
      <c r="EM35" s="20">
        <f t="shared" si="19"/>
        <v>227.73589874774825</v>
      </c>
      <c r="EN35" s="59">
        <f t="shared" si="20"/>
        <v>472.81925005852747</v>
      </c>
      <c r="EO35" s="59">
        <f ca="1">AVERAGE(OFFSET($EN$3,0,0,'Données projet'!$E$15+1,1))-AVERAGE(OFFSET($H$3,0,0,'Données projet'!$E$15+1,1))</f>
        <v>438.27475674276604</v>
      </c>
      <c r="EP35" s="59">
        <f t="shared" si="46"/>
        <v>235.97720136798864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16.511666666666667</v>
      </c>
      <c r="FE35" s="12">
        <f>IF('Données projet'!$A$218&gt;35,FE34+FD35-FM34,IF(A35&lt;'Données projet'!$A$218,$FB$205^A35,IF(A35='Données projet'!$A$218,'Données projet'!$B$218,FE34+FD35-FM34)))</f>
        <v>179.34333333333331</v>
      </c>
      <c r="FF35" s="17">
        <f>FE35*VLOOKUP('Données projet'!$B$16,Paramètres!$A$1:$I$89,3,0)*VLOOKUP('Données projet'!$B$16,Paramètres!$A$1:$I$89,5,0)</f>
        <v>83.932679999999991</v>
      </c>
      <c r="FG35" s="13">
        <f t="shared" si="47"/>
        <v>23.096042840744811</v>
      </c>
      <c r="FH35" s="20">
        <f t="shared" si="22"/>
        <v>186.40835894763052</v>
      </c>
      <c r="FI35" s="59">
        <f t="shared" si="23"/>
        <v>431.49171025840974</v>
      </c>
      <c r="FJ35" s="59">
        <f ca="1">AVERAGE(OFFSET($FI$3,0,0,'Données projet'!$E$16+1,1))-AVERAGE(OFFSET($H$3,0,0,'Données projet'!$E$16+1,1))</f>
        <v>329.49463758169588</v>
      </c>
      <c r="FK35" s="59">
        <f t="shared" si="48"/>
        <v>207.1447698203379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26.8</v>
      </c>
      <c r="FZ35" s="12">
        <f>IF('Données projet'!$A$244&gt;35,FZ34+FY35-GH34,IF(A35&lt;'Données projet'!$A$244,$FW$205^A35,IF(A35='Données projet'!$A$244,'Données projet'!$B$244,FZ34+FY35-GH34)))</f>
        <v>327.60000000000014</v>
      </c>
      <c r="GA35" s="17">
        <f>FZ35*VLOOKUP('Données projet'!$B$17,Paramètres!$A$1:$I$89,3,0)*VLOOKUP('Données projet'!$B$17,Paramètres!$A$1:$I$89,5,0)</f>
        <v>195.90480000000011</v>
      </c>
      <c r="GB35" s="13">
        <f t="shared" si="49"/>
        <v>48.843085918490004</v>
      </c>
      <c r="GC35" s="20">
        <f t="shared" si="25"/>
        <v>426.2692346413703</v>
      </c>
      <c r="GD35" s="59">
        <f t="shared" si="26"/>
        <v>671.35258595214952</v>
      </c>
      <c r="GE35" s="59">
        <f ca="1">AVERAGE(OFFSET($GD$3,0,0,'Données projet'!$E$17+1,1))-AVERAGE(OFFSET($H$3,0,0,'Données projet'!$E$17+1,1))</f>
        <v>577.07444926285291</v>
      </c>
      <c r="GF35" s="59">
        <f t="shared" si="50"/>
        <v>501.3762209070419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61.892390454274121</v>
      </c>
      <c r="GN35" s="21">
        <f>EXP(-LN(2)/2)*GN34+(1-EXP(-LN(2)/2))/(LN(2)/2)*GH35*GK35*VLOOKUP('Données projet'!$B$17,Paramètres!$A$1:$I$89,3,0)*0.475*44/12</f>
        <v>3.9273630949605537E-2</v>
      </c>
      <c r="GO35" s="21">
        <f t="shared" si="27"/>
        <v>61.93166408522373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56.840913993848886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-5.6843418860808015E-14</v>
      </c>
      <c r="GV35" s="17">
        <f>GU35*VLOOKUP('Données projet'!$B$18,Paramètres!$A$1:$I$89,3,0)*VLOOKUP('Données projet'!$B$18,Paramètres!$A$1:$I$89,5,0)</f>
        <v>-3.0061073630349716E-14</v>
      </c>
      <c r="GW35" s="13" t="e">
        <f t="shared" si="51"/>
        <v>#NUM!</v>
      </c>
      <c r="GX35" s="20" t="e">
        <f t="shared" si="28"/>
        <v>#NUM!</v>
      </c>
      <c r="GY35" s="59" t="e">
        <f t="shared" si="29"/>
        <v>#NUM!</v>
      </c>
      <c r="GZ35" s="59">
        <f ca="1">AVERAGE(OFFSET($GY$3,0,0,'Données projet'!$E$18+1,1))-AVERAGE(OFFSET($H$3,0,0,'Données projet'!$E$18+1,1))</f>
        <v>212.75657290802619</v>
      </c>
      <c r="HA35" s="59">
        <f t="shared" si="52"/>
        <v>411.47446316045978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73.884260745956226</v>
      </c>
      <c r="HH35" s="21">
        <f>EXP(-LN(2)/25)*HH34+(1-EXP(-LN(2)/25))/(LN(2)/25)*Calculateur!HC35*Calculateur!HE35*VLOOKUP('Données projet'!$B$18,Paramètres!$A$1:$I$89,3,0)*0.475*44/12</f>
        <v>18.838416793022969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92.722677538979198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4.60745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16.893983333333335</v>
      </c>
      <c r="H36" s="66">
        <f t="shared" si="1"/>
        <v>189.09073333333333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15.881076923076924</v>
      </c>
      <c r="N36" s="13">
        <f>IF('Données projet'!$A$36&gt;35,N35+M36-V35,IF(A36&lt;'Données projet'!$A$36,$K$205^A36,IF(A36='Données projet'!$A$36,'Données projet'!$B$36,N35+M36-V35)))</f>
        <v>169.52784615384616</v>
      </c>
      <c r="O36" s="13">
        <f>N36*VLOOKUP('Données projet'!$B$9,Paramètres!$A$1:$I$89,3,0)*VLOOKUP('Données projet'!$B$9,Paramètres!$A$1:$I$89,5,0)</f>
        <v>153.3887952</v>
      </c>
      <c r="P36" s="13">
        <f t="shared" si="33"/>
        <v>39.347697314191088</v>
      </c>
      <c r="Q36" s="20">
        <f t="shared" si="53"/>
        <v>335.68272446221619</v>
      </c>
      <c r="R36" s="59">
        <f t="shared" si="0"/>
        <v>581.60310509028716</v>
      </c>
      <c r="S36" s="59">
        <f ca="1">AVERAGE(OFFSET($R$3,0,0,'Données projet'!$E$9+1,1))-AVERAGE(OFFSET($H$3,0,0,'Données projet'!$E$9+1,1))</f>
        <v>564.49981446852132</v>
      </c>
      <c r="T36" s="59">
        <f t="shared" si="34"/>
        <v>297.54722913785406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15.881076919999998</v>
      </c>
      <c r="AI36" s="13">
        <f>IF('Données projet'!$A$62&gt;35,AI35+AH36-AQ35,IF(A36&lt;'Données projet'!$A$62,$AF$205^A36,IF(A36='Données projet'!$A$62,'Données projet'!$B$62,AI35+AH36-AQ35)))</f>
        <v>169.52784616</v>
      </c>
      <c r="AJ36" s="13">
        <f>AI36*VLOOKUP('Données projet'!$B$10,Paramètres!$A$1:$I$89,3,0)*VLOOKUP('Données projet'!$B$10,Paramètres!$A$1:$I$89,5,0)</f>
        <v>171.90123600624</v>
      </c>
      <c r="AK36" s="13">
        <f t="shared" si="35"/>
        <v>43.51556119216054</v>
      </c>
      <c r="AL36" s="20">
        <f t="shared" si="4"/>
        <v>375.18425512054756</v>
      </c>
      <c r="AM36" s="59">
        <f t="shared" si="5"/>
        <v>621.10463574861853</v>
      </c>
      <c r="AN36" s="59">
        <f ca="1">AVERAGE(OFFSET($AM$3,0,0,'Données projet'!$E$10+1,1))-AVERAGE(OFFSET($H$3,0,0,'Données projet'!$E$10+1,1))</f>
        <v>623.16549611107564</v>
      </c>
      <c r="AO36" s="59">
        <f t="shared" si="36"/>
        <v>326.15178903425885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122.00448000000003</v>
      </c>
      <c r="BF36" s="13">
        <f t="shared" si="37"/>
        <v>32.142059634860118</v>
      </c>
      <c r="BG36" s="20">
        <f t="shared" si="7"/>
        <v>268.47188986404808</v>
      </c>
      <c r="BH36" s="59">
        <f t="shared" si="8"/>
        <v>514.39227049211911</v>
      </c>
      <c r="BI36" s="59">
        <f ca="1">AVERAGE(OFFSET($BH$3,0,0,'Données projet'!$E$11+1,1))-AVERAGE(OFFSET($H$3,0,0,'Données projet'!$E$11+1,1))</f>
        <v>326.2912419133811</v>
      </c>
      <c r="BJ36" s="59">
        <f t="shared" si="38"/>
        <v>315.07976787459938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9.1999999999999993</v>
      </c>
      <c r="BY36" s="12">
        <f>IF('Données projet'!$A$114&gt;35,BY35+BX36-CG35,IF(A36&lt;'Données projet'!$A$114,$BV$205^A36,IF(A36='Données projet'!$A$114,'Données projet'!$B$114,BY35+BX36-CG35)))</f>
        <v>149.6</v>
      </c>
      <c r="BZ36" s="13">
        <f>BY36*VLOOKUP('Données projet'!$B$12,Paramètres!$A$1:$I$89,3,0)*VLOOKUP('Données projet'!$B$12,Paramètres!$A$1:$I$89,5,0)</f>
        <v>95.684159999999991</v>
      </c>
      <c r="CA36" s="13">
        <f t="shared" si="39"/>
        <v>25.931183104719384</v>
      </c>
      <c r="CB36" s="20">
        <f t="shared" si="10"/>
        <v>211.81338924071954</v>
      </c>
      <c r="CC36" s="59">
        <f t="shared" si="11"/>
        <v>457.73376986879055</v>
      </c>
      <c r="CD36" s="59">
        <f ca="1">AVERAGE(OFFSET($CC$3,0,0,'Données projet'!$E$12+1,1))-AVERAGE(OFFSET($H$3,0,0,'Données projet'!$E$12+1,1))</f>
        <v>297.03992602744393</v>
      </c>
      <c r="CE36" s="59">
        <f t="shared" si="40"/>
        <v>265.2588848922893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208.60000000000002</v>
      </c>
      <c r="CU36" s="17">
        <f>CT36*VLOOKUP('Données projet'!$B$13,Paramètres!$A$1:$I$89,3,0)*VLOOKUP('Données projet'!$B$13,Paramètres!$A$1:$I$89,5,0)</f>
        <v>165.96216000000001</v>
      </c>
      <c r="CV36" s="13">
        <f t="shared" si="41"/>
        <v>42.184420424142857</v>
      </c>
      <c r="CW36" s="20">
        <f t="shared" si="13"/>
        <v>362.52196090538217</v>
      </c>
      <c r="CX36" s="59">
        <f t="shared" si="14"/>
        <v>608.44234153345315</v>
      </c>
      <c r="CY36" s="59">
        <f ca="1">AVERAGE(OFFSET($CX$3,0,0,'Données projet'!$E$13+1,1))-AVERAGE(OFFSET($H$3,0,0,'Données projet'!$E$13+1,1))</f>
        <v>427.42918901489531</v>
      </c>
      <c r="CZ36" s="59">
        <f t="shared" si="42"/>
        <v>410.68601510655412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15.881076919999998</v>
      </c>
      <c r="DO36" s="12">
        <f>IF('Données projet'!$A$166&gt;35,DO35+DN36-DW35,IF(A36&lt;'Données projet'!$A$166,$DL$205^A36,IF(A36='Données projet'!$A$166,'Données projet'!$B$166,DO35+DN36-DW35)))</f>
        <v>169.52784616</v>
      </c>
      <c r="DP36" s="17">
        <f>DO36*VLOOKUP('Données projet'!$B$14,Paramètres!$A$1:$I$89,3,0)*VLOOKUP('Données projet'!$B$14,Paramètres!$A$1:$I$89,5,0)</f>
        <v>163.967332805952</v>
      </c>
      <c r="DQ36" s="13">
        <f t="shared" si="43"/>
        <v>41.736078793736525</v>
      </c>
      <c r="DR36" s="20">
        <f t="shared" si="16"/>
        <v>358.26677520279083</v>
      </c>
      <c r="DS36" s="59">
        <f t="shared" si="17"/>
        <v>604.1871558308618</v>
      </c>
      <c r="DT36" s="59">
        <f ca="1">AVERAGE(OFFSET($DS$3,0,0,'Données projet'!$E$14+1,1))-AVERAGE(OFFSET($H$3,0,0,'Données projet'!$E$14+1,1))</f>
        <v>598.03945725240396</v>
      </c>
      <c r="DU36" s="59">
        <f t="shared" si="44"/>
        <v>313.9014686755695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15.881076923076924</v>
      </c>
      <c r="EJ36" s="12">
        <f>IF('Données projet'!$A$192&gt;35,EJ35+EI36-ER35,IF(A36&lt;'Données projet'!$A$192,$EG$205^A36,IF(A36='Données projet'!$A$192,'Données projet'!$B$192,EJ35+EI36-ER35)))</f>
        <v>169.52784615384616</v>
      </c>
      <c r="EK36" s="17">
        <f>EJ36*VLOOKUP('Données projet'!$B$15,Paramètres!$A$1:$I$89,3,0)*VLOOKUP('Données projet'!$B$15,Paramètres!$A$1:$I$89,5,0)</f>
        <v>113.7192792</v>
      </c>
      <c r="EL36" s="13">
        <f t="shared" si="45"/>
        <v>30.205572680289347</v>
      </c>
      <c r="EM36" s="20">
        <f t="shared" si="19"/>
        <v>250.66911702483722</v>
      </c>
      <c r="EN36" s="59">
        <f t="shared" si="20"/>
        <v>496.58949765290822</v>
      </c>
      <c r="EO36" s="59">
        <f ca="1">AVERAGE(OFFSET($EN$3,0,0,'Données projet'!$E$15+1,1))-AVERAGE(OFFSET($H$3,0,0,'Données projet'!$E$15+1,1))</f>
        <v>438.27475674276604</v>
      </c>
      <c r="EP36" s="59">
        <f t="shared" si="46"/>
        <v>235.97720136798864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16.511666666666667</v>
      </c>
      <c r="FE36" s="12">
        <f>IF('Données projet'!$A$218&gt;35,FE35+FD36-FM35,IF(A36&lt;'Données projet'!$A$218,$FB$205^A36,IF(A36='Données projet'!$A$218,'Données projet'!$B$218,FE35+FD36-FM35)))</f>
        <v>195.85499999999996</v>
      </c>
      <c r="FF36" s="17">
        <f>FE36*VLOOKUP('Données projet'!$B$16,Paramètres!$A$1:$I$89,3,0)*VLOOKUP('Données projet'!$B$16,Paramètres!$A$1:$I$89,5,0)</f>
        <v>91.660139999999984</v>
      </c>
      <c r="FG36" s="13">
        <f t="shared" si="47"/>
        <v>24.96518387086504</v>
      </c>
      <c r="FH36" s="20">
        <f t="shared" si="22"/>
        <v>203.12243907508991</v>
      </c>
      <c r="FI36" s="59">
        <f t="shared" si="23"/>
        <v>449.04281970316094</v>
      </c>
      <c r="FJ36" s="59">
        <f ca="1">AVERAGE(OFFSET($FI$3,0,0,'Données projet'!$E$16+1,1))-AVERAGE(OFFSET($H$3,0,0,'Données projet'!$E$16+1,1))</f>
        <v>329.49463758169588</v>
      </c>
      <c r="FK36" s="59">
        <f t="shared" si="48"/>
        <v>207.1447698203379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26.8</v>
      </c>
      <c r="FZ36" s="12">
        <f>IF('Données projet'!$A$244&gt;35,FZ35+FY36-GH35,IF(A36&lt;'Données projet'!$A$244,$FW$205^A36,IF(A36='Données projet'!$A$244,'Données projet'!$B$244,FZ35+FY36-GH35)))</f>
        <v>354.40000000000015</v>
      </c>
      <c r="GA36" s="17">
        <f>FZ36*VLOOKUP('Données projet'!$B$17,Paramètres!$A$1:$I$89,3,0)*VLOOKUP('Données projet'!$B$17,Paramètres!$A$1:$I$89,5,0)</f>
        <v>211.93120000000013</v>
      </c>
      <c r="GB36" s="13">
        <f t="shared" si="49"/>
        <v>52.357376385254923</v>
      </c>
      <c r="GC36" s="20">
        <f t="shared" si="25"/>
        <v>460.30260387098588</v>
      </c>
      <c r="GD36" s="59">
        <f t="shared" si="26"/>
        <v>706.22298449905691</v>
      </c>
      <c r="GE36" s="59">
        <f ca="1">AVERAGE(OFFSET($GD$3,0,0,'Données projet'!$E$17+1,1))-AVERAGE(OFFSET($H$3,0,0,'Données projet'!$E$17+1,1))</f>
        <v>577.07444926285291</v>
      </c>
      <c r="GF36" s="59">
        <f t="shared" si="50"/>
        <v>501.3762209070419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60.199939782522641</v>
      </c>
      <c r="GN36" s="21">
        <f>EXP(-LN(2)/2)*GN35+(1-EXP(-LN(2)/2))/(LN(2)/2)*GH36*GK36*VLOOKUP('Données projet'!$B$17,Paramètres!$A$1:$I$89,3,0)*0.475*44/12</f>
        <v>2.7770650766283943E-2</v>
      </c>
      <c r="GO36" s="21">
        <f t="shared" si="27"/>
        <v>60.227710433288927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57.06919471674663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-5.6843418860808015E-14</v>
      </c>
      <c r="GV36" s="17">
        <f>GU36*VLOOKUP('Données projet'!$B$18,Paramètres!$A$1:$I$89,3,0)*VLOOKUP('Données projet'!$B$18,Paramètres!$A$1:$I$89,5,0)</f>
        <v>-3.0061073630349716E-14</v>
      </c>
      <c r="GW36" s="13" t="e">
        <f t="shared" si="51"/>
        <v>#NUM!</v>
      </c>
      <c r="GX36" s="20" t="e">
        <f t="shared" si="28"/>
        <v>#NUM!</v>
      </c>
      <c r="GY36" s="59" t="e">
        <f t="shared" si="29"/>
        <v>#NUM!</v>
      </c>
      <c r="GZ36" s="59">
        <f ca="1">AVERAGE(OFFSET($GY$3,0,0,'Données projet'!$E$18+1,1))-AVERAGE(OFFSET($H$3,0,0,'Données projet'!$E$18+1,1))</f>
        <v>212.75657290802619</v>
      </c>
      <c r="HA36" s="59">
        <f t="shared" si="52"/>
        <v>411.47446316045978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72.435435457677286</v>
      </c>
      <c r="HH36" s="21">
        <f>EXP(-LN(2)/25)*HH35+(1-EXP(-LN(2)/25))/(LN(2)/25)*Calculateur!HC36*Calculateur!HE36*VLOOKUP('Données projet'!$B$18,Paramètres!$A$1:$I$89,3,0)*0.475*44/12</f>
        <v>18.323279295148474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90.758714752825767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4.60745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16.893983333333335</v>
      </c>
      <c r="H37" s="66">
        <f t="shared" si="1"/>
        <v>189.09073333333333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15.881076923076924</v>
      </c>
      <c r="N37" s="13">
        <f>IF('Données projet'!$A$36&gt;35,N36+M37-V36,IF(A37&lt;'Données projet'!$A$36,$K$205^A37,IF(A37='Données projet'!$A$36,'Données projet'!$B$36,N36+M37-V36)))</f>
        <v>185.40892307692309</v>
      </c>
      <c r="O37" s="13">
        <f>N37*VLOOKUP('Données projet'!$B$9,Paramètres!$A$1:$I$89,3,0)*VLOOKUP('Données projet'!$B$9,Paramètres!$A$1:$I$89,5,0)</f>
        <v>167.75799359999999</v>
      </c>
      <c r="P37" s="13">
        <f t="shared" si="33"/>
        <v>42.587501411283561</v>
      </c>
      <c r="Q37" s="20">
        <f t="shared" si="53"/>
        <v>366.35173714465219</v>
      </c>
      <c r="R37" s="59">
        <f t="shared" si="0"/>
        <v>613.0946265026771</v>
      </c>
      <c r="S37" s="59">
        <f ca="1">AVERAGE(OFFSET($R$3,0,0,'Données projet'!$E$9+1,1))-AVERAGE(OFFSET($H$3,0,0,'Données projet'!$E$9+1,1))</f>
        <v>564.49981446852132</v>
      </c>
      <c r="T37" s="59">
        <f t="shared" si="34"/>
        <v>297.54722913785406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15.881076919999998</v>
      </c>
      <c r="AI37" s="13">
        <f>IF('Données projet'!$A$62&gt;35,AI36+AH37-AQ36,IF(A37&lt;'Données projet'!$A$62,$AF$205^A37,IF(A37='Données projet'!$A$62,'Données projet'!$B$62,AI36+AH37-AQ36)))</f>
        <v>185.40892307999999</v>
      </c>
      <c r="AJ37" s="13">
        <f>AI37*VLOOKUP('Données projet'!$B$10,Paramètres!$A$1:$I$89,3,0)*VLOOKUP('Données projet'!$B$10,Paramètres!$A$1:$I$89,5,0)</f>
        <v>188.00464800312002</v>
      </c>
      <c r="AK37" s="13">
        <f t="shared" si="35"/>
        <v>47.098538164856876</v>
      </c>
      <c r="AL37" s="20">
        <f t="shared" si="4"/>
        <v>409.47138257589313</v>
      </c>
      <c r="AM37" s="59">
        <f t="shared" si="5"/>
        <v>656.21427193391798</v>
      </c>
      <c r="AN37" s="59">
        <f ca="1">AVERAGE(OFFSET($AM$3,0,0,'Données projet'!$E$10+1,1))-AVERAGE(OFFSET($H$3,0,0,'Données projet'!$E$10+1,1))</f>
        <v>623.16549611107564</v>
      </c>
      <c r="AO37" s="59">
        <f t="shared" si="36"/>
        <v>326.15178903425885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130.76544000000001</v>
      </c>
      <c r="BF37" s="13">
        <f t="shared" si="37"/>
        <v>34.173169564532692</v>
      </c>
      <c r="BG37" s="20">
        <f t="shared" si="7"/>
        <v>287.26807832489447</v>
      </c>
      <c r="BH37" s="59">
        <f t="shared" si="8"/>
        <v>534.01096768291939</v>
      </c>
      <c r="BI37" s="59">
        <f ca="1">AVERAGE(OFFSET($BH$3,0,0,'Données projet'!$E$11+1,1))-AVERAGE(OFFSET($H$3,0,0,'Données projet'!$E$11+1,1))</f>
        <v>326.2912419133811</v>
      </c>
      <c r="BJ37" s="59">
        <f t="shared" si="38"/>
        <v>315.07976787459938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9.1999999999999993</v>
      </c>
      <c r="BY37" s="12">
        <f>IF('Données projet'!$A$114&gt;35,BY36+BX37-CG36,IF(A37&lt;'Données projet'!$A$114,$BV$205^A37,IF(A37='Données projet'!$A$114,'Données projet'!$B$114,BY36+BX37-CG36)))</f>
        <v>158.79999999999998</v>
      </c>
      <c r="BZ37" s="13">
        <f>BY37*VLOOKUP('Données projet'!$B$12,Paramètres!$A$1:$I$89,3,0)*VLOOKUP('Données projet'!$B$12,Paramètres!$A$1:$I$89,5,0)</f>
        <v>101.56847999999999</v>
      </c>
      <c r="CA37" s="13">
        <f t="shared" si="39"/>
        <v>27.335327148650801</v>
      </c>
      <c r="CB37" s="20">
        <f t="shared" si="10"/>
        <v>224.50746411723344</v>
      </c>
      <c r="CC37" s="59">
        <f t="shared" si="11"/>
        <v>471.25035347525829</v>
      </c>
      <c r="CD37" s="59">
        <f ca="1">AVERAGE(OFFSET($CC$3,0,0,'Données projet'!$E$12+1,1))-AVERAGE(OFFSET($H$3,0,0,'Données projet'!$E$12+1,1))</f>
        <v>297.03992602744393</v>
      </c>
      <c r="CE37" s="59">
        <f t="shared" si="40"/>
        <v>265.2588848922893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223.8</v>
      </c>
      <c r="CU37" s="17">
        <f>CT37*VLOOKUP('Données projet'!$B$13,Paramètres!$A$1:$I$89,3,0)*VLOOKUP('Données projet'!$B$13,Paramètres!$A$1:$I$89,5,0)</f>
        <v>178.05528000000001</v>
      </c>
      <c r="CV37" s="13">
        <f t="shared" si="41"/>
        <v>44.889248639558041</v>
      </c>
      <c r="CW37" s="20">
        <f t="shared" si="13"/>
        <v>388.29505404723028</v>
      </c>
      <c r="CX37" s="59">
        <f t="shared" si="14"/>
        <v>635.03794340525519</v>
      </c>
      <c r="CY37" s="59">
        <f ca="1">AVERAGE(OFFSET($CX$3,0,0,'Données projet'!$E$13+1,1))-AVERAGE(OFFSET($H$3,0,0,'Données projet'!$E$13+1,1))</f>
        <v>427.42918901489531</v>
      </c>
      <c r="CZ37" s="59">
        <f t="shared" si="42"/>
        <v>410.68601510655412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15.881076919999998</v>
      </c>
      <c r="DO37" s="12">
        <f>IF('Données projet'!$A$166&gt;35,DO36+DN37-DW36,IF(A37&lt;'Données projet'!$A$166,$DL$205^A37,IF(A37='Données projet'!$A$166,'Données projet'!$B$166,DO36+DN37-DW36)))</f>
        <v>185.40892307999999</v>
      </c>
      <c r="DP37" s="17">
        <f>DO37*VLOOKUP('Données projet'!$B$14,Paramètres!$A$1:$I$89,3,0)*VLOOKUP('Données projet'!$B$14,Paramètres!$A$1:$I$89,5,0)</f>
        <v>179.327510402976</v>
      </c>
      <c r="DQ37" s="13">
        <f t="shared" si="43"/>
        <v>45.17253704342437</v>
      </c>
      <c r="DR37" s="20">
        <f t="shared" si="16"/>
        <v>391.00424930248067</v>
      </c>
      <c r="DS37" s="59">
        <f t="shared" si="17"/>
        <v>637.74713866050558</v>
      </c>
      <c r="DT37" s="59">
        <f ca="1">AVERAGE(OFFSET($DS$3,0,0,'Données projet'!$E$14+1,1))-AVERAGE(OFFSET($H$3,0,0,'Données projet'!$E$14+1,1))</f>
        <v>598.03945725240396</v>
      </c>
      <c r="DU37" s="59">
        <f t="shared" si="44"/>
        <v>313.9014686755695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15.881076923076924</v>
      </c>
      <c r="EJ37" s="12">
        <f>IF('Données projet'!$A$192&gt;35,EJ36+EI37-ER36,IF(A37&lt;'Données projet'!$A$192,$EG$205^A37,IF(A37='Données projet'!$A$192,'Données projet'!$B$192,EJ36+EI37-ER36)))</f>
        <v>185.40892307692309</v>
      </c>
      <c r="EK37" s="17">
        <f>EJ37*VLOOKUP('Données projet'!$B$15,Paramètres!$A$1:$I$89,3,0)*VLOOKUP('Données projet'!$B$15,Paramètres!$A$1:$I$89,5,0)</f>
        <v>124.3723056</v>
      </c>
      <c r="EL37" s="13">
        <f t="shared" si="45"/>
        <v>32.692634053746893</v>
      </c>
      <c r="EM37" s="20">
        <f t="shared" si="19"/>
        <v>273.5547698969425</v>
      </c>
      <c r="EN37" s="59">
        <f t="shared" si="20"/>
        <v>520.29765925496736</v>
      </c>
      <c r="EO37" s="59">
        <f ca="1">AVERAGE(OFFSET($EN$3,0,0,'Données projet'!$E$15+1,1))-AVERAGE(OFFSET($H$3,0,0,'Données projet'!$E$15+1,1))</f>
        <v>438.27475674276604</v>
      </c>
      <c r="EP37" s="59">
        <f t="shared" si="46"/>
        <v>235.97720136798864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16.511666666666667</v>
      </c>
      <c r="FE37" s="12">
        <f>IF('Données projet'!$A$218&gt;35,FE36+FD37-FM36,IF(A37&lt;'Données projet'!$A$218,$FB$205^A37,IF(A37='Données projet'!$A$218,'Données projet'!$B$218,FE36+FD37-FM36)))</f>
        <v>212.36666666666662</v>
      </c>
      <c r="FF37" s="17">
        <f>FE37*VLOOKUP('Données projet'!$B$16,Paramètres!$A$1:$I$89,3,0)*VLOOKUP('Données projet'!$B$16,Paramètres!$A$1:$I$89,5,0)</f>
        <v>99.387599999999978</v>
      </c>
      <c r="FG37" s="13">
        <f t="shared" si="47"/>
        <v>26.816049574516668</v>
      </c>
      <c r="FH37" s="20">
        <f t="shared" si="22"/>
        <v>219.80468967561649</v>
      </c>
      <c r="FI37" s="59">
        <f t="shared" si="23"/>
        <v>466.54757903364134</v>
      </c>
      <c r="FJ37" s="59">
        <f ca="1">AVERAGE(OFFSET($FI$3,0,0,'Données projet'!$E$16+1,1))-AVERAGE(OFFSET($H$3,0,0,'Données projet'!$E$16+1,1))</f>
        <v>329.49463758169588</v>
      </c>
      <c r="FK37" s="59">
        <f t="shared" si="48"/>
        <v>207.1447698203379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26.8</v>
      </c>
      <c r="FZ37" s="12">
        <f>IF('Données projet'!$A$244&gt;35,FZ36+FY37-GH36,IF(A37&lt;'Données projet'!$A$244,$FW$205^A37,IF(A37='Données projet'!$A$244,'Données projet'!$B$244,FZ36+FY37-GH36)))</f>
        <v>381.20000000000016</v>
      </c>
      <c r="GA37" s="17">
        <f>FZ37*VLOOKUP('Données projet'!$B$17,Paramètres!$A$1:$I$89,3,0)*VLOOKUP('Données projet'!$B$17,Paramètres!$A$1:$I$89,5,0)</f>
        <v>227.95760000000013</v>
      </c>
      <c r="GB37" s="13">
        <f t="shared" si="49"/>
        <v>55.840837908542632</v>
      </c>
      <c r="GC37" s="20">
        <f t="shared" si="25"/>
        <v>494.28227935737863</v>
      </c>
      <c r="GD37" s="59">
        <f t="shared" si="26"/>
        <v>741.02516871540354</v>
      </c>
      <c r="GE37" s="59">
        <f ca="1">AVERAGE(OFFSET($GD$3,0,0,'Données projet'!$E$17+1,1))-AVERAGE(OFFSET($H$3,0,0,'Données projet'!$E$17+1,1))</f>
        <v>577.07444926285291</v>
      </c>
      <c r="GF37" s="59">
        <f t="shared" si="50"/>
        <v>501.3762209070419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58.553769263392319</v>
      </c>
      <c r="GN37" s="21">
        <f>EXP(-LN(2)/2)*GN36+(1-EXP(-LN(2)/2))/(LN(2)/2)*GH37*GK37*VLOOKUP('Données projet'!$B$17,Paramètres!$A$1:$I$89,3,0)*0.475*44/12</f>
        <v>1.9636815474802768E-2</v>
      </c>
      <c r="GO37" s="21">
        <f t="shared" si="27"/>
        <v>58.573406078867123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57.293515279461339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-5.6843418860808015E-14</v>
      </c>
      <c r="GV37" s="17">
        <f>GU37*VLOOKUP('Données projet'!$B$18,Paramètres!$A$1:$I$89,3,0)*VLOOKUP('Données projet'!$B$18,Paramètres!$A$1:$I$89,5,0)</f>
        <v>-3.0061073630349716E-14</v>
      </c>
      <c r="GW37" s="13" t="e">
        <f t="shared" si="51"/>
        <v>#NUM!</v>
      </c>
      <c r="GX37" s="20" t="e">
        <f t="shared" si="28"/>
        <v>#NUM!</v>
      </c>
      <c r="GY37" s="59" t="e">
        <f t="shared" si="29"/>
        <v>#NUM!</v>
      </c>
      <c r="GZ37" s="59">
        <f ca="1">AVERAGE(OFFSET($GY$3,0,0,'Données projet'!$E$18+1,1))-AVERAGE(OFFSET($H$3,0,0,'Données projet'!$E$18+1,1))</f>
        <v>212.75657290802619</v>
      </c>
      <c r="HA37" s="59">
        <f t="shared" si="52"/>
        <v>411.47446316045978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71.015020749605327</v>
      </c>
      <c r="HH37" s="21">
        <f>EXP(-LN(2)/25)*HH36+(1-EXP(-LN(2)/25))/(LN(2)/25)*Calculateur!HC37*Calculateur!HE37*VLOOKUP('Données projet'!$B$18,Paramètres!$A$1:$I$89,3,0)*0.475*44/12</f>
        <v>17.822228259243261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88.837249008848588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4.60745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16.893983333333335</v>
      </c>
      <c r="H38" s="66">
        <f t="shared" si="1"/>
        <v>189.09073333333333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15.881076923076924</v>
      </c>
      <c r="M38" s="12">
        <f t="array" ref="M38">INDEX(L:L,MIN(IF(ISNUMBER(L38:L234),ROW(L38:L234),"")))</f>
        <v>15.881076923076924</v>
      </c>
      <c r="N38" s="13">
        <f>IF('Données projet'!$A$36&gt;35,N37+M38-V37,IF(A38&lt;'Données projet'!$A$36,$K$205^A38,IF(A38='Données projet'!$A$36,'Données projet'!$B$36,N37+M38-V37)))</f>
        <v>201.29000000000002</v>
      </c>
      <c r="O38" s="13">
        <f>N38*VLOOKUP('Données projet'!$B$9,Paramètres!$A$1:$I$89,3,0)*VLOOKUP('Données projet'!$B$9,Paramètres!$A$1:$I$89,5,0)</f>
        <v>182.12719200000001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644.51582822183127</v>
      </c>
      <c r="S38" s="59">
        <f ca="1">AVERAGE(OFFSET($R$3,0,0,'Données projet'!$E$9+1,1))-AVERAGE(OFFSET($H$3,0,0,'Données projet'!$E$9+1,1))</f>
        <v>564.49981446852132</v>
      </c>
      <c r="T38" s="59">
        <f t="shared" si="34"/>
        <v>297.54722913785406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201.29</v>
      </c>
      <c r="AG38" s="12">
        <f>VLOOKUP(A38,'Données projet'!$A$61:$I$81,9,0)</f>
        <v>15.881076919999998</v>
      </c>
      <c r="AH38" s="12">
        <f t="array" ref="AH38">INDEX(AG:AG,MIN(IF(ISNUMBER(AG38:AG234),ROW(AG38:AG234),"")))</f>
        <v>15.881076919999998</v>
      </c>
      <c r="AI38" s="13">
        <f>IF('Données projet'!$A$62&gt;35,AI37+AH38-AQ37,IF(A38&lt;'Données projet'!$A$62,$AF$205^A38,IF(A38='Données projet'!$A$62,'Données projet'!$B$62,AI37+AH38-AQ37)))</f>
        <v>201.29</v>
      </c>
      <c r="AJ38" s="13">
        <f>AI38*VLOOKUP('Données projet'!$B$10,Paramètres!$A$1:$I$89,3,0)*VLOOKUP('Données projet'!$B$10,Paramètres!$A$1:$I$89,5,0)</f>
        <v>204.10806000000002</v>
      </c>
      <c r="AK38" s="13">
        <f t="shared" si="35"/>
        <v>50.645923855244554</v>
      </c>
      <c r="AL38" s="20">
        <f t="shared" si="4"/>
        <v>443.69652188121762</v>
      </c>
      <c r="AM38" s="59">
        <f t="shared" si="5"/>
        <v>691.24765128158583</v>
      </c>
      <c r="AN38" s="59">
        <f ca="1">AVERAGE(OFFSET($AM$3,0,0,'Données projet'!$E$10+1,1))-AVERAGE(OFFSET($H$3,0,0,'Données projet'!$E$10+1,1))</f>
        <v>623.16549611107564</v>
      </c>
      <c r="AO38" s="59">
        <f t="shared" si="36"/>
        <v>326.15178903425885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69.58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33.538060620025725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33.538060620025725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139.52640000000002</v>
      </c>
      <c r="BF38" s="13">
        <f t="shared" si="37"/>
        <v>36.188488997813884</v>
      </c>
      <c r="BG38" s="20">
        <f t="shared" si="7"/>
        <v>306.03676500452588</v>
      </c>
      <c r="BH38" s="59">
        <f t="shared" si="8"/>
        <v>553.58789440489409</v>
      </c>
      <c r="BI38" s="59">
        <f ca="1">AVERAGE(OFFSET($BH$3,0,0,'Données projet'!$E$11+1,1))-AVERAGE(OFFSET($H$3,0,0,'Données projet'!$E$11+1,1))</f>
        <v>326.2912419133811</v>
      </c>
      <c r="BJ38" s="59">
        <f t="shared" si="38"/>
        <v>315.07976787459938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13.307882366656598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13.307882366656598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168</v>
      </c>
      <c r="BW38" s="12">
        <f>VLOOKUP(A38,'Données projet'!$A$113:$I$133,9,0)</f>
        <v>9.1999999999999993</v>
      </c>
      <c r="BX38" s="12">
        <f t="array" ref="BX38">INDEX(BW:BW,MIN(IF(ISNUMBER(BW38:BW234),ROW(BW38:BW234),"")))</f>
        <v>9.1999999999999993</v>
      </c>
      <c r="BY38" s="12">
        <f>IF('Données projet'!$A$114&gt;35,BY37+BX38-CG37,IF(A38&lt;'Données projet'!$A$114,$BV$205^A38,IF(A38='Données projet'!$A$114,'Données projet'!$B$114,BY37+BX38-CG37)))</f>
        <v>167.99999999999997</v>
      </c>
      <c r="BZ38" s="13">
        <f>BY38*VLOOKUP('Données projet'!$B$12,Paramètres!$A$1:$I$89,3,0)*VLOOKUP('Données projet'!$B$12,Paramètres!$A$1:$I$89,5,0)</f>
        <v>107.45279999999997</v>
      </c>
      <c r="CA38" s="13">
        <f t="shared" si="39"/>
        <v>28.7300285196239</v>
      </c>
      <c r="CB38" s="20">
        <f t="shared" si="10"/>
        <v>237.18509300501151</v>
      </c>
      <c r="CC38" s="59">
        <f t="shared" si="11"/>
        <v>484.73622240537964</v>
      </c>
      <c r="CD38" s="59">
        <f ca="1">AVERAGE(OFFSET($CC$3,0,0,'Données projet'!$E$12+1,1))-AVERAGE(OFFSET($H$3,0,0,'Données projet'!$E$12+1,1))</f>
        <v>297.03992602744393</v>
      </c>
      <c r="CE38" s="59">
        <f t="shared" si="40"/>
        <v>265.2588848922893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27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8.2089533036390812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8.2089533036390812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190.14840000000001</v>
      </c>
      <c r="CV38" s="13">
        <f t="shared" si="41"/>
        <v>47.572760493232991</v>
      </c>
      <c r="CW38" s="20">
        <f t="shared" si="13"/>
        <v>414.03102119238082</v>
      </c>
      <c r="CX38" s="59">
        <f t="shared" si="14"/>
        <v>661.58215059274903</v>
      </c>
      <c r="CY38" s="59">
        <f ca="1">AVERAGE(OFFSET($CX$3,0,0,'Données projet'!$E$13+1,1))-AVERAGE(OFFSET($H$3,0,0,'Données projet'!$E$13+1,1))</f>
        <v>427.42918901489531</v>
      </c>
      <c r="CZ38" s="59">
        <f t="shared" si="42"/>
        <v>410.68601510655412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0.53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19.577942327869806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19.577942327869806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201.29</v>
      </c>
      <c r="DM38" s="12">
        <f>VLOOKUP(A38,'Données projet'!$A$165:$I$185,9,0)</f>
        <v>15.881076919999998</v>
      </c>
      <c r="DN38" s="12">
        <f t="array" ref="DN38">INDEX(DM:DM,MIN(IF(ISNUMBER(DM38:DM234),ROW(DM38:DM234),"")))</f>
        <v>15.881076919999998</v>
      </c>
      <c r="DO38" s="12">
        <f>IF('Données projet'!$A$166&gt;35,DO37+DN38-DW37,IF(A38&lt;'Données projet'!$A$166,$DL$205^A38,IF(A38='Données projet'!$A$166,'Données projet'!$B$166,DO37+DN38-DW37)))</f>
        <v>201.29</v>
      </c>
      <c r="DP38" s="17">
        <f>DO38*VLOOKUP('Données projet'!$B$14,Paramètres!$A$1:$I$89,3,0)*VLOOKUP('Données projet'!$B$14,Paramètres!$A$1:$I$89,5,0)</f>
        <v>194.68768799999998</v>
      </c>
      <c r="DQ38" s="13">
        <f t="shared" si="43"/>
        <v>48.574859445564719</v>
      </c>
      <c r="DR38" s="20">
        <f t="shared" si="16"/>
        <v>423.68227013435853</v>
      </c>
      <c r="DS38" s="59">
        <f t="shared" si="17"/>
        <v>671.23339953472669</v>
      </c>
      <c r="DT38" s="59">
        <f ca="1">AVERAGE(OFFSET($DS$3,0,0,'Données projet'!$E$14+1,1))-AVERAGE(OFFSET($H$3,0,0,'Données projet'!$E$14+1,1))</f>
        <v>598.03945725240396</v>
      </c>
      <c r="DU38" s="59">
        <f t="shared" si="44"/>
        <v>313.9014686755695</v>
      </c>
      <c r="DV38" s="15">
        <f>IF(ISNA(VLOOKUP(A38,'Données projet'!$A$165:$I$185,3,0)),0,VLOOKUP(A38,'Données projet'!$A$165:$I$185,3,0))</f>
        <v>1</v>
      </c>
      <c r="DW38" s="15">
        <f>IF(ISNA(VLOOKUP(A38,'Données projet'!$A$165:$I$185,4,0)),0,VLOOKUP(A38,'Données projet'!$A$165:$I$185,4,0))</f>
        <v>69.58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31.990150129870688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31.990150129870688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201.29</v>
      </c>
      <c r="EH38" s="12">
        <f>VLOOKUP(A38,'Données projet'!$A$191:$I$211,9,0)</f>
        <v>15.881076923076924</v>
      </c>
      <c r="EI38" s="12">
        <f t="array" ref="EI38">INDEX(EH:EH,MIN(IF(ISNUMBER(EH38:EH234),ROW(EH38:EH234),"")))</f>
        <v>15.881076923076924</v>
      </c>
      <c r="EJ38" s="12">
        <f>IF('Données projet'!$A$192&gt;35,EJ37+EI38-ER37,IF(A38&lt;'Données projet'!$A$192,$EG$205^A38,IF(A38='Données projet'!$A$192,'Données projet'!$B$192,EJ37+EI38-ER37)))</f>
        <v>201.29000000000002</v>
      </c>
      <c r="EK38" s="17">
        <f>EJ38*VLOOKUP('Données projet'!$B$15,Paramètres!$A$1:$I$89,3,0)*VLOOKUP('Données projet'!$B$15,Paramètres!$A$1:$I$89,5,0)</f>
        <v>135.02533200000002</v>
      </c>
      <c r="EL38" s="13">
        <f t="shared" si="45"/>
        <v>35.154990355373222</v>
      </c>
      <c r="EM38" s="20">
        <f t="shared" si="19"/>
        <v>296.39739476894169</v>
      </c>
      <c r="EN38" s="59">
        <f t="shared" si="20"/>
        <v>543.94852416930985</v>
      </c>
      <c r="EO38" s="59">
        <f ca="1">AVERAGE(OFFSET($EN$3,0,0,'Données projet'!$E$15+1,1))-AVERAGE(OFFSET($H$3,0,0,'Données projet'!$E$15+1,1))</f>
        <v>438.27475674276604</v>
      </c>
      <c r="EP38" s="59">
        <f t="shared" si="46"/>
        <v>235.97720136798864</v>
      </c>
      <c r="EQ38" s="15">
        <f>IF(ISNA(VLOOKUP(A38,'Données projet'!$A$191:$I$211,3,0)),0,VLOOKUP(A38,'Données projet'!$A$191:$I$211,3,0))</f>
        <v>1</v>
      </c>
      <c r="ER38" s="15">
        <f>IF(ISNA(VLOOKUP(A38,'Données projet'!$A$191:$I$211,4,0)),0,VLOOKUP(A38,'Données projet'!$A$191:$I$211,4,0))</f>
        <v>69.58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27.34641865940559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27.34641865940559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16.511666666666667</v>
      </c>
      <c r="FE38" s="12">
        <f>IF('Données projet'!$A$218&gt;35,FE37+FD38-FM37,IF(A38&lt;'Données projet'!$A$218,$FB$205^A38,IF(A38='Données projet'!$A$218,'Données projet'!$B$218,FE37+FD38-FM37)))</f>
        <v>228.87833333333327</v>
      </c>
      <c r="FF38" s="17">
        <f>FE38*VLOOKUP('Données projet'!$B$16,Paramètres!$A$1:$I$89,3,0)*VLOOKUP('Données projet'!$B$16,Paramètres!$A$1:$I$89,5,0)</f>
        <v>107.11505999999997</v>
      </c>
      <c r="FG38" s="13">
        <f t="shared" si="47"/>
        <v>28.650222425077892</v>
      </c>
      <c r="FH38" s="20">
        <f t="shared" si="22"/>
        <v>236.45786689034392</v>
      </c>
      <c r="FI38" s="59">
        <f t="shared" si="23"/>
        <v>484.00899629071205</v>
      </c>
      <c r="FJ38" s="59">
        <f ca="1">AVERAGE(OFFSET($FI$3,0,0,'Données projet'!$E$16+1,1))-AVERAGE(OFFSET($H$3,0,0,'Données projet'!$E$16+1,1))</f>
        <v>329.49463758169588</v>
      </c>
      <c r="FK38" s="59">
        <f t="shared" si="48"/>
        <v>207.1447698203379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408</v>
      </c>
      <c r="FX38" s="12">
        <f>VLOOKUP(A38,'Données projet'!$A$243:$I$263,9,0)</f>
        <v>26.8</v>
      </c>
      <c r="FY38" s="12">
        <f t="array" ref="FY38">INDEX(FX:FX,MIN(IF(ISNUMBER(FX38:FX234),ROW(FX38:FX234),"")))</f>
        <v>26.8</v>
      </c>
      <c r="FZ38" s="12">
        <f>IF('Données projet'!$A$244&gt;35,FZ37+FY38-GH37,IF(A38&lt;'Données projet'!$A$244,$FW$205^A38,IF(A38='Données projet'!$A$244,'Données projet'!$B$244,FZ37+FY38-GH37)))</f>
        <v>408.00000000000017</v>
      </c>
      <c r="GA38" s="17">
        <f>FZ38*VLOOKUP('Données projet'!$B$17,Paramètres!$A$1:$I$89,3,0)*VLOOKUP('Données projet'!$B$17,Paramètres!$A$1:$I$89,5,0)</f>
        <v>243.98400000000012</v>
      </c>
      <c r="GB38" s="13">
        <f t="shared" si="49"/>
        <v>59.295884425255011</v>
      </c>
      <c r="GC38" s="20">
        <f t="shared" si="25"/>
        <v>528.21246537398599</v>
      </c>
      <c r="GD38" s="59">
        <f t="shared" si="26"/>
        <v>775.76359477435415</v>
      </c>
      <c r="GE38" s="59">
        <f ca="1">AVERAGE(OFFSET($GD$3,0,0,'Données projet'!$E$17+1,1))-AVERAGE(OFFSET($H$3,0,0,'Données projet'!$E$17+1,1))</f>
        <v>577.07444926285291</v>
      </c>
      <c r="GF38" s="59">
        <f t="shared" si="50"/>
        <v>501.3762209070419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70</v>
      </c>
      <c r="GI38" s="16">
        <f>IF(ISNA(VLOOKUP(A38,'Données projet'!$A$243:$I$263,5,0)),0%,VLOOKUP(A38,'Données projet'!$A$243:$I$263,5,0)*VLOOKUP('Données projet'!$B$17,Paramètres!$A$1:$I$89,7,0))</f>
        <v>0.45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24.988494647114621</v>
      </c>
      <c r="GM38" s="21">
        <f>EXP(-LN(2)/25)*GM37+(1-EXP(-LN(2)/25))/(LN(2)/25)*Calculateur!GH38*Calculateur!GJ38*VLOOKUP('Données projet'!$B$17,Paramètres!$A$1:$I$89,3,0)*0.475*44/12</f>
        <v>56.952613363675958</v>
      </c>
      <c r="GN38" s="21">
        <f>EXP(-LN(2)/2)*GN37+(1-EXP(-LN(2)/2))/(LN(2)/2)*GH38*GK38*VLOOKUP('Données projet'!$B$17,Paramètres!$A$1:$I$89,3,0)*0.475*44/12</f>
        <v>1.3885325383141972E-2</v>
      </c>
      <c r="GO38" s="21">
        <f t="shared" si="27"/>
        <v>81.954993336173715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57.513944381918591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-5.6843418860808015E-14</v>
      </c>
      <c r="GV38" s="17">
        <f>GU38*VLOOKUP('Données projet'!$B$18,Paramètres!$A$1:$I$89,3,0)*VLOOKUP('Données projet'!$B$18,Paramètres!$A$1:$I$89,5,0)</f>
        <v>-3.0061073630349716E-14</v>
      </c>
      <c r="GW38" s="13" t="e">
        <f t="shared" si="51"/>
        <v>#NUM!</v>
      </c>
      <c r="GX38" s="20" t="e">
        <f t="shared" si="28"/>
        <v>#NUM!</v>
      </c>
      <c r="GY38" s="59" t="e">
        <f t="shared" si="29"/>
        <v>#NUM!</v>
      </c>
      <c r="GZ38" s="59">
        <f ca="1">AVERAGE(OFFSET($GY$3,0,0,'Données projet'!$E$18+1,1))-AVERAGE(OFFSET($H$3,0,0,'Données projet'!$E$18+1,1))</f>
        <v>212.75657290802619</v>
      </c>
      <c r="HA38" s="59">
        <f t="shared" si="52"/>
        <v>411.47446316045978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69.62245950759123</v>
      </c>
      <c r="HH38" s="21">
        <f>EXP(-LN(2)/25)*HH37+(1-EXP(-LN(2)/25))/(LN(2)/25)*Calculateur!HC38*Calculateur!HE38*VLOOKUP('Données projet'!$B$18,Paramètres!$A$1:$I$89,3,0)*0.475*44/12</f>
        <v>17.334878490264003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86.957337997855234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4.60745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16.893983333333335</v>
      </c>
      <c r="H39" s="66">
        <f t="shared" si="1"/>
        <v>189.09073333333333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144.57166666666672</v>
      </c>
      <c r="O39" s="13">
        <f>N39*VLOOKUP('Données projet'!$B$9,Paramètres!$A$1:$I$89,3,0)*VLOOKUP('Données projet'!$B$9,Paramètres!$A$1:$I$89,5,0)</f>
        <v>130.80844400000004</v>
      </c>
      <c r="P39" s="13">
        <f t="shared" si="33"/>
        <v>34.183099548128496</v>
      </c>
      <c r="Q39" s="20">
        <f t="shared" si="53"/>
        <v>287.36027167965722</v>
      </c>
      <c r="R39" s="59">
        <f t="shared" si="0"/>
        <v>535.70561996458798</v>
      </c>
      <c r="S39" s="59">
        <f ca="1">AVERAGE(OFFSET($R$3,0,0,'Données projet'!$E$9+1,1))-AVERAGE(OFFSET($H$3,0,0,'Données projet'!$E$9+1,1))</f>
        <v>564.49981446852132</v>
      </c>
      <c r="T39" s="59">
        <f t="shared" si="34"/>
        <v>297.54722913785406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12.86166666666667</v>
      </c>
      <c r="AI39" s="13">
        <f>IF('Données projet'!$A$62&gt;35,AI38+AH39-AQ38,IF(A39&lt;'Données projet'!$A$62,$AF$205^A39,IF(A39='Données projet'!$A$62,'Données projet'!$B$62,AI38+AH39-AQ38)))</f>
        <v>144.57166666666666</v>
      </c>
      <c r="AJ39" s="13">
        <f>AI39*VLOOKUP('Données projet'!$B$10,Paramètres!$A$1:$I$89,3,0)*VLOOKUP('Données projet'!$B$10,Paramètres!$A$1:$I$89,5,0)</f>
        <v>146.59566999999998</v>
      </c>
      <c r="AK39" s="13">
        <f t="shared" si="35"/>
        <v>37.803908782741182</v>
      </c>
      <c r="AL39" s="20">
        <f t="shared" si="4"/>
        <v>321.16259971327423</v>
      </c>
      <c r="AM39" s="59">
        <f t="shared" si="5"/>
        <v>569.50794799820505</v>
      </c>
      <c r="AN39" s="59">
        <f ca="1">AVERAGE(OFFSET($AM$3,0,0,'Données projet'!$E$10+1,1))-AVERAGE(OFFSET($H$3,0,0,'Données projet'!$E$10+1,1))</f>
        <v>623.16549611107564</v>
      </c>
      <c r="AO39" s="59">
        <f t="shared" si="36"/>
        <v>326.15178903425885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32.880399707464115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32.880399707464115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124.60032000000002</v>
      </c>
      <c r="BF39" s="13">
        <f t="shared" si="37"/>
        <v>32.745587947600931</v>
      </c>
      <c r="BG39" s="20">
        <f t="shared" si="7"/>
        <v>274.04412300873832</v>
      </c>
      <c r="BH39" s="59">
        <f t="shared" si="8"/>
        <v>522.38947129366909</v>
      </c>
      <c r="BI39" s="59">
        <f ca="1">AVERAGE(OFFSET($BH$3,0,0,'Données projet'!$E$11+1,1))-AVERAGE(OFFSET($H$3,0,0,'Données projet'!$E$11+1,1))</f>
        <v>326.2912419133811</v>
      </c>
      <c r="BJ39" s="59">
        <f t="shared" si="38"/>
        <v>315.07976787459938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13.046922910453217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13.046922910453217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8.8000000000000007</v>
      </c>
      <c r="BY39" s="12">
        <f>IF('Données projet'!$A$114&gt;35,BY38+BX39-CG38,IF(A39&lt;'Données projet'!$A$114,$BV$205^A39,IF(A39='Données projet'!$A$114,'Données projet'!$B$114,BY38+BX39-CG38)))</f>
        <v>149.79999999999998</v>
      </c>
      <c r="BZ39" s="13">
        <f>BY39*VLOOKUP('Données projet'!$B$12,Paramètres!$A$1:$I$89,3,0)*VLOOKUP('Données projet'!$B$12,Paramètres!$A$1:$I$89,5,0)</f>
        <v>95.812079999999995</v>
      </c>
      <c r="CA39" s="13">
        <f t="shared" si="39"/>
        <v>25.9618127992258</v>
      </c>
      <c r="CB39" s="20">
        <f t="shared" si="10"/>
        <v>212.08952995865158</v>
      </c>
      <c r="CC39" s="59">
        <f t="shared" si="11"/>
        <v>460.43487824358238</v>
      </c>
      <c r="CD39" s="59">
        <f ca="1">AVERAGE(OFFSET($CC$3,0,0,'Données projet'!$E$12+1,1))-AVERAGE(OFFSET($H$3,0,0,'Données projet'!$E$12+1,1))</f>
        <v>297.03992602744393</v>
      </c>
      <c r="CE39" s="59">
        <f t="shared" si="40"/>
        <v>265.2588848922893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8.0479807363218363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8.0479807363218363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210.2</v>
      </c>
      <c r="CU39" s="17">
        <f>CT39*VLOOKUP('Données projet'!$B$13,Paramètres!$A$1:$I$89,3,0)*VLOOKUP('Données projet'!$B$13,Paramètres!$A$1:$I$89,5,0)</f>
        <v>167.23511999999999</v>
      </c>
      <c r="CV39" s="13">
        <f t="shared" si="41"/>
        <v>42.470192710511604</v>
      </c>
      <c r="CW39" s="20">
        <f t="shared" si="13"/>
        <v>365.23675297080769</v>
      </c>
      <c r="CX39" s="59">
        <f t="shared" si="14"/>
        <v>613.58210125573851</v>
      </c>
      <c r="CY39" s="59">
        <f ca="1">AVERAGE(OFFSET($CX$3,0,0,'Données projet'!$E$13+1,1))-AVERAGE(OFFSET($H$3,0,0,'Données projet'!$E$13+1,1))</f>
        <v>427.42918901489531</v>
      </c>
      <c r="CZ39" s="59">
        <f t="shared" si="42"/>
        <v>410.68601510655412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19.194030820185986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19.194030820185986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12.86166666666667</v>
      </c>
      <c r="DO39" s="12">
        <f>IF('Données projet'!$A$166&gt;35,DO38+DN39-DW38,IF(A39&lt;'Données projet'!$A$166,$DL$205^A39,IF(A39='Données projet'!$A$166,'Données projet'!$B$166,DO38+DN39-DW38)))</f>
        <v>144.57166666666666</v>
      </c>
      <c r="DP39" s="17">
        <f>DO39*VLOOKUP('Données projet'!$B$14,Paramètres!$A$1:$I$89,3,0)*VLOOKUP('Données projet'!$B$14,Paramètres!$A$1:$I$89,5,0)</f>
        <v>139.82971600000002</v>
      </c>
      <c r="DQ39" s="13">
        <f t="shared" si="43"/>
        <v>36.257993059088847</v>
      </c>
      <c r="DR39" s="20">
        <f t="shared" si="16"/>
        <v>306.68609327791313</v>
      </c>
      <c r="DS39" s="59">
        <f t="shared" si="17"/>
        <v>555.03144156284395</v>
      </c>
      <c r="DT39" s="59">
        <f ca="1">AVERAGE(OFFSET($DS$3,0,0,'Données projet'!$E$14+1,1))-AVERAGE(OFFSET($H$3,0,0,'Données projet'!$E$14+1,1))</f>
        <v>598.03945725240396</v>
      </c>
      <c r="DU39" s="59">
        <f t="shared" si="44"/>
        <v>313.9014686755695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31.362842797888845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31.362842797888845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12.86166666666667</v>
      </c>
      <c r="EJ39" s="12">
        <f>IF('Données projet'!$A$192&gt;35,EJ38+EI39-ER38,IF(A39&lt;'Données projet'!$A$192,$EG$205^A39,IF(A39='Données projet'!$A$192,'Données projet'!$B$192,EJ38+EI39-ER38)))</f>
        <v>144.57166666666672</v>
      </c>
      <c r="EK39" s="17">
        <f>EJ39*VLOOKUP('Données projet'!$B$15,Paramètres!$A$1:$I$89,3,0)*VLOOKUP('Données projet'!$B$15,Paramètres!$A$1:$I$89,5,0)</f>
        <v>96.978674000000026</v>
      </c>
      <c r="EL39" s="13">
        <f t="shared" si="45"/>
        <v>26.240928143619048</v>
      </c>
      <c r="EM39" s="20">
        <f t="shared" si="19"/>
        <v>214.60747373346987</v>
      </c>
      <c r="EN39" s="59">
        <f t="shared" si="20"/>
        <v>462.95282201840064</v>
      </c>
      <c r="EO39" s="59">
        <f ca="1">AVERAGE(OFFSET($EN$3,0,0,'Données projet'!$E$15+1,1))-AVERAGE(OFFSET($H$3,0,0,'Données projet'!$E$15+1,1))</f>
        <v>438.27475674276604</v>
      </c>
      <c r="EP39" s="59">
        <f t="shared" si="46"/>
        <v>235.97720136798864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26.810172069163048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26.810172069163048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16.511666666666667</v>
      </c>
      <c r="FE39" s="12">
        <f>IF('Données projet'!$A$218&gt;35,FE38+FD39-FM38,IF(A39&lt;'Données projet'!$A$218,$FB$205^A39,IF(A39='Données projet'!$A$218,'Données projet'!$B$218,FE38+FD39-FM38)))</f>
        <v>245.38999999999993</v>
      </c>
      <c r="FF39" s="17">
        <f>FE39*VLOOKUP('Données projet'!$B$16,Paramètres!$A$1:$I$89,3,0)*VLOOKUP('Données projet'!$B$16,Paramètres!$A$1:$I$89,5,0)</f>
        <v>114.84251999999996</v>
      </c>
      <c r="FG39" s="13">
        <f t="shared" si="47"/>
        <v>30.469043629741822</v>
      </c>
      <c r="FH39" s="20">
        <f t="shared" si="22"/>
        <v>253.08430665513359</v>
      </c>
      <c r="FI39" s="59">
        <f t="shared" si="23"/>
        <v>501.42965494006438</v>
      </c>
      <c r="FJ39" s="59">
        <f ca="1">AVERAGE(OFFSET($FI$3,0,0,'Données projet'!$E$16+1,1))-AVERAGE(OFFSET($H$3,0,0,'Données projet'!$E$16+1,1))</f>
        <v>329.49463758169588</v>
      </c>
      <c r="FK39" s="59">
        <f t="shared" si="48"/>
        <v>207.1447698203379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25.8</v>
      </c>
      <c r="FZ39" s="12">
        <f>IF('Données projet'!$A$244&gt;35,FZ38+FY39-GH38,IF(A39&lt;'Données projet'!$A$244,$FW$205^A39,IF(A39='Données projet'!$A$244,'Données projet'!$B$244,FZ38+FY39-GH38)))</f>
        <v>363.80000000000018</v>
      </c>
      <c r="GA39" s="17">
        <f>FZ39*VLOOKUP('Données projet'!$B$17,Paramètres!$A$1:$I$89,3,0)*VLOOKUP('Données projet'!$B$17,Paramètres!$A$1:$I$89,5,0)</f>
        <v>217.55240000000015</v>
      </c>
      <c r="GB39" s="13">
        <f t="shared" si="49"/>
        <v>53.58256606538</v>
      </c>
      <c r="GC39" s="20">
        <f t="shared" si="25"/>
        <v>472.22673256387026</v>
      </c>
      <c r="GD39" s="59">
        <f t="shared" si="26"/>
        <v>720.57208084880108</v>
      </c>
      <c r="GE39" s="59">
        <f ca="1">AVERAGE(OFFSET($GD$3,0,0,'Données projet'!$E$17+1,1))-AVERAGE(OFFSET($H$3,0,0,'Données projet'!$E$17+1,1))</f>
        <v>577.07444926285291</v>
      </c>
      <c r="GF39" s="59">
        <f t="shared" si="50"/>
        <v>501.3762209070419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24.498485508561465</v>
      </c>
      <c r="GM39" s="21">
        <f>EXP(-LN(2)/25)*GM38+(1-EXP(-LN(2)/25))/(LN(2)/25)*Calculateur!GH39*Calculateur!GJ39*VLOOKUP('Données projet'!$B$17,Paramètres!$A$1:$I$89,3,0)*0.475*44/12</f>
        <v>55.39524115623847</v>
      </c>
      <c r="GN39" s="21">
        <f>EXP(-LN(2)/2)*GN38+(1-EXP(-LN(2)/2))/(LN(2)/2)*GH39*GK39*VLOOKUP('Données projet'!$B$17,Paramètres!$A$1:$I$89,3,0)*0.475*44/12</f>
        <v>9.8184077374013842E-3</v>
      </c>
      <c r="GO39" s="21">
        <f t="shared" si="27"/>
        <v>79.903545072537341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57.73054953225386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-5.6843418860808015E-14</v>
      </c>
      <c r="GV39" s="17">
        <f>GU39*VLOOKUP('Données projet'!$B$18,Paramètres!$A$1:$I$89,3,0)*VLOOKUP('Données projet'!$B$18,Paramètres!$A$1:$I$89,5,0)</f>
        <v>-3.0061073630349716E-14</v>
      </c>
      <c r="GW39" s="13" t="e">
        <f t="shared" si="51"/>
        <v>#NUM!</v>
      </c>
      <c r="GX39" s="20" t="e">
        <f t="shared" si="28"/>
        <v>#NUM!</v>
      </c>
      <c r="GY39" s="59" t="e">
        <f t="shared" si="29"/>
        <v>#NUM!</v>
      </c>
      <c r="GZ39" s="59">
        <f ca="1">AVERAGE(OFFSET($GY$3,0,0,'Données projet'!$E$18+1,1))-AVERAGE(OFFSET($H$3,0,0,'Données projet'!$E$18+1,1))</f>
        <v>212.75657290802619</v>
      </c>
      <c r="HA39" s="59">
        <f t="shared" si="52"/>
        <v>411.47446316045978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68.257205542154551</v>
      </c>
      <c r="HH39" s="21">
        <f>EXP(-LN(2)/25)*HH38+(1-EXP(-LN(2)/25))/(LN(2)/25)*Calculateur!HC39*Calculateur!HE39*VLOOKUP('Données projet'!$B$18,Paramètres!$A$1:$I$89,3,0)*0.475*44/12</f>
        <v>16.860855326346094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85.118060868500649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4.60745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16.893983333333335</v>
      </c>
      <c r="H40" s="66">
        <f t="shared" si="1"/>
        <v>189.09073333333333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157.43333333333339</v>
      </c>
      <c r="O40" s="13">
        <f>N40*VLOOKUP('Données projet'!$B$9,Paramètres!$A$1:$I$89,3,0)*VLOOKUP('Données projet'!$B$9,Paramètres!$A$1:$I$89,5,0)</f>
        <v>142.44568000000007</v>
      </c>
      <c r="P40" s="13">
        <f t="shared" si="33"/>
        <v>36.856710479085173</v>
      </c>
      <c r="Q40" s="20">
        <f t="shared" si="53"/>
        <v>312.28499675107349</v>
      </c>
      <c r="R40" s="59">
        <f t="shared" si="0"/>
        <v>561.41078599852722</v>
      </c>
      <c r="S40" s="59">
        <f ca="1">AVERAGE(OFFSET($R$3,0,0,'Données projet'!$E$9+1,1))-AVERAGE(OFFSET($H$3,0,0,'Données projet'!$E$9+1,1))</f>
        <v>564.49981446852132</v>
      </c>
      <c r="T40" s="59">
        <f t="shared" si="34"/>
        <v>297.54722913785406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12.86166666666667</v>
      </c>
      <c r="AI40" s="13">
        <f>IF('Données projet'!$A$62&gt;35,AI39+AH40-AQ39,IF(A40&lt;'Données projet'!$A$62,$AF$205^A40,IF(A40='Données projet'!$A$62,'Données projet'!$B$62,AI39+AH40-AQ39)))</f>
        <v>157.43333333333334</v>
      </c>
      <c r="AJ40" s="13">
        <f>AI40*VLOOKUP('Données projet'!$B$10,Paramètres!$A$1:$I$89,3,0)*VLOOKUP('Données projet'!$B$10,Paramètres!$A$1:$I$89,5,0)</f>
        <v>159.63740000000001</v>
      </c>
      <c r="AK40" s="13">
        <f t="shared" si="35"/>
        <v>40.760719168297832</v>
      </c>
      <c r="AL40" s="20">
        <f t="shared" si="4"/>
        <v>349.02672421811872</v>
      </c>
      <c r="AM40" s="59">
        <f t="shared" si="5"/>
        <v>598.1525134655725</v>
      </c>
      <c r="AN40" s="59">
        <f ca="1">AVERAGE(OFFSET($AM$3,0,0,'Données projet'!$E$10+1,1))-AVERAGE(OFFSET($H$3,0,0,'Données projet'!$E$10+1,1))</f>
        <v>623.16549611107564</v>
      </c>
      <c r="AO40" s="59">
        <f t="shared" si="36"/>
        <v>326.15178903425885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32.235635124264292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32.235635124264292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132.38784000000004</v>
      </c>
      <c r="BF40" s="13">
        <f t="shared" si="37"/>
        <v>34.547533199821324</v>
      </c>
      <c r="BG40" s="20">
        <f t="shared" si="7"/>
        <v>290.74577498968887</v>
      </c>
      <c r="BH40" s="59">
        <f t="shared" si="8"/>
        <v>539.87156423714259</v>
      </c>
      <c r="BI40" s="59">
        <f ca="1">AVERAGE(OFFSET($BH$3,0,0,'Données projet'!$E$11+1,1))-AVERAGE(OFFSET($H$3,0,0,'Données projet'!$E$11+1,1))</f>
        <v>326.2912419133811</v>
      </c>
      <c r="BJ40" s="59">
        <f t="shared" si="38"/>
        <v>315.07976787459938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12.791080710016434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12.791080710016434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8.8000000000000007</v>
      </c>
      <c r="BY40" s="12">
        <f>IF('Données projet'!$A$114&gt;35,BY39+BX40-CG39,IF(A40&lt;'Données projet'!$A$114,$BV$205^A40,IF(A40='Données projet'!$A$114,'Données projet'!$B$114,BY39+BX40-CG39)))</f>
        <v>158.6</v>
      </c>
      <c r="BZ40" s="13">
        <f>BY40*VLOOKUP('Données projet'!$B$12,Paramètres!$A$1:$I$89,3,0)*VLOOKUP('Données projet'!$B$12,Paramètres!$A$1:$I$89,5,0)</f>
        <v>101.44055999999999</v>
      </c>
      <c r="CA40" s="13">
        <f t="shared" si="39"/>
        <v>27.304904898847315</v>
      </c>
      <c r="CB40" s="20">
        <f t="shared" si="10"/>
        <v>224.23168469882569</v>
      </c>
      <c r="CC40" s="59">
        <f t="shared" si="11"/>
        <v>473.35747394627947</v>
      </c>
      <c r="CD40" s="59">
        <f ca="1">AVERAGE(OFFSET($CC$3,0,0,'Données projet'!$E$12+1,1))-AVERAGE(OFFSET($H$3,0,0,'Données projet'!$E$12+1,1))</f>
        <v>297.03992602744393</v>
      </c>
      <c r="CE40" s="59">
        <f t="shared" si="40"/>
        <v>265.2588848922893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7.8901647428661121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7.8901647428661121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223.39999999999998</v>
      </c>
      <c r="CU40" s="17">
        <f>CT40*VLOOKUP('Données projet'!$B$13,Paramètres!$A$1:$I$89,3,0)*VLOOKUP('Données projet'!$B$13,Paramètres!$A$1:$I$89,5,0)</f>
        <v>177.73703999999998</v>
      </c>
      <c r="CV40" s="13">
        <f t="shared" si="41"/>
        <v>44.818349142210366</v>
      </c>
      <c r="CW40" s="20">
        <f t="shared" si="13"/>
        <v>387.61730275601627</v>
      </c>
      <c r="CX40" s="59">
        <f t="shared" si="14"/>
        <v>636.74309200347</v>
      </c>
      <c r="CY40" s="59">
        <f ca="1">AVERAGE(OFFSET($CX$3,0,0,'Données projet'!$E$13+1,1))-AVERAGE(OFFSET($H$3,0,0,'Données projet'!$E$13+1,1))</f>
        <v>427.42918901489531</v>
      </c>
      <c r="CZ40" s="59">
        <f t="shared" si="42"/>
        <v>410.68601510655412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18.817647583004948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18.817647583004948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12.86166666666667</v>
      </c>
      <c r="DO40" s="12">
        <f>IF('Données projet'!$A$166&gt;35,DO39+DN40-DW39,IF(A40&lt;'Données projet'!$A$166,$DL$205^A40,IF(A40='Données projet'!$A$166,'Données projet'!$B$166,DO39+DN40-DW39)))</f>
        <v>157.43333333333334</v>
      </c>
      <c r="DP40" s="17">
        <f>DO40*VLOOKUP('Données projet'!$B$14,Paramètres!$A$1:$I$89,3,0)*VLOOKUP('Données projet'!$B$14,Paramètres!$A$1:$I$89,5,0)</f>
        <v>152.26952</v>
      </c>
      <c r="DQ40" s="13">
        <f t="shared" si="43"/>
        <v>39.093890559865287</v>
      </c>
      <c r="DR40" s="20">
        <f t="shared" si="16"/>
        <v>333.2912733917654</v>
      </c>
      <c r="DS40" s="59">
        <f t="shared" si="17"/>
        <v>582.41706263921913</v>
      </c>
      <c r="DT40" s="59">
        <f ca="1">AVERAGE(OFFSET($DS$3,0,0,'Données projet'!$E$14+1,1))-AVERAGE(OFFSET($H$3,0,0,'Données projet'!$E$14+1,1))</f>
        <v>598.03945725240396</v>
      </c>
      <c r="DU40" s="59">
        <f t="shared" si="44"/>
        <v>313.9014686755695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30.747836580067474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30.747836580067474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12.86166666666667</v>
      </c>
      <c r="EJ40" s="12">
        <f>IF('Données projet'!$A$192&gt;35,EJ39+EI40-ER39,IF(A40&lt;'Données projet'!$A$192,$EG$205^A40,IF(A40='Données projet'!$A$192,'Données projet'!$B$192,EJ39+EI40-ER39)))</f>
        <v>157.43333333333339</v>
      </c>
      <c r="EK40" s="17">
        <f>EJ40*VLOOKUP('Données projet'!$B$15,Paramètres!$A$1:$I$89,3,0)*VLOOKUP('Données projet'!$B$15,Paramètres!$A$1:$I$89,5,0)</f>
        <v>105.60628000000004</v>
      </c>
      <c r="EL40" s="13">
        <f t="shared" si="45"/>
        <v>28.293346831527902</v>
      </c>
      <c r="EM40" s="20">
        <f t="shared" si="19"/>
        <v>233.20851673157782</v>
      </c>
      <c r="EN40" s="59">
        <f t="shared" si="20"/>
        <v>482.33430597903157</v>
      </c>
      <c r="EO40" s="59">
        <f ca="1">AVERAGE(OFFSET($EN$3,0,0,'Données projet'!$E$15+1,1))-AVERAGE(OFFSET($H$3,0,0,'Données projet'!$E$15+1,1))</f>
        <v>438.27475674276604</v>
      </c>
      <c r="EP40" s="59">
        <f t="shared" si="46"/>
        <v>235.97720136798864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26.284440947477037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26.284440947477037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16.511666666666667</v>
      </c>
      <c r="FE40" s="12">
        <f>IF('Données projet'!$A$218&gt;35,FE39+FD40-FM39,IF(A40&lt;'Données projet'!$A$218,$FB$205^A40,IF(A40='Données projet'!$A$218,'Données projet'!$B$218,FE39+FD40-FM39)))</f>
        <v>261.90166666666659</v>
      </c>
      <c r="FF40" s="17">
        <f>FE40*VLOOKUP('Données projet'!$B$16,Paramètres!$A$1:$I$89,3,0)*VLOOKUP('Données projet'!$B$16,Paramètres!$A$1:$I$89,5,0)</f>
        <v>122.56997999999996</v>
      </c>
      <c r="FG40" s="13">
        <f t="shared" si="47"/>
        <v>32.27366368975963</v>
      </c>
      <c r="FH40" s="20">
        <f t="shared" si="22"/>
        <v>269.68601275966461</v>
      </c>
      <c r="FI40" s="59">
        <f t="shared" si="23"/>
        <v>518.81180200711833</v>
      </c>
      <c r="FJ40" s="59">
        <f ca="1">AVERAGE(OFFSET($FI$3,0,0,'Données projet'!$E$16+1,1))-AVERAGE(OFFSET($H$3,0,0,'Données projet'!$E$16+1,1))</f>
        <v>329.49463758169588</v>
      </c>
      <c r="FK40" s="59">
        <f t="shared" si="48"/>
        <v>207.1447698203379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25.8</v>
      </c>
      <c r="FZ40" s="12">
        <f>IF('Données projet'!$A$244&gt;35,FZ39+FY40-GH39,IF(A40&lt;'Données projet'!$A$244,$FW$205^A40,IF(A40='Données projet'!$A$244,'Données projet'!$B$244,FZ39+FY40-GH39)))</f>
        <v>389.60000000000019</v>
      </c>
      <c r="GA40" s="17">
        <f>FZ40*VLOOKUP('Données projet'!$B$17,Paramètres!$A$1:$I$89,3,0)*VLOOKUP('Données projet'!$B$17,Paramètres!$A$1:$I$89,5,0)</f>
        <v>232.98080000000013</v>
      </c>
      <c r="GB40" s="13">
        <f t="shared" si="49"/>
        <v>56.926716368527195</v>
      </c>
      <c r="GC40" s="20">
        <f t="shared" si="25"/>
        <v>504.92225767518511</v>
      </c>
      <c r="GD40" s="59">
        <f t="shared" si="26"/>
        <v>754.04804692263883</v>
      </c>
      <c r="GE40" s="59">
        <f ca="1">AVERAGE(OFFSET($GD$3,0,0,'Données projet'!$E$17+1,1))-AVERAGE(OFFSET($H$3,0,0,'Données projet'!$E$17+1,1))</f>
        <v>577.07444926285291</v>
      </c>
      <c r="GF40" s="59">
        <f t="shared" si="50"/>
        <v>501.3762209070419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24.018085150339274</v>
      </c>
      <c r="GM40" s="21">
        <f>EXP(-LN(2)/25)*GM39+(1-EXP(-LN(2)/25))/(LN(2)/25)*Calculateur!GH40*Calculateur!GJ40*VLOOKUP('Données projet'!$B$17,Paramètres!$A$1:$I$89,3,0)*0.475*44/12</f>
        <v>53.880455373712003</v>
      </c>
      <c r="GN40" s="21">
        <f>EXP(-LN(2)/2)*GN39+(1-EXP(-LN(2)/2))/(LN(2)/2)*GH40*GK40*VLOOKUP('Données projet'!$B$17,Paramètres!$A$1:$I$89,3,0)*0.475*44/12</f>
        <v>6.9426626915709859E-3</v>
      </c>
      <c r="GO40" s="21">
        <f t="shared" si="27"/>
        <v>77.905483186742842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57.943397067487375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-5.6843418860808015E-14</v>
      </c>
      <c r="GV40" s="17">
        <f>GU40*VLOOKUP('Données projet'!$B$18,Paramètres!$A$1:$I$89,3,0)*VLOOKUP('Données projet'!$B$18,Paramètres!$A$1:$I$89,5,0)</f>
        <v>-3.0061073630349716E-14</v>
      </c>
      <c r="GW40" s="13" t="e">
        <f t="shared" si="51"/>
        <v>#NUM!</v>
      </c>
      <c r="GX40" s="20" t="e">
        <f t="shared" si="28"/>
        <v>#NUM!</v>
      </c>
      <c r="GY40" s="59" t="e">
        <f t="shared" si="29"/>
        <v>#NUM!</v>
      </c>
      <c r="GZ40" s="59">
        <f ca="1">AVERAGE(OFFSET($GY$3,0,0,'Données projet'!$E$18+1,1))-AVERAGE(OFFSET($H$3,0,0,'Données projet'!$E$18+1,1))</f>
        <v>212.75657290802619</v>
      </c>
      <c r="HA40" s="59">
        <f t="shared" si="52"/>
        <v>411.47446316045978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66.918723374257382</v>
      </c>
      <c r="HH40" s="21">
        <f>EXP(-LN(2)/25)*HH39+(1-EXP(-LN(2)/25))/(LN(2)/25)*Calculateur!HC40*Calculateur!HE40*VLOOKUP('Données projet'!$B$18,Paramètres!$A$1:$I$89,3,0)*0.475*44/12</f>
        <v>16.399794350773316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83.318517725030702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4.60745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16.893983333333335</v>
      </c>
      <c r="H41" s="66">
        <f t="shared" si="1"/>
        <v>189.09073333333333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170.29500000000007</v>
      </c>
      <c r="O41" s="13">
        <f>N41*VLOOKUP('Données projet'!$B$9,Paramètres!$A$1:$I$89,3,0)*VLOOKUP('Données projet'!$B$9,Paramètres!$A$1:$I$89,5,0)</f>
        <v>154.08291600000007</v>
      </c>
      <c r="P41" s="13">
        <f t="shared" si="33"/>
        <v>39.504987725811617</v>
      </c>
      <c r="Q41" s="20">
        <f t="shared" si="53"/>
        <v>337.16559898912197</v>
      </c>
      <c r="R41" s="59">
        <f t="shared" si="0"/>
        <v>587.05829029320353</v>
      </c>
      <c r="S41" s="59">
        <f ca="1">AVERAGE(OFFSET($R$3,0,0,'Données projet'!$E$9+1,1))-AVERAGE(OFFSET($H$3,0,0,'Données projet'!$E$9+1,1))</f>
        <v>564.49981446852132</v>
      </c>
      <c r="T41" s="59">
        <f t="shared" si="34"/>
        <v>297.54722913785406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12.86166666666667</v>
      </c>
      <c r="AI41" s="13">
        <f>IF('Données projet'!$A$62&gt;35,AI40+AH41-AQ40,IF(A41&lt;'Données projet'!$A$62,$AF$205^A41,IF(A41='Données projet'!$A$62,'Données projet'!$B$62,AI40+AH41-AQ40)))</f>
        <v>170.29500000000002</v>
      </c>
      <c r="AJ41" s="13">
        <f>AI41*VLOOKUP('Données projet'!$B$10,Paramètres!$A$1:$I$89,3,0)*VLOOKUP('Données projet'!$B$10,Paramètres!$A$1:$I$89,5,0)</f>
        <v>172.67913000000001</v>
      </c>
      <c r="AK41" s="13">
        <f t="shared" si="35"/>
        <v>43.689512425494954</v>
      </c>
      <c r="AL41" s="20">
        <f t="shared" si="4"/>
        <v>376.84205222440369</v>
      </c>
      <c r="AM41" s="59">
        <f t="shared" si="5"/>
        <v>626.73474352848518</v>
      </c>
      <c r="AN41" s="59">
        <f ca="1">AVERAGE(OFFSET($AM$3,0,0,'Données projet'!$E$10+1,1))-AVERAGE(OFFSET($H$3,0,0,'Données projet'!$E$10+1,1))</f>
        <v>623.16549611107564</v>
      </c>
      <c r="AO41" s="59">
        <f t="shared" si="36"/>
        <v>326.15178903425885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31.603513981273455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31.603513981273455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140.17536000000001</v>
      </c>
      <c r="BF41" s="13">
        <f t="shared" si="37"/>
        <v>36.337175081323657</v>
      </c>
      <c r="BG41" s="20">
        <f t="shared" si="7"/>
        <v>307.42599859997205</v>
      </c>
      <c r="BH41" s="59">
        <f t="shared" si="8"/>
        <v>557.3186899040536</v>
      </c>
      <c r="BI41" s="59">
        <f ca="1">AVERAGE(OFFSET($BH$3,0,0,'Données projet'!$E$11+1,1))-AVERAGE(OFFSET($H$3,0,0,'Données projet'!$E$11+1,1))</f>
        <v>326.2912419133811</v>
      </c>
      <c r="BJ41" s="59">
        <f t="shared" si="38"/>
        <v>315.07976787459938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12.540255419081882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12.540255419081882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8.8000000000000007</v>
      </c>
      <c r="BY41" s="12">
        <f>IF('Données projet'!$A$114&gt;35,BY40+BX41-CG40,IF(A41&lt;'Données projet'!$A$114,$BV$205^A41,IF(A41='Données projet'!$A$114,'Données projet'!$B$114,BY40+BX41-CG40)))</f>
        <v>167.4</v>
      </c>
      <c r="BZ41" s="13">
        <f>BY41*VLOOKUP('Données projet'!$B$12,Paramètres!$A$1:$I$89,3,0)*VLOOKUP('Données projet'!$B$12,Paramètres!$A$1:$I$89,5,0)</f>
        <v>107.06904</v>
      </c>
      <c r="CA41" s="13">
        <f t="shared" si="39"/>
        <v>28.639345887991663</v>
      </c>
      <c r="CB41" s="20">
        <f t="shared" si="10"/>
        <v>236.3587720882521</v>
      </c>
      <c r="CC41" s="59">
        <f t="shared" si="11"/>
        <v>486.25146339233356</v>
      </c>
      <c r="CD41" s="59">
        <f ca="1">AVERAGE(OFFSET($CC$3,0,0,'Données projet'!$E$12+1,1))-AVERAGE(OFFSET($H$3,0,0,'Données projet'!$E$12+1,1))</f>
        <v>297.03992602744393</v>
      </c>
      <c r="CE41" s="59">
        <f t="shared" si="40"/>
        <v>265.2588848922893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7.7354434247838038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7.7354434247838038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236.59999999999997</v>
      </c>
      <c r="CU41" s="17">
        <f>CT41*VLOOKUP('Données projet'!$B$13,Paramètres!$A$1:$I$89,3,0)*VLOOKUP('Données projet'!$B$13,Paramètres!$A$1:$I$89,5,0)</f>
        <v>188.23895999999999</v>
      </c>
      <c r="CV41" s="13">
        <f t="shared" si="41"/>
        <v>47.150401158990007</v>
      </c>
      <c r="CW41" s="20">
        <f t="shared" si="13"/>
        <v>409.96980401857422</v>
      </c>
      <c r="CX41" s="59">
        <f t="shared" si="14"/>
        <v>659.86249532265572</v>
      </c>
      <c r="CY41" s="59">
        <f ca="1">AVERAGE(OFFSET($CX$3,0,0,'Données projet'!$E$13+1,1))-AVERAGE(OFFSET($H$3,0,0,'Données projet'!$E$13+1,1))</f>
        <v>427.42918901489531</v>
      </c>
      <c r="CZ41" s="59">
        <f t="shared" si="42"/>
        <v>410.68601510655412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18.448644991533925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18.448644991533925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12.86166666666667</v>
      </c>
      <c r="DO41" s="12">
        <f>IF('Données projet'!$A$166&gt;35,DO40+DN41-DW40,IF(A41&lt;'Données projet'!$A$166,$DL$205^A41,IF(A41='Données projet'!$A$166,'Données projet'!$B$166,DO40+DN41-DW40)))</f>
        <v>170.29500000000002</v>
      </c>
      <c r="DP41" s="17">
        <f>DO41*VLOOKUP('Données projet'!$B$14,Paramètres!$A$1:$I$89,3,0)*VLOOKUP('Données projet'!$B$14,Paramètres!$A$1:$I$89,5,0)</f>
        <v>164.70932400000001</v>
      </c>
      <c r="DQ41" s="13">
        <f t="shared" si="43"/>
        <v>41.902916637069239</v>
      </c>
      <c r="DR41" s="20">
        <f t="shared" si="16"/>
        <v>359.8496524428956</v>
      </c>
      <c r="DS41" s="59">
        <f t="shared" si="17"/>
        <v>609.7423437469771</v>
      </c>
      <c r="DT41" s="59">
        <f ca="1">AVERAGE(OFFSET($DS$3,0,0,'Données projet'!$E$14+1,1))-AVERAGE(OFFSET($H$3,0,0,'Données projet'!$E$14+1,1))</f>
        <v>598.03945725240396</v>
      </c>
      <c r="DU41" s="59">
        <f t="shared" si="44"/>
        <v>313.9014686755695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30.14489025906083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30.14489025906083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12.86166666666667</v>
      </c>
      <c r="EJ41" s="12">
        <f>IF('Données projet'!$A$192&gt;35,EJ40+EI41-ER40,IF(A41&lt;'Données projet'!$A$192,$EG$205^A41,IF(A41='Données projet'!$A$192,'Données projet'!$B$192,EJ40+EI41-ER40)))</f>
        <v>170.29500000000007</v>
      </c>
      <c r="EK41" s="17">
        <f>EJ41*VLOOKUP('Données projet'!$B$15,Paramètres!$A$1:$I$89,3,0)*VLOOKUP('Données projet'!$B$15,Paramètres!$A$1:$I$89,5,0)</f>
        <v>114.23388600000004</v>
      </c>
      <c r="EL41" s="13">
        <f t="shared" si="45"/>
        <v>30.326317915319962</v>
      </c>
      <c r="EM41" s="20">
        <f t="shared" si="19"/>
        <v>251.77568848584897</v>
      </c>
      <c r="EN41" s="59">
        <f t="shared" si="20"/>
        <v>501.66837978993044</v>
      </c>
      <c r="EO41" s="59">
        <f ca="1">AVERAGE(OFFSET($EN$3,0,0,'Données projet'!$E$15+1,1))-AVERAGE(OFFSET($H$3,0,0,'Données projet'!$E$15+1,1))</f>
        <v>438.27475674276604</v>
      </c>
      <c r="EP41" s="59">
        <f t="shared" si="46"/>
        <v>235.97720136798864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25.769019092422969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25.769019092422969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16.511666666666667</v>
      </c>
      <c r="FE41" s="12">
        <f>IF('Données projet'!$A$218&gt;35,FE40+FD41-FM40,IF(A41&lt;'Données projet'!$A$218,$FB$205^A41,IF(A41='Données projet'!$A$218,'Données projet'!$B$218,FE40+FD41-FM40)))</f>
        <v>278.41333333333324</v>
      </c>
      <c r="FF41" s="17">
        <f>FE41*VLOOKUP('Données projet'!$B$16,Paramètres!$A$1:$I$89,3,0)*VLOOKUP('Données projet'!$B$16,Paramètres!$A$1:$I$89,5,0)</f>
        <v>130.29743999999997</v>
      </c>
      <c r="FG41" s="13">
        <f t="shared" si="47"/>
        <v>34.06507983892925</v>
      </c>
      <c r="FH41" s="20">
        <f t="shared" si="22"/>
        <v>286.26472205280169</v>
      </c>
      <c r="FI41" s="59">
        <f t="shared" si="23"/>
        <v>536.15741335688313</v>
      </c>
      <c r="FJ41" s="59">
        <f ca="1">AVERAGE(OFFSET($FI$3,0,0,'Données projet'!$E$16+1,1))-AVERAGE(OFFSET($H$3,0,0,'Données projet'!$E$16+1,1))</f>
        <v>329.49463758169588</v>
      </c>
      <c r="FK41" s="59">
        <f t="shared" si="48"/>
        <v>207.1447698203379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25.8</v>
      </c>
      <c r="FZ41" s="12">
        <f>IF('Données projet'!$A$244&gt;35,FZ40+FY41-GH40,IF(A41&lt;'Données projet'!$A$244,$FW$205^A41,IF(A41='Données projet'!$A$244,'Données projet'!$B$244,FZ40+FY41-GH40)))</f>
        <v>415.4000000000002</v>
      </c>
      <c r="GA41" s="17">
        <f>FZ41*VLOOKUP('Données projet'!$B$17,Paramètres!$A$1:$I$89,3,0)*VLOOKUP('Données projet'!$B$17,Paramètres!$A$1:$I$89,5,0)</f>
        <v>248.40920000000011</v>
      </c>
      <c r="GB41" s="13">
        <f t="shared" si="49"/>
        <v>60.245168520988734</v>
      </c>
      <c r="GC41" s="20">
        <f t="shared" si="25"/>
        <v>537.57302517405549</v>
      </c>
      <c r="GD41" s="59">
        <f t="shared" si="26"/>
        <v>787.46571647813698</v>
      </c>
      <c r="GE41" s="59">
        <f ca="1">AVERAGE(OFFSET($GD$3,0,0,'Données projet'!$E$17+1,1))-AVERAGE(OFFSET($H$3,0,0,'Données projet'!$E$17+1,1))</f>
        <v>577.07444926285291</v>
      </c>
      <c r="GF41" s="59">
        <f t="shared" si="50"/>
        <v>501.3762209070419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23.547105150126537</v>
      </c>
      <c r="GM41" s="21">
        <f>EXP(-LN(2)/25)*GM40+(1-EXP(-LN(2)/25))/(LN(2)/25)*Calculateur!GH41*Calculateur!GJ41*VLOOKUP('Données projet'!$B$17,Paramètres!$A$1:$I$89,3,0)*0.475*44/12</f>
        <v>52.407091488067849</v>
      </c>
      <c r="GN41" s="21">
        <f>EXP(-LN(2)/2)*GN40+(1-EXP(-LN(2)/2))/(LN(2)/2)*GH41*GK41*VLOOKUP('Données projet'!$B$17,Paramètres!$A$1:$I$89,3,0)*0.475*44/12</f>
        <v>4.9092038687006921E-3</v>
      </c>
      <c r="GO41" s="21">
        <f t="shared" si="27"/>
        <v>75.959105842063096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58.152552173840398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-5.6843418860808015E-14</v>
      </c>
      <c r="GV41" s="17">
        <f>GU41*VLOOKUP('Données projet'!$B$18,Paramètres!$A$1:$I$89,3,0)*VLOOKUP('Données projet'!$B$18,Paramètres!$A$1:$I$89,5,0)</f>
        <v>-3.0061073630349716E-14</v>
      </c>
      <c r="GW41" s="13" t="e">
        <f t="shared" si="51"/>
        <v>#NUM!</v>
      </c>
      <c r="GX41" s="20" t="e">
        <f t="shared" si="28"/>
        <v>#NUM!</v>
      </c>
      <c r="GY41" s="59" t="e">
        <f t="shared" si="29"/>
        <v>#NUM!</v>
      </c>
      <c r="GZ41" s="59">
        <f ca="1">AVERAGE(OFFSET($GY$3,0,0,'Données projet'!$E$18+1,1))-AVERAGE(OFFSET($H$3,0,0,'Données projet'!$E$18+1,1))</f>
        <v>212.75657290802619</v>
      </c>
      <c r="HA41" s="59">
        <f t="shared" si="52"/>
        <v>411.47446316045978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65.606488025279162</v>
      </c>
      <c r="HH41" s="21">
        <f>EXP(-LN(2)/25)*HH40+(1-EXP(-LN(2)/25))/(LN(2)/25)*Calculateur!HC41*Calculateur!HE41*VLOOKUP('Données projet'!$B$18,Paramètres!$A$1:$I$89,3,0)*0.475*44/12</f>
        <v>15.951341111823718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81.557829137102885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4.60745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16.893983333333335</v>
      </c>
      <c r="H42" s="66">
        <f t="shared" si="1"/>
        <v>189.09073333333333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183.15666666666675</v>
      </c>
      <c r="O42" s="13">
        <f>N42*VLOOKUP('Données projet'!$B$9,Paramètres!$A$1:$I$89,3,0)*VLOOKUP('Données projet'!$B$9,Paramètres!$A$1:$I$89,5,0)</f>
        <v>165.72015200000007</v>
      </c>
      <c r="P42" s="13">
        <f t="shared" si="33"/>
        <v>42.130062193248868</v>
      </c>
      <c r="Q42" s="20">
        <f t="shared" si="53"/>
        <v>362.00578971990859</v>
      </c>
      <c r="R42" s="59">
        <f t="shared" si="0"/>
        <v>612.65207904447141</v>
      </c>
      <c r="S42" s="59">
        <f ca="1">AVERAGE(OFFSET($R$3,0,0,'Données projet'!$E$9+1,1))-AVERAGE(OFFSET($H$3,0,0,'Données projet'!$E$9+1,1))</f>
        <v>564.49981446852132</v>
      </c>
      <c r="T42" s="59">
        <f t="shared" si="34"/>
        <v>297.54722913785406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12.86166666666667</v>
      </c>
      <c r="AI42" s="13">
        <f>IF('Données projet'!$A$62&gt;35,AI41+AH42-AQ41,IF(A42&lt;'Données projet'!$A$62,$AF$205^A42,IF(A42='Données projet'!$A$62,'Données projet'!$B$62,AI41+AH42-AQ41)))</f>
        <v>183.15666666666669</v>
      </c>
      <c r="AJ42" s="13">
        <f>AI42*VLOOKUP('Données projet'!$B$10,Paramètres!$A$1:$I$89,3,0)*VLOOKUP('Données projet'!$B$10,Paramètres!$A$1:$I$89,5,0)</f>
        <v>185.72086000000004</v>
      </c>
      <c r="AK42" s="13">
        <f t="shared" si="35"/>
        <v>46.59264517316101</v>
      </c>
      <c r="AL42" s="20">
        <f t="shared" si="4"/>
        <v>404.61268817658879</v>
      </c>
      <c r="AM42" s="59">
        <f t="shared" si="5"/>
        <v>655.25897750115166</v>
      </c>
      <c r="AN42" s="59">
        <f ca="1">AVERAGE(OFFSET($AM$3,0,0,'Données projet'!$E$10+1,1))-AVERAGE(OFFSET($H$3,0,0,'Données projet'!$E$10+1,1))</f>
        <v>623.16549611107564</v>
      </c>
      <c r="AO42" s="59">
        <f t="shared" si="36"/>
        <v>326.15178903425885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30.983788348340841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30.983788348340841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147.96288000000001</v>
      </c>
      <c r="BF42" s="13">
        <f t="shared" si="37"/>
        <v>38.115275017059226</v>
      </c>
      <c r="BG42" s="20">
        <f t="shared" si="7"/>
        <v>324.0861199880448</v>
      </c>
      <c r="BH42" s="59">
        <f t="shared" si="8"/>
        <v>574.73240931260761</v>
      </c>
      <c r="BI42" s="59">
        <f ca="1">AVERAGE(OFFSET($BH$3,0,0,'Données projet'!$E$11+1,1))-AVERAGE(OFFSET($H$3,0,0,'Données projet'!$E$11+1,1))</f>
        <v>326.2912419133811</v>
      </c>
      <c r="BJ42" s="59">
        <f t="shared" si="38"/>
        <v>315.07976787459938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12.294348659114236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12.294348659114236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8.8000000000000007</v>
      </c>
      <c r="BY42" s="12">
        <f>IF('Données projet'!$A$114&gt;35,BY41+BX42-CG41,IF(A42&lt;'Données projet'!$A$114,$BV$205^A42,IF(A42='Données projet'!$A$114,'Données projet'!$B$114,BY41+BX42-CG41)))</f>
        <v>176.20000000000002</v>
      </c>
      <c r="BZ42" s="13">
        <f>BY42*VLOOKUP('Données projet'!$B$12,Paramètres!$A$1:$I$89,3,0)*VLOOKUP('Données projet'!$B$12,Paramètres!$A$1:$I$89,5,0)</f>
        <v>112.69752000000001</v>
      </c>
      <c r="CA42" s="13">
        <f t="shared" si="39"/>
        <v>29.965642408774354</v>
      </c>
      <c r="CB42" s="20">
        <f t="shared" si="10"/>
        <v>248.4716745286153</v>
      </c>
      <c r="CC42" s="59">
        <f t="shared" si="11"/>
        <v>499.11796385317814</v>
      </c>
      <c r="CD42" s="59">
        <f ca="1">AVERAGE(OFFSET($CC$3,0,0,'Données projet'!$E$12+1,1))-AVERAGE(OFFSET($H$3,0,0,'Données projet'!$E$12+1,1))</f>
        <v>297.03992602744393</v>
      </c>
      <c r="CE42" s="59">
        <f t="shared" si="40"/>
        <v>265.2588848922893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7.5837560973784033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7.5837560973784033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249.79999999999995</v>
      </c>
      <c r="CU42" s="17">
        <f>CT42*VLOOKUP('Données projet'!$B$13,Paramètres!$A$1:$I$89,3,0)*VLOOKUP('Données projet'!$B$13,Paramètres!$A$1:$I$89,5,0)</f>
        <v>198.74087999999998</v>
      </c>
      <c r="CV42" s="13">
        <f t="shared" si="41"/>
        <v>49.467349630825638</v>
      </c>
      <c r="CW42" s="20">
        <f t="shared" si="13"/>
        <v>432.29599994035453</v>
      </c>
      <c r="CX42" s="59">
        <f t="shared" si="14"/>
        <v>682.94228926491735</v>
      </c>
      <c r="CY42" s="59">
        <f ca="1">AVERAGE(OFFSET($CX$3,0,0,'Données projet'!$E$13+1,1))-AVERAGE(OFFSET($H$3,0,0,'Données projet'!$E$13+1,1))</f>
        <v>427.42918901489531</v>
      </c>
      <c r="CZ42" s="59">
        <f t="shared" si="42"/>
        <v>410.68601510655412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18.086878315812292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18.086878315812292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12.86166666666667</v>
      </c>
      <c r="DO42" s="12">
        <f>IF('Données projet'!$A$166&gt;35,DO41+DN42-DW41,IF(A42&lt;'Données projet'!$A$166,$DL$205^A42,IF(A42='Données projet'!$A$166,'Données projet'!$B$166,DO41+DN42-DW41)))</f>
        <v>183.15666666666669</v>
      </c>
      <c r="DP42" s="17">
        <f>DO42*VLOOKUP('Données projet'!$B$14,Paramètres!$A$1:$I$89,3,0)*VLOOKUP('Données projet'!$B$14,Paramètres!$A$1:$I$89,5,0)</f>
        <v>177.14912800000005</v>
      </c>
      <c r="DQ42" s="13">
        <f t="shared" si="43"/>
        <v>44.687331540285413</v>
      </c>
      <c r="DR42" s="20">
        <f t="shared" si="16"/>
        <v>386.36516703266381</v>
      </c>
      <c r="DS42" s="59">
        <f t="shared" si="17"/>
        <v>637.01145635722662</v>
      </c>
      <c r="DT42" s="59">
        <f ca="1">AVERAGE(OFFSET($DS$3,0,0,'Données projet'!$E$14+1,1))-AVERAGE(OFFSET($H$3,0,0,'Données projet'!$E$14+1,1))</f>
        <v>598.03945725240396</v>
      </c>
      <c r="DU42" s="59">
        <f t="shared" si="44"/>
        <v>313.9014686755695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29.553767347648183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29.553767347648183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12.86166666666667</v>
      </c>
      <c r="EJ42" s="12">
        <f>IF('Données projet'!$A$192&gt;35,EJ41+EI42-ER41,IF(A42&lt;'Données projet'!$A$192,$EG$205^A42,IF(A42='Données projet'!$A$192,'Données projet'!$B$192,EJ41+EI42-ER41)))</f>
        <v>183.15666666666675</v>
      </c>
      <c r="EK42" s="17">
        <f>EJ42*VLOOKUP('Données projet'!$B$15,Paramètres!$A$1:$I$89,3,0)*VLOOKUP('Données projet'!$B$15,Paramètres!$A$1:$I$89,5,0)</f>
        <v>122.86149200000006</v>
      </c>
      <c r="EL42" s="13">
        <f t="shared" si="45"/>
        <v>32.341477201115048</v>
      </c>
      <c r="EM42" s="20">
        <f t="shared" si="19"/>
        <v>270.31183802527545</v>
      </c>
      <c r="EN42" s="59">
        <f t="shared" si="20"/>
        <v>520.95812734983826</v>
      </c>
      <c r="EO42" s="59">
        <f ca="1">AVERAGE(OFFSET($EN$3,0,0,'Données projet'!$E$15+1,1))-AVERAGE(OFFSET($H$3,0,0,'Données projet'!$E$15+1,1))</f>
        <v>438.27475674276604</v>
      </c>
      <c r="EP42" s="59">
        <f t="shared" si="46"/>
        <v>235.97720136798864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25.263704345570222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25.263704345570222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16.511666666666667</v>
      </c>
      <c r="FE42" s="12">
        <f>IF('Données projet'!$A$218&gt;35,FE41+FD42-FM41,IF(A42&lt;'Données projet'!$A$218,$FB$205^A42,IF(A42='Données projet'!$A$218,'Données projet'!$B$218,FE41+FD42-FM41)))</f>
        <v>294.9249999999999</v>
      </c>
      <c r="FF42" s="17">
        <f>FE42*VLOOKUP('Données projet'!$B$16,Paramètres!$A$1:$I$89,3,0)*VLOOKUP('Données projet'!$B$16,Paramètres!$A$1:$I$89,5,0)</f>
        <v>138.02489999999995</v>
      </c>
      <c r="FG42" s="13">
        <f t="shared" si="47"/>
        <v>35.844164344221397</v>
      </c>
      <c r="FH42" s="20">
        <f t="shared" si="22"/>
        <v>302.82195373285214</v>
      </c>
      <c r="FI42" s="59">
        <f t="shared" si="23"/>
        <v>553.46824305741495</v>
      </c>
      <c r="FJ42" s="59">
        <f ca="1">AVERAGE(OFFSET($FI$3,0,0,'Données projet'!$E$16+1,1))-AVERAGE(OFFSET($H$3,0,0,'Données projet'!$E$16+1,1))</f>
        <v>329.49463758169588</v>
      </c>
      <c r="FK42" s="59">
        <f t="shared" si="48"/>
        <v>207.1447698203379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25.8</v>
      </c>
      <c r="FZ42" s="12">
        <f>IF('Données projet'!$A$244&gt;35,FZ41+FY42-GH41,IF(A42&lt;'Données projet'!$A$244,$FW$205^A42,IF(A42='Données projet'!$A$244,'Données projet'!$B$244,FZ41+FY42-GH41)))</f>
        <v>441.20000000000022</v>
      </c>
      <c r="GA42" s="17">
        <f>FZ42*VLOOKUP('Données projet'!$B$17,Paramètres!$A$1:$I$89,3,0)*VLOOKUP('Données projet'!$B$17,Paramètres!$A$1:$I$89,5,0)</f>
        <v>263.83760000000018</v>
      </c>
      <c r="GB42" s="13">
        <f t="shared" si="49"/>
        <v>63.539700318692688</v>
      </c>
      <c r="GC42" s="20">
        <f t="shared" si="25"/>
        <v>570.18213138839008</v>
      </c>
      <c r="GD42" s="59">
        <f t="shared" si="26"/>
        <v>820.82842071295295</v>
      </c>
      <c r="GE42" s="59">
        <f ca="1">AVERAGE(OFFSET($GD$3,0,0,'Données projet'!$E$17+1,1))-AVERAGE(OFFSET($H$3,0,0,'Données projet'!$E$17+1,1))</f>
        <v>577.07444926285291</v>
      </c>
      <c r="GF42" s="59">
        <f t="shared" si="50"/>
        <v>501.3762209070419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23.085360780448536</v>
      </c>
      <c r="GM42" s="21">
        <f>EXP(-LN(2)/25)*GM41+(1-EXP(-LN(2)/25))/(LN(2)/25)*Calculateur!GH42*Calculateur!GJ42*VLOOKUP('Données projet'!$B$17,Paramètres!$A$1:$I$89,3,0)*0.475*44/12</f>
        <v>50.974016815357473</v>
      </c>
      <c r="GN42" s="21">
        <f>EXP(-LN(2)/2)*GN41+(1-EXP(-LN(2)/2))/(LN(2)/2)*GH42*GK42*VLOOKUP('Données projet'!$B$17,Paramètres!$A$1:$I$89,3,0)*0.475*44/12</f>
        <v>3.4713313457854929E-3</v>
      </c>
      <c r="GO42" s="21">
        <f t="shared" si="27"/>
        <v>74.062848927151791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58.358078906698957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-5.6843418860808015E-14</v>
      </c>
      <c r="GV42" s="17">
        <f>GU42*VLOOKUP('Données projet'!$B$18,Paramètres!$A$1:$I$89,3,0)*VLOOKUP('Données projet'!$B$18,Paramètres!$A$1:$I$89,5,0)</f>
        <v>-3.0061073630349716E-14</v>
      </c>
      <c r="GW42" s="13" t="e">
        <f t="shared" si="51"/>
        <v>#NUM!</v>
      </c>
      <c r="GX42" s="20" t="e">
        <f t="shared" si="28"/>
        <v>#NUM!</v>
      </c>
      <c r="GY42" s="59" t="e">
        <f t="shared" si="29"/>
        <v>#NUM!</v>
      </c>
      <c r="GZ42" s="59">
        <f ca="1">AVERAGE(OFFSET($GY$3,0,0,'Données projet'!$E$18+1,1))-AVERAGE(OFFSET($H$3,0,0,'Données projet'!$E$18+1,1))</f>
        <v>212.75657290802619</v>
      </c>
      <c r="HA42" s="59">
        <f t="shared" si="52"/>
        <v>411.47446316045978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64.319984811109876</v>
      </c>
      <c r="HH42" s="21">
        <f>EXP(-LN(2)/25)*HH41+(1-EXP(-LN(2)/25))/(LN(2)/25)*Calculateur!HC42*Calculateur!HE42*VLOOKUP('Données projet'!$B$18,Paramètres!$A$1:$I$89,3,0)*0.475*44/12</f>
        <v>15.515150850276326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79.835135661386204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4.60745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16.893983333333335</v>
      </c>
      <c r="H43" s="66">
        <f t="shared" si="1"/>
        <v>189.09073333333333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196.01833333333343</v>
      </c>
      <c r="O43" s="13">
        <f>N43*VLOOKUP('Données projet'!$B$9,Paramètres!$A$1:$I$89,3,0)*VLOOKUP('Données projet'!$B$9,Paramètres!$A$1:$I$89,5,0)</f>
        <v>177.35738800000007</v>
      </c>
      <c r="P43" s="13">
        <f t="shared" si="33"/>
        <v>44.733748562033469</v>
      </c>
      <c r="Q43" s="20">
        <f t="shared" si="53"/>
        <v>386.8087295122084</v>
      </c>
      <c r="R43" s="59">
        <f t="shared" si="0"/>
        <v>638.19554361639007</v>
      </c>
      <c r="S43" s="59">
        <f ca="1">AVERAGE(OFFSET($R$3,0,0,'Données projet'!$E$9+1,1))-AVERAGE(OFFSET($H$3,0,0,'Données projet'!$E$9+1,1))</f>
        <v>564.49981446852132</v>
      </c>
      <c r="T43" s="59">
        <f t="shared" si="34"/>
        <v>297.54722913785406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12.86166666666667</v>
      </c>
      <c r="AI43" s="13">
        <f>IF('Données projet'!$A$62&gt;35,AI42+AH43-AQ42,IF(A43&lt;'Données projet'!$A$62,$AF$205^A43,IF(A43='Données projet'!$A$62,'Données projet'!$B$62,AI42+AH43-AQ42)))</f>
        <v>196.01833333333337</v>
      </c>
      <c r="AJ43" s="13">
        <f>AI43*VLOOKUP('Données projet'!$B$10,Paramètres!$A$1:$I$89,3,0)*VLOOKUP('Données projet'!$B$10,Paramètres!$A$1:$I$89,5,0)</f>
        <v>198.76259000000005</v>
      </c>
      <c r="AK43" s="13">
        <f t="shared" si="35"/>
        <v>49.47212431008991</v>
      </c>
      <c r="AL43" s="20">
        <f t="shared" si="4"/>
        <v>432.34212742340668</v>
      </c>
      <c r="AM43" s="59">
        <f t="shared" si="5"/>
        <v>683.7289415275884</v>
      </c>
      <c r="AN43" s="59">
        <f ca="1">AVERAGE(OFFSET($AM$3,0,0,'Données projet'!$E$10+1,1))-AVERAGE(OFFSET($H$3,0,0,'Données projet'!$E$10+1,1))</f>
        <v>623.16549611107564</v>
      </c>
      <c r="AO43" s="59">
        <f t="shared" si="36"/>
        <v>326.15178903425885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30.376215157074721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30.376215157074721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155.75040000000001</v>
      </c>
      <c r="BF43" s="13">
        <f t="shared" si="37"/>
        <v>39.882509755133754</v>
      </c>
      <c r="BG43" s="20">
        <f t="shared" si="7"/>
        <v>340.72731782352463</v>
      </c>
      <c r="BH43" s="59">
        <f t="shared" si="8"/>
        <v>592.11413192770624</v>
      </c>
      <c r="BI43" s="59">
        <f ca="1">AVERAGE(OFFSET($BH$3,0,0,'Données projet'!$E$11+1,1))-AVERAGE(OFFSET($H$3,0,0,'Données projet'!$E$11+1,1))</f>
        <v>326.2912419133811</v>
      </c>
      <c r="BJ43" s="59">
        <f t="shared" si="38"/>
        <v>315.07976787459938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25.36114634737784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25.36114634737784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185</v>
      </c>
      <c r="BW43" s="12">
        <f>VLOOKUP(A43,'Données projet'!$A$113:$I$133,9,0)</f>
        <v>8.8000000000000007</v>
      </c>
      <c r="BX43" s="12">
        <f t="array" ref="BX43">INDEX(BW:BW,MIN(IF(ISNUMBER(BW43:BW239),ROW(BW43:BW239),"")))</f>
        <v>8.8000000000000007</v>
      </c>
      <c r="BY43" s="12">
        <f>IF('Données projet'!$A$114&gt;35,BY42+BX43-CG42,IF(A43&lt;'Données projet'!$A$114,$BV$205^A43,IF(A43='Données projet'!$A$114,'Données projet'!$B$114,BY42+BX43-CG42)))</f>
        <v>185.00000000000003</v>
      </c>
      <c r="BZ43" s="13">
        <f>BY43*VLOOKUP('Données projet'!$B$12,Paramètres!$A$1:$I$89,3,0)*VLOOKUP('Données projet'!$B$12,Paramètres!$A$1:$I$89,5,0)</f>
        <v>118.32600000000002</v>
      </c>
      <c r="CA43" s="13">
        <f t="shared" si="39"/>
        <v>31.284247637844491</v>
      </c>
      <c r="CB43" s="20">
        <f t="shared" si="10"/>
        <v>260.57118130257919</v>
      </c>
      <c r="CC43" s="59">
        <f t="shared" si="11"/>
        <v>511.95799540676086</v>
      </c>
      <c r="CD43" s="59">
        <f ca="1">AVERAGE(OFFSET($CC$3,0,0,'Données projet'!$E$12+1,1))-AVERAGE(OFFSET($H$3,0,0,'Données projet'!$E$12+1,1))</f>
        <v>297.03992602744393</v>
      </c>
      <c r="CE43" s="59">
        <f t="shared" si="40"/>
        <v>265.2588848922893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15.64399656958237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15.64399656958237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209.24279999999996</v>
      </c>
      <c r="CV43" s="13">
        <f t="shared" si="41"/>
        <v>51.770083677016814</v>
      </c>
      <c r="CW43" s="20">
        <f t="shared" si="13"/>
        <v>454.59743907080411</v>
      </c>
      <c r="CX43" s="59">
        <f t="shared" si="14"/>
        <v>705.98425317498572</v>
      </c>
      <c r="CY43" s="59">
        <f ca="1">AVERAGE(OFFSET($CX$3,0,0,'Données projet'!$E$13+1,1))-AVERAGE(OFFSET($H$3,0,0,'Données projet'!$E$13+1,1))</f>
        <v>427.42918901489531</v>
      </c>
      <c r="CZ43" s="59">
        <f t="shared" si="42"/>
        <v>410.68601510655412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0.53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36.377865023821677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36.377865023821677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12.86166666666667</v>
      </c>
      <c r="DO43" s="12">
        <f>IF('Données projet'!$A$166&gt;35,DO42+DN43-DW42,IF(A43&lt;'Données projet'!$A$166,$DL$205^A43,IF(A43='Données projet'!$A$166,'Données projet'!$B$166,DO42+DN43-DW42)))</f>
        <v>196.01833333333337</v>
      </c>
      <c r="DP43" s="17">
        <f>DO43*VLOOKUP('Données projet'!$B$14,Paramètres!$A$1:$I$89,3,0)*VLOOKUP('Données projet'!$B$14,Paramètres!$A$1:$I$89,5,0)</f>
        <v>189.58893200000003</v>
      </c>
      <c r="DQ43" s="13">
        <f t="shared" si="43"/>
        <v>47.449060100169767</v>
      </c>
      <c r="DR43" s="20">
        <f t="shared" si="16"/>
        <v>412.84116957446236</v>
      </c>
      <c r="DS43" s="59">
        <f t="shared" si="17"/>
        <v>664.22798367864402</v>
      </c>
      <c r="DT43" s="59">
        <f ca="1">AVERAGE(OFFSET($DS$3,0,0,'Données projet'!$E$14+1,1))-AVERAGE(OFFSET($H$3,0,0,'Données projet'!$E$14+1,1))</f>
        <v>598.03945725240396</v>
      </c>
      <c r="DU43" s="59">
        <f t="shared" si="44"/>
        <v>313.9014686755695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28.974235995978962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28.974235995978962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12.86166666666667</v>
      </c>
      <c r="EJ43" s="12">
        <f>IF('Données projet'!$A$192&gt;35,EJ42+EI43-ER42,IF(A43&lt;'Données projet'!$A$192,$EG$205^A43,IF(A43='Données projet'!$A$192,'Données projet'!$B$192,EJ42+EI43-ER42)))</f>
        <v>196.01833333333343</v>
      </c>
      <c r="EK43" s="17">
        <f>EJ43*VLOOKUP('Données projet'!$B$15,Paramètres!$A$1:$I$89,3,0)*VLOOKUP('Données projet'!$B$15,Paramètres!$A$1:$I$89,5,0)</f>
        <v>131.48909800000007</v>
      </c>
      <c r="EL43" s="13">
        <f t="shared" si="45"/>
        <v>34.340217742931678</v>
      </c>
      <c r="EM43" s="20">
        <f t="shared" si="19"/>
        <v>288.81939158560613</v>
      </c>
      <c r="EN43" s="59">
        <f t="shared" si="20"/>
        <v>540.20620568978779</v>
      </c>
      <c r="EO43" s="59">
        <f ca="1">AVERAGE(OFFSET($EN$3,0,0,'Données projet'!$E$15+1,1))-AVERAGE(OFFSET($H$3,0,0,'Données projet'!$E$15+1,1))</f>
        <v>438.27475674276604</v>
      </c>
      <c r="EP43" s="59">
        <f t="shared" si="46"/>
        <v>235.97720136798864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24.768298512691693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24.768298512691693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16.511666666666667</v>
      </c>
      <c r="FE43" s="12">
        <f>IF('Données projet'!$A$218&gt;35,FE42+FD43-FM42,IF(A43&lt;'Données projet'!$A$218,$FB$205^A43,IF(A43='Données projet'!$A$218,'Données projet'!$B$218,FE42+FD43-FM42)))</f>
        <v>311.43666666666655</v>
      </c>
      <c r="FF43" s="17">
        <f>FE43*VLOOKUP('Données projet'!$B$16,Paramètres!$A$1:$I$89,3,0)*VLOOKUP('Données projet'!$B$16,Paramètres!$A$1:$I$89,5,0)</f>
        <v>145.75235999999995</v>
      </c>
      <c r="FG43" s="13">
        <f t="shared" si="47"/>
        <v>37.611686286811327</v>
      </c>
      <c r="FH43" s="20">
        <f t="shared" si="22"/>
        <v>319.359047282863</v>
      </c>
      <c r="FI43" s="59">
        <f t="shared" si="23"/>
        <v>570.74586138704467</v>
      </c>
      <c r="FJ43" s="59">
        <f ca="1">AVERAGE(OFFSET($FI$3,0,0,'Données projet'!$E$16+1,1))-AVERAGE(OFFSET($H$3,0,0,'Données projet'!$E$16+1,1))</f>
        <v>329.49463758169588</v>
      </c>
      <c r="FK43" s="59">
        <f t="shared" si="48"/>
        <v>207.1447698203379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467</v>
      </c>
      <c r="FX43" s="12">
        <f>VLOOKUP(A43,'Données projet'!$A$243:$I$263,9,0)</f>
        <v>25.8</v>
      </c>
      <c r="FY43" s="12">
        <f t="array" ref="FY43">INDEX(FX:FX,MIN(IF(ISNUMBER(FX43:FX239),ROW(FX43:FX239),"")))</f>
        <v>25.8</v>
      </c>
      <c r="FZ43" s="12">
        <f>IF('Données projet'!$A$244&gt;35,FZ42+FY43-GH42,IF(A43&lt;'Données projet'!$A$244,$FW$205^A43,IF(A43='Données projet'!$A$244,'Données projet'!$B$244,FZ42+FY43-GH42)))</f>
        <v>467.00000000000023</v>
      </c>
      <c r="GA43" s="17">
        <f>FZ43*VLOOKUP('Données projet'!$B$17,Paramètres!$A$1:$I$89,3,0)*VLOOKUP('Données projet'!$B$17,Paramètres!$A$1:$I$89,5,0)</f>
        <v>279.26600000000013</v>
      </c>
      <c r="GB43" s="13">
        <f t="shared" si="49"/>
        <v>66.811869892488943</v>
      </c>
      <c r="GC43" s="20">
        <f t="shared" si="25"/>
        <v>602.75229006275174</v>
      </c>
      <c r="GD43" s="59">
        <f t="shared" si="26"/>
        <v>854.13910416693341</v>
      </c>
      <c r="GE43" s="59">
        <f ca="1">AVERAGE(OFFSET($GD$3,0,0,'Données projet'!$E$17+1,1))-AVERAGE(OFFSET($H$3,0,0,'Données projet'!$E$17+1,1))</f>
        <v>577.07444926285291</v>
      </c>
      <c r="GF43" s="59">
        <f t="shared" si="50"/>
        <v>501.3762209070419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70</v>
      </c>
      <c r="GI43" s="16">
        <f>IF(ISNA(VLOOKUP(A43,'Données projet'!$A$243:$I$263,5,0)),0%,VLOOKUP(A43,'Données projet'!$A$243:$I$263,5,0)*VLOOKUP('Données projet'!$B$17,Paramètres!$A$1:$I$89,7,0))</f>
        <v>0.45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47.621165583338282</v>
      </c>
      <c r="GM43" s="21">
        <f>EXP(-LN(2)/25)*GM42+(1-EXP(-LN(2)/25))/(LN(2)/25)*Calculateur!GH43*Calculateur!GJ43*VLOOKUP('Données projet'!$B$17,Paramètres!$A$1:$I$89,3,0)*0.475*44/12</f>
        <v>49.58012964493448</v>
      </c>
      <c r="GN43" s="21">
        <f>EXP(-LN(2)/2)*GN42+(1-EXP(-LN(2)/2))/(LN(2)/2)*GH43*GK43*VLOOKUP('Données projet'!$B$17,Paramètres!$A$1:$I$89,3,0)*0.475*44/12</f>
        <v>2.4546019343503461E-3</v>
      </c>
      <c r="GO43" s="21">
        <f t="shared" si="27"/>
        <v>97.203749830207101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58.560040210231357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-5.6843418860808015E-14</v>
      </c>
      <c r="GV43" s="17">
        <f>GU43*VLOOKUP('Données projet'!$B$18,Paramètres!$A$1:$I$89,3,0)*VLOOKUP('Données projet'!$B$18,Paramètres!$A$1:$I$89,5,0)</f>
        <v>-3.0061073630349716E-14</v>
      </c>
      <c r="GW43" s="13" t="e">
        <f t="shared" si="51"/>
        <v>#NUM!</v>
      </c>
      <c r="GX43" s="20" t="e">
        <f t="shared" si="28"/>
        <v>#NUM!</v>
      </c>
      <c r="GY43" s="59" t="e">
        <f t="shared" si="29"/>
        <v>#NUM!</v>
      </c>
      <c r="GZ43" s="59">
        <f ca="1">AVERAGE(OFFSET($GY$3,0,0,'Données projet'!$E$18+1,1))-AVERAGE(OFFSET($H$3,0,0,'Données projet'!$E$18+1,1))</f>
        <v>212.75657290802619</v>
      </c>
      <c r="HA43" s="59">
        <f t="shared" si="52"/>
        <v>411.47446316045978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63.058709140280975</v>
      </c>
      <c r="HH43" s="21">
        <f>EXP(-LN(2)/25)*HH42+(1-EXP(-LN(2)/25))/(LN(2)/25)*Calculateur!HC43*Calculateur!HE43*VLOOKUP('Données projet'!$B$18,Paramètres!$A$1:$I$89,3,0)*0.475*44/12</f>
        <v>15.090888234369197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78.14959737465017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4.60745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16.893983333333335</v>
      </c>
      <c r="H44" s="66">
        <f t="shared" si="1"/>
        <v>189.09073333333333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208.88000000000011</v>
      </c>
      <c r="O44" s="13">
        <f>N44*VLOOKUP('Données projet'!$B$9,Paramètres!$A$1:$I$89,3,0)*VLOOKUP('Données projet'!$B$9,Paramètres!$A$1:$I$89,5,0)</f>
        <v>188.9946240000001</v>
      </c>
      <c r="P44" s="13">
        <f t="shared" si="33"/>
        <v>47.317609904825126</v>
      </c>
      <c r="Q44" s="20">
        <f t="shared" si="53"/>
        <v>411.57714071757056</v>
      </c>
      <c r="R44" s="59">
        <f t="shared" si="0"/>
        <v>663.6916331520099</v>
      </c>
      <c r="S44" s="59">
        <f ca="1">AVERAGE(OFFSET($R$3,0,0,'Données projet'!$E$9+1,1))-AVERAGE(OFFSET($H$3,0,0,'Données projet'!$E$9+1,1))</f>
        <v>564.49981446852132</v>
      </c>
      <c r="T44" s="59">
        <f t="shared" si="34"/>
        <v>297.54722913785406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208.88</v>
      </c>
      <c r="AG44" s="12">
        <f>VLOOKUP(A44,'Données projet'!$A$61:$I$81,9,0)</f>
        <v>12.86166666666667</v>
      </c>
      <c r="AH44" s="12">
        <f t="array" ref="AH44">INDEX(AG:AG,MIN(IF(ISNUMBER(AG44:AG240),ROW(AG44:AG240),"")))</f>
        <v>12.86166666666667</v>
      </c>
      <c r="AI44" s="13">
        <f>IF('Données projet'!$A$62&gt;35,AI43+AH44-AQ43,IF(A44&lt;'Données projet'!$A$62,$AF$205^A44,IF(A44='Données projet'!$A$62,'Données projet'!$B$62,AI43+AH44-AQ43)))</f>
        <v>208.88000000000005</v>
      </c>
      <c r="AJ44" s="13">
        <f>AI44*VLOOKUP('Données projet'!$B$10,Paramètres!$A$1:$I$89,3,0)*VLOOKUP('Données projet'!$B$10,Paramètres!$A$1:$I$89,5,0)</f>
        <v>211.80432000000008</v>
      </c>
      <c r="AK44" s="13">
        <f t="shared" si="35"/>
        <v>52.329678475785691</v>
      </c>
      <c r="AL44" s="20">
        <f t="shared" si="4"/>
        <v>460.03338067866019</v>
      </c>
      <c r="AM44" s="59">
        <f t="shared" si="5"/>
        <v>712.14787311309965</v>
      </c>
      <c r="AN44" s="59">
        <f ca="1">AVERAGE(OFFSET($AM$3,0,0,'Données projet'!$E$10+1,1))-AVERAGE(OFFSET($H$3,0,0,'Données projet'!$E$10+1,1))</f>
        <v>623.16549611107564</v>
      </c>
      <c r="AO44" s="59">
        <f t="shared" si="36"/>
        <v>326.15178903425885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47.41</v>
      </c>
      <c r="AR44" s="16">
        <f>IF(ISNA(VLOOKUP(A44,'Données projet'!$A$61:$I$81,5,0)),0%,VLOOKUP(A44,'Données projet'!$A$61:$I$81,5,0)*VLOOKUP('Données projet'!$B$10,Paramètres!$A$1:$I$89,7,0))</f>
        <v>0.43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52.632517214954675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52.632517214954675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139.68863999999999</v>
      </c>
      <c r="BF44" s="13">
        <f t="shared" si="37"/>
        <v>36.22566805112433</v>
      </c>
      <c r="BG44" s="20">
        <f t="shared" si="7"/>
        <v>306.38408652237484</v>
      </c>
      <c r="BH44" s="59">
        <f t="shared" si="8"/>
        <v>558.4985789568143</v>
      </c>
      <c r="BI44" s="59">
        <f ca="1">AVERAGE(OFFSET($BH$3,0,0,'Données projet'!$E$11+1,1))-AVERAGE(OFFSET($H$3,0,0,'Données projet'!$E$11+1,1))</f>
        <v>326.2912419133811</v>
      </c>
      <c r="BJ44" s="59">
        <f t="shared" si="38"/>
        <v>315.07976787459938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24.863829736277619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24.863829736277619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</v>
      </c>
      <c r="BY44" s="12">
        <f>IF('Données projet'!$A$114&gt;35,BY43+BX44-CG43,IF(A44&lt;'Données projet'!$A$114,$BV$205^A44,IF(A44='Données projet'!$A$114,'Données projet'!$B$114,BY43+BX44-CG43)))</f>
        <v>166.00000000000003</v>
      </c>
      <c r="BZ44" s="13">
        <f>BY44*VLOOKUP('Données projet'!$B$12,Paramètres!$A$1:$I$89,3,0)*VLOOKUP('Données projet'!$B$12,Paramètres!$A$1:$I$89,5,0)</f>
        <v>106.17360000000001</v>
      </c>
      <c r="CA44" s="13">
        <f t="shared" si="39"/>
        <v>28.427605657895548</v>
      </c>
      <c r="CB44" s="20">
        <f t="shared" si="10"/>
        <v>234.43043318750142</v>
      </c>
      <c r="CC44" s="59">
        <f t="shared" si="11"/>
        <v>486.54492562194082</v>
      </c>
      <c r="CD44" s="59">
        <f ca="1">AVERAGE(OFFSET($CC$3,0,0,'Données projet'!$E$12+1,1))-AVERAGE(OFFSET($H$3,0,0,'Données projet'!$E$12+1,1))</f>
        <v>297.03992602744393</v>
      </c>
      <c r="CE44" s="59">
        <f t="shared" si="40"/>
        <v>265.2588848922893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15.337227338748583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15.337227338748583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234.39999999999992</v>
      </c>
      <c r="CU44" s="17">
        <f>CT44*VLOOKUP('Données projet'!$B$13,Paramètres!$A$1:$I$89,3,0)*VLOOKUP('Données projet'!$B$13,Paramètres!$A$1:$I$89,5,0)</f>
        <v>186.48863999999995</v>
      </c>
      <c r="CV44" s="13">
        <f t="shared" si="41"/>
        <v>46.762800221578807</v>
      </c>
      <c r="CW44" s="20">
        <f t="shared" si="13"/>
        <v>406.24625838591629</v>
      </c>
      <c r="CX44" s="59">
        <f t="shared" si="14"/>
        <v>658.36075082035563</v>
      </c>
      <c r="CY44" s="59">
        <f ca="1">AVERAGE(OFFSET($CX$3,0,0,'Données projet'!$E$13+1,1))-AVERAGE(OFFSET($H$3,0,0,'Données projet'!$E$13+1,1))</f>
        <v>427.42918901489531</v>
      </c>
      <c r="CZ44" s="59">
        <f t="shared" si="42"/>
        <v>410.68601510655412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35.664517279011285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35.664517279011285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208.88</v>
      </c>
      <c r="DM44" s="12">
        <f>VLOOKUP(A44,'Données projet'!$A$165:$I$185,9,0)</f>
        <v>12.86166666666667</v>
      </c>
      <c r="DN44" s="12">
        <f t="array" ref="DN44">INDEX(DM:DM,MIN(IF(ISNUMBER(DM44:DM240),ROW(DM44:DM240),"")))</f>
        <v>12.86166666666667</v>
      </c>
      <c r="DO44" s="12">
        <f>IF('Données projet'!$A$166&gt;35,DO43+DN44-DW43,IF(A44&lt;'Données projet'!$A$166,$DL$205^A44,IF(A44='Données projet'!$A$166,'Données projet'!$B$166,DO43+DN44-DW43)))</f>
        <v>208.88000000000005</v>
      </c>
      <c r="DP44" s="17">
        <f>DO44*VLOOKUP('Données projet'!$B$14,Paramètres!$A$1:$I$89,3,0)*VLOOKUP('Données projet'!$B$14,Paramètres!$A$1:$I$89,5,0)</f>
        <v>202.02873600000007</v>
      </c>
      <c r="DQ44" s="13">
        <f t="shared" si="43"/>
        <v>50.189760266949065</v>
      </c>
      <c r="DR44" s="20">
        <f t="shared" si="16"/>
        <v>439.28054766493636</v>
      </c>
      <c r="DS44" s="59">
        <f t="shared" si="17"/>
        <v>691.39504009937582</v>
      </c>
      <c r="DT44" s="59">
        <f ca="1">AVERAGE(OFFSET($DS$3,0,0,'Données projet'!$E$14+1,1))-AVERAGE(OFFSET($H$3,0,0,'Données projet'!$E$14+1,1))</f>
        <v>598.03945725240396</v>
      </c>
      <c r="DU44" s="59">
        <f t="shared" si="44"/>
        <v>313.9014686755695</v>
      </c>
      <c r="DV44" s="15">
        <f>IF(ISNA(VLOOKUP(A44,'Données projet'!$A$165:$I$185,3,0)),0,VLOOKUP(A44,'Données projet'!$A$165:$I$185,3,0))</f>
        <v>2</v>
      </c>
      <c r="DW44" s="15">
        <f>IF(ISNA(VLOOKUP(A44,'Données projet'!$A$165:$I$185,4,0)),0,VLOOKUP(A44,'Données projet'!$A$165:$I$185,4,0))</f>
        <v>47.41</v>
      </c>
      <c r="DX44" s="16">
        <f>IF(ISNA(VLOOKUP(A44,'Données projet'!$A$165:$I$185,5,0)),0%,VLOOKUP(A44,'Données projet'!$A$165:$I$185,5,0)*VLOOKUP('Données projet'!$B$14,Paramètres!$A$1:$I$89,7,0))</f>
        <v>0.43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50.203324112725994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50.203324112725994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>
        <f>VLOOKUP(A44,'Données projet'!$A$191:$I$211,2,0)</f>
        <v>208.88</v>
      </c>
      <c r="EH44" s="12">
        <f>VLOOKUP(A44,'Données projet'!$A$191:$I$211,9,0)</f>
        <v>12.86166666666667</v>
      </c>
      <c r="EI44" s="12">
        <f t="array" ref="EI44">INDEX(EH:EH,MIN(IF(ISNUMBER(EH44:EH240),ROW(EH44:EH240),"")))</f>
        <v>12.86166666666667</v>
      </c>
      <c r="EJ44" s="12">
        <f>IF('Données projet'!$A$192&gt;35,EJ43+EI44-ER43,IF(A44&lt;'Données projet'!$A$192,$EG$205^A44,IF(A44='Données projet'!$A$192,'Données projet'!$B$192,EJ43+EI44-ER43)))</f>
        <v>208.88000000000011</v>
      </c>
      <c r="EK44" s="17">
        <f>EJ44*VLOOKUP('Données projet'!$B$15,Paramètres!$A$1:$I$89,3,0)*VLOOKUP('Données projet'!$B$15,Paramètres!$A$1:$I$89,5,0)</f>
        <v>140.11670400000006</v>
      </c>
      <c r="EL44" s="13">
        <f t="shared" si="45"/>
        <v>36.323739445924353</v>
      </c>
      <c r="EM44" s="20">
        <f t="shared" si="19"/>
        <v>307.30043900165168</v>
      </c>
      <c r="EN44" s="59">
        <f t="shared" si="20"/>
        <v>559.41493143609114</v>
      </c>
      <c r="EO44" s="59">
        <f ca="1">AVERAGE(OFFSET($EN$3,0,0,'Données projet'!$E$15+1,1))-AVERAGE(OFFSET($H$3,0,0,'Données projet'!$E$15+1,1))</f>
        <v>438.27475674276604</v>
      </c>
      <c r="EP44" s="59">
        <f t="shared" si="46"/>
        <v>235.97720136798864</v>
      </c>
      <c r="EQ44" s="15">
        <f>IF(ISNA(VLOOKUP(A44,'Données projet'!$A$191:$I$211,3,0)),0,VLOOKUP(A44,'Données projet'!$A$191:$I$211,3,0))</f>
        <v>2</v>
      </c>
      <c r="ER44" s="15">
        <f>IF(ISNA(VLOOKUP(A44,'Données projet'!$A$191:$I$211,4,0)),0,VLOOKUP(A44,'Données projet'!$A$191:$I$211,4,0))</f>
        <v>47.41</v>
      </c>
      <c r="ES44" s="16">
        <f>IF(ISNA(VLOOKUP(A44,'Données projet'!$A$191:$I$211,5,0)),0%,VLOOKUP(A44,'Données projet'!$A$191:$I$211,5,0)*VLOOKUP('Données projet'!$B$15,Paramètres!$A$1:$I$89,7,0))</f>
        <v>0.53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42.915744806039967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42.915744806039967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16.511666666666667</v>
      </c>
      <c r="FE44" s="12">
        <f>IF('Données projet'!$A$218&gt;35,FE43+FD44-FM43,IF(A44&lt;'Données projet'!$A$218,$FB$205^A44,IF(A44='Données projet'!$A$218,'Données projet'!$B$218,FE43+FD44-FM43)))</f>
        <v>327.94833333333321</v>
      </c>
      <c r="FF44" s="17">
        <f>FE44*VLOOKUP('Données projet'!$B$16,Paramètres!$A$1:$I$89,3,0)*VLOOKUP('Données projet'!$B$16,Paramètres!$A$1:$I$89,5,0)</f>
        <v>153.47981999999993</v>
      </c>
      <c r="FG44" s="13">
        <f t="shared" si="47"/>
        <v>39.368328592132521</v>
      </c>
      <c r="FH44" s="20">
        <f t="shared" si="22"/>
        <v>335.87719213129731</v>
      </c>
      <c r="FI44" s="59">
        <f t="shared" si="23"/>
        <v>587.9916845657367</v>
      </c>
      <c r="FJ44" s="59">
        <f ca="1">AVERAGE(OFFSET($FI$3,0,0,'Données projet'!$E$16+1,1))-AVERAGE(OFFSET($H$3,0,0,'Données projet'!$E$16+1,1))</f>
        <v>329.49463758169588</v>
      </c>
      <c r="FK44" s="59">
        <f t="shared" si="48"/>
        <v>207.1447698203379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24.2</v>
      </c>
      <c r="FZ44" s="12">
        <f>IF('Données projet'!$A$244&gt;35,FZ43+FY44-GH43,IF(A44&lt;'Données projet'!$A$244,$FW$205^A44,IF(A44='Données projet'!$A$244,'Données projet'!$B$244,FZ43+FY44-GH43)))</f>
        <v>421.20000000000022</v>
      </c>
      <c r="GA44" s="17">
        <f>FZ44*VLOOKUP('Données projet'!$B$17,Paramètres!$A$1:$I$89,3,0)*VLOOKUP('Données projet'!$B$17,Paramètres!$A$1:$I$89,5,0)</f>
        <v>251.87760000000014</v>
      </c>
      <c r="GB44" s="13">
        <f t="shared" si="49"/>
        <v>60.987825380023075</v>
      </c>
      <c r="GC44" s="20">
        <f t="shared" si="25"/>
        <v>544.90728253687382</v>
      </c>
      <c r="GD44" s="59">
        <f t="shared" si="26"/>
        <v>797.02177497131322</v>
      </c>
      <c r="GE44" s="59">
        <f ca="1">AVERAGE(OFFSET($GD$3,0,0,'Données projet'!$E$17+1,1))-AVERAGE(OFFSET($H$3,0,0,'Données projet'!$E$17+1,1))</f>
        <v>577.07444926285291</v>
      </c>
      <c r="GF44" s="59">
        <f t="shared" si="50"/>
        <v>501.3762209070419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46.687343572291965</v>
      </c>
      <c r="GM44" s="21">
        <f>EXP(-LN(2)/25)*GM43+(1-EXP(-LN(2)/25))/(LN(2)/25)*Calculateur!GH44*Calculateur!GJ44*VLOOKUP('Données projet'!$B$17,Paramètres!$A$1:$I$89,3,0)*0.475*44/12</f>
        <v>48.224358392488043</v>
      </c>
      <c r="GN44" s="21">
        <f>EXP(-LN(2)/2)*GN43+(1-EXP(-LN(2)/2))/(LN(2)/2)*GH44*GK44*VLOOKUP('Données projet'!$B$17,Paramètres!$A$1:$I$89,3,0)*0.475*44/12</f>
        <v>1.7356656728927465E-3</v>
      </c>
      <c r="GO44" s="21">
        <f t="shared" si="27"/>
        <v>94.913437630452904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58.7584979366653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-5.6843418860808015E-14</v>
      </c>
      <c r="GV44" s="17">
        <f>GU44*VLOOKUP('Données projet'!$B$18,Paramètres!$A$1:$I$89,3,0)*VLOOKUP('Données projet'!$B$18,Paramètres!$A$1:$I$89,5,0)</f>
        <v>-3.0061073630349716E-14</v>
      </c>
      <c r="GW44" s="13" t="e">
        <f t="shared" si="51"/>
        <v>#NUM!</v>
      </c>
      <c r="GX44" s="20" t="e">
        <f t="shared" si="28"/>
        <v>#NUM!</v>
      </c>
      <c r="GY44" s="59" t="e">
        <f t="shared" si="29"/>
        <v>#NUM!</v>
      </c>
      <c r="GZ44" s="59">
        <f ca="1">AVERAGE(OFFSET($GY$3,0,0,'Données projet'!$E$18+1,1))-AVERAGE(OFFSET($H$3,0,0,'Données projet'!$E$18+1,1))</f>
        <v>212.75657290802619</v>
      </c>
      <c r="HA44" s="59">
        <f t="shared" si="52"/>
        <v>411.47446316045978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61.822166316054833</v>
      </c>
      <c r="HH44" s="21">
        <f>EXP(-LN(2)/25)*HH43+(1-EXP(-LN(2)/25))/(LN(2)/25)*Calculateur!HC44*Calculateur!HE44*VLOOKUP('Données projet'!$B$18,Paramètres!$A$1:$I$89,3,0)*0.475*44/12</f>
        <v>14.678227102005049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76.500393418059886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4.60745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16.893983333333335</v>
      </c>
      <c r="H45" s="66">
        <f t="shared" si="1"/>
        <v>189.09073333333333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174.53000000000011</v>
      </c>
      <c r="O45" s="13">
        <f>N45*VLOOKUP('Données projet'!$B$9,Paramètres!$A$1:$I$89,3,0)*VLOOKUP('Données projet'!$B$9,Paramètres!$A$1:$I$89,5,0)</f>
        <v>157.9147440000001</v>
      </c>
      <c r="P45" s="13">
        <f t="shared" si="33"/>
        <v>40.371821598059007</v>
      </c>
      <c r="Q45" s="20">
        <f t="shared" si="53"/>
        <v>345.34910174995292</v>
      </c>
      <c r="R45" s="59">
        <f t="shared" si="0"/>
        <v>598.17864892246519</v>
      </c>
      <c r="S45" s="59">
        <f ca="1">AVERAGE(OFFSET($R$3,0,0,'Données projet'!$E$9+1,1))-AVERAGE(OFFSET($H$3,0,0,'Données projet'!$E$9+1,1))</f>
        <v>564.49981446852132</v>
      </c>
      <c r="T45" s="59">
        <f t="shared" si="34"/>
        <v>297.54722913785406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13.059999999999999</v>
      </c>
      <c r="AI45" s="13">
        <f>IF('Données projet'!$A$62&gt;35,AI44+AH45-AQ44,IF(A45&lt;'Données projet'!$A$62,$AF$205^A45,IF(A45='Données projet'!$A$62,'Données projet'!$B$62,AI44+AH45-AQ44)))</f>
        <v>174.53000000000006</v>
      </c>
      <c r="AJ45" s="13">
        <f>AI45*VLOOKUP('Données projet'!$B$10,Paramètres!$A$1:$I$89,3,0)*VLOOKUP('Données projet'!$B$10,Paramètres!$A$1:$I$89,5,0)</f>
        <v>176.97342000000009</v>
      </c>
      <c r="AK45" s="13">
        <f t="shared" si="35"/>
        <v>44.648164773275532</v>
      </c>
      <c r="AL45" s="20">
        <f t="shared" si="4"/>
        <v>385.99092681345502</v>
      </c>
      <c r="AM45" s="59">
        <f t="shared" si="5"/>
        <v>638.82047398596728</v>
      </c>
      <c r="AN45" s="59">
        <f ca="1">AVERAGE(OFFSET($AM$3,0,0,'Données projet'!$E$10+1,1))-AVERAGE(OFFSET($H$3,0,0,'Données projet'!$E$10+1,1))</f>
        <v>623.16549611107564</v>
      </c>
      <c r="AO45" s="59">
        <f t="shared" si="36"/>
        <v>326.15178903425885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51.600425655035039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51.600425655035039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146.34047999999999</v>
      </c>
      <c r="BF45" s="13">
        <f t="shared" si="37"/>
        <v>37.745754868861937</v>
      </c>
      <c r="BG45" s="20">
        <f t="shared" si="7"/>
        <v>320.6168590632679</v>
      </c>
      <c r="BH45" s="59">
        <f t="shared" si="8"/>
        <v>573.44640623578016</v>
      </c>
      <c r="BI45" s="59">
        <f ca="1">AVERAGE(OFFSET($BH$3,0,0,'Données projet'!$E$11+1,1))-AVERAGE(OFFSET($H$3,0,0,'Données projet'!$E$11+1,1))</f>
        <v>326.2912419133811</v>
      </c>
      <c r="BJ45" s="59">
        <f t="shared" si="38"/>
        <v>315.07976787459938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24.376265200587891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24.376265200587891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</v>
      </c>
      <c r="BY45" s="12">
        <f>IF('Données projet'!$A$114&gt;35,BY44+BX45-CG44,IF(A45&lt;'Données projet'!$A$114,$BV$205^A45,IF(A45='Données projet'!$A$114,'Données projet'!$B$114,BY44+BX45-CG44)))</f>
        <v>174.00000000000003</v>
      </c>
      <c r="BZ45" s="13">
        <f>BY45*VLOOKUP('Données projet'!$B$12,Paramètres!$A$1:$I$89,3,0)*VLOOKUP('Données projet'!$B$12,Paramètres!$A$1:$I$89,5,0)</f>
        <v>111.29040000000001</v>
      </c>
      <c r="CA45" s="13">
        <f t="shared" si="39"/>
        <v>29.634806205918245</v>
      </c>
      <c r="CB45" s="20">
        <f t="shared" si="10"/>
        <v>245.44473414197429</v>
      </c>
      <c r="CC45" s="59">
        <f t="shared" si="11"/>
        <v>498.27428131448659</v>
      </c>
      <c r="CD45" s="59">
        <f ca="1">AVERAGE(OFFSET($CC$3,0,0,'Données projet'!$E$12+1,1))-AVERAGE(OFFSET($H$3,0,0,'Données projet'!$E$12+1,1))</f>
        <v>297.03992602744393</v>
      </c>
      <c r="CE45" s="59">
        <f t="shared" si="40"/>
        <v>265.2588848922893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15.036473665420692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15.036473665420692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245.79999999999993</v>
      </c>
      <c r="CU45" s="17">
        <f>CT45*VLOOKUP('Données projet'!$B$13,Paramètres!$A$1:$I$89,3,0)*VLOOKUP('Données projet'!$B$13,Paramètres!$A$1:$I$89,5,0)</f>
        <v>195.55847999999995</v>
      </c>
      <c r="CV45" s="13">
        <f t="shared" si="41"/>
        <v>48.766783903364477</v>
      </c>
      <c r="CW45" s="20">
        <f t="shared" si="13"/>
        <v>425.53316796502639</v>
      </c>
      <c r="CX45" s="59">
        <f t="shared" si="14"/>
        <v>678.36271513753866</v>
      </c>
      <c r="CY45" s="59">
        <f ca="1">AVERAGE(OFFSET($CX$3,0,0,'Données projet'!$E$13+1,1))-AVERAGE(OFFSET($H$3,0,0,'Données projet'!$E$13+1,1))</f>
        <v>427.42918901489531</v>
      </c>
      <c r="CZ45" s="59">
        <f t="shared" si="42"/>
        <v>410.68601510655412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34.965157848377466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34.965157848377466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13.059999999999999</v>
      </c>
      <c r="DO45" s="12">
        <f>IF('Données projet'!$A$166&gt;35,DO44+DN45-DW44,IF(A45&lt;'Données projet'!$A$166,$DL$205^A45,IF(A45='Données projet'!$A$166,'Données projet'!$B$166,DO44+DN45-DW44)))</f>
        <v>174.53000000000006</v>
      </c>
      <c r="DP45" s="17">
        <f>DO45*VLOOKUP('Données projet'!$B$14,Paramètres!$A$1:$I$89,3,0)*VLOOKUP('Données projet'!$B$14,Paramètres!$A$1:$I$89,5,0)</f>
        <v>168.80541600000006</v>
      </c>
      <c r="DQ45" s="13">
        <f t="shared" si="43"/>
        <v>42.822366802174287</v>
      </c>
      <c r="DR45" s="20">
        <f t="shared" si="16"/>
        <v>368.58505504712031</v>
      </c>
      <c r="DS45" s="59">
        <f t="shared" si="17"/>
        <v>621.41460221963257</v>
      </c>
      <c r="DT45" s="59">
        <f ca="1">AVERAGE(OFFSET($DS$3,0,0,'Données projet'!$E$14+1,1))-AVERAGE(OFFSET($H$3,0,0,'Données projet'!$E$14+1,1))</f>
        <v>598.03945725240396</v>
      </c>
      <c r="DU45" s="59">
        <f t="shared" si="44"/>
        <v>313.9014686755695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49.218867547879576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49.218867547879576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13.059999999999999</v>
      </c>
      <c r="EJ45" s="12">
        <f>IF('Données projet'!$A$192&gt;35,EJ44+EI45-ER44,IF(A45&lt;'Données projet'!$A$192,$EG$205^A45,IF(A45='Données projet'!$A$192,'Données projet'!$B$192,EJ44+EI45-ER44)))</f>
        <v>174.53000000000011</v>
      </c>
      <c r="EK45" s="17">
        <f>EJ45*VLOOKUP('Données projet'!$B$15,Paramètres!$A$1:$I$89,3,0)*VLOOKUP('Données projet'!$B$15,Paramètres!$A$1:$I$89,5,0)</f>
        <v>117.07472400000007</v>
      </c>
      <c r="EL45" s="13">
        <f t="shared" si="45"/>
        <v>30.991749829183469</v>
      </c>
      <c r="EM45" s="20">
        <f t="shared" si="19"/>
        <v>257.88244191916129</v>
      </c>
      <c r="EN45" s="59">
        <f t="shared" si="20"/>
        <v>510.71198909167356</v>
      </c>
      <c r="EO45" s="59">
        <f ca="1">AVERAGE(OFFSET($EN$3,0,0,'Données projet'!$E$15+1,1))-AVERAGE(OFFSET($H$3,0,0,'Données projet'!$E$15+1,1))</f>
        <v>438.27475674276604</v>
      </c>
      <c r="EP45" s="59">
        <f t="shared" si="46"/>
        <v>235.97720136798864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42.074193226413186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42.074193226413186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344.46</v>
      </c>
      <c r="FC45" s="12">
        <f>VLOOKUP(A45,'Données projet'!$A$217:$I$237,9,0)</f>
        <v>16.511666666666667</v>
      </c>
      <c r="FD45" s="12">
        <f t="array" ref="FD45">INDEX(FC:FC,MIN(IF(ISNUMBER(FC45:FC241),ROW(FC45:FC241),"")))</f>
        <v>16.511666666666667</v>
      </c>
      <c r="FE45" s="12">
        <f>IF('Données projet'!$A$218&gt;35,FE44+FD45-FM44,IF(A45&lt;'Données projet'!$A$218,$FB$205^A45,IF(A45='Données projet'!$A$218,'Données projet'!$B$218,FE44+FD45-FM44)))</f>
        <v>344.45999999999987</v>
      </c>
      <c r="FF45" s="17">
        <f>FE45*VLOOKUP('Données projet'!$B$16,Paramètres!$A$1:$I$89,3,0)*VLOOKUP('Données projet'!$B$16,Paramètres!$A$1:$I$89,5,0)</f>
        <v>161.20727999999994</v>
      </c>
      <c r="FG45" s="13">
        <f t="shared" si="47"/>
        <v>41.114701532674296</v>
      </c>
      <c r="FH45" s="20">
        <f t="shared" si="22"/>
        <v>352.37745116940761</v>
      </c>
      <c r="FI45" s="59">
        <f t="shared" si="23"/>
        <v>605.20699834191987</v>
      </c>
      <c r="FJ45" s="59">
        <f ca="1">AVERAGE(OFFSET($FI$3,0,0,'Données projet'!$E$16+1,1))-AVERAGE(OFFSET($H$3,0,0,'Données projet'!$E$16+1,1))</f>
        <v>329.49463758169588</v>
      </c>
      <c r="FK45" s="59">
        <f t="shared" si="48"/>
        <v>207.1447698203379</v>
      </c>
      <c r="FL45" s="15">
        <f>IF(ISNA(VLOOKUP(A45,'Données projet'!$A$217:$I$237,3,0)),0,VLOOKUP(A45,'Données projet'!$A$217:$I$237,3,0))</f>
        <v>1</v>
      </c>
      <c r="FM45" s="15">
        <f>IF(ISNA(VLOOKUP(A45,'Données projet'!$A$217:$I$237,4,0)),0,VLOOKUP(A45,'Données projet'!$A$217:$I$237,4,0))</f>
        <v>105.41</v>
      </c>
      <c r="FN45" s="16">
        <f>IF(ISNA(VLOOKUP(A45,'Données projet'!$A$217:$I$237,5,0)),0%,VLOOKUP(A45,'Données projet'!$A$217:$I$237,5,0)*VLOOKUP('Données projet'!$B$16,Paramètres!$A$1:$I$89,7,0))</f>
        <v>0.55000000000000004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35.99305519040481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35.99305519040481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24.2</v>
      </c>
      <c r="FZ45" s="12">
        <f>IF('Données projet'!$A$244&gt;35,FZ44+FY45-GH44,IF(A45&lt;'Données projet'!$A$244,$FW$205^A45,IF(A45='Données projet'!$A$244,'Données projet'!$B$244,FZ44+FY45-GH44)))</f>
        <v>445.4000000000002</v>
      </c>
      <c r="GA45" s="17">
        <f>FZ45*VLOOKUP('Données projet'!$B$17,Paramètres!$A$1:$I$89,3,0)*VLOOKUP('Données projet'!$B$17,Paramètres!$A$1:$I$89,5,0)</f>
        <v>266.34920000000017</v>
      </c>
      <c r="GB45" s="13">
        <f t="shared" si="49"/>
        <v>64.073864575037135</v>
      </c>
      <c r="GC45" s="20">
        <f t="shared" si="25"/>
        <v>575.48683746818995</v>
      </c>
      <c r="GD45" s="59">
        <f t="shared" si="26"/>
        <v>828.31638464070227</v>
      </c>
      <c r="GE45" s="59">
        <f ca="1">AVERAGE(OFFSET($GD$3,0,0,'Données projet'!$E$17+1,1))-AVERAGE(OFFSET($H$3,0,0,'Données projet'!$E$17+1,1))</f>
        <v>577.07444926285291</v>
      </c>
      <c r="GF45" s="59">
        <f t="shared" si="50"/>
        <v>501.3762209070419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45.771833241307078</v>
      </c>
      <c r="GM45" s="21">
        <f>EXP(-LN(2)/25)*GM44+(1-EXP(-LN(2)/25))/(LN(2)/25)*Calculateur!GH45*Calculateur!GJ45*VLOOKUP('Données projet'!$B$17,Paramètres!$A$1:$I$89,3,0)*0.475*44/12</f>
        <v>46.905660776236665</v>
      </c>
      <c r="GN45" s="21">
        <f>EXP(-LN(2)/2)*GN44+(1-EXP(-LN(2)/2))/(LN(2)/2)*GH45*GK45*VLOOKUP('Données projet'!$B$17,Paramètres!$A$1:$I$89,3,0)*0.475*44/12</f>
        <v>1.227300967175173E-3</v>
      </c>
      <c r="GO45" s="21">
        <f t="shared" si="27"/>
        <v>92.678721318510924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58.953512865230621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-5.6843418860808015E-14</v>
      </c>
      <c r="GV45" s="17">
        <f>GU45*VLOOKUP('Données projet'!$B$18,Paramètres!$A$1:$I$89,3,0)*VLOOKUP('Données projet'!$B$18,Paramètres!$A$1:$I$89,5,0)</f>
        <v>-3.0061073630349716E-14</v>
      </c>
      <c r="GW45" s="13" t="e">
        <f t="shared" si="51"/>
        <v>#NUM!</v>
      </c>
      <c r="GX45" s="20" t="e">
        <f t="shared" si="28"/>
        <v>#NUM!</v>
      </c>
      <c r="GY45" s="59" t="e">
        <f t="shared" si="29"/>
        <v>#NUM!</v>
      </c>
      <c r="GZ45" s="59">
        <f ca="1">AVERAGE(OFFSET($GY$3,0,0,'Données projet'!$E$18+1,1))-AVERAGE(OFFSET($H$3,0,0,'Données projet'!$E$18+1,1))</f>
        <v>212.75657290802619</v>
      </c>
      <c r="HA45" s="59">
        <f t="shared" si="52"/>
        <v>411.47446316045978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60.609871342395117</v>
      </c>
      <c r="HH45" s="21">
        <f>EXP(-LN(2)/25)*HH44+(1-EXP(-LN(2)/25))/(LN(2)/25)*Calculateur!HC45*Calculateur!HE45*VLOOKUP('Données projet'!$B$18,Paramètres!$A$1:$I$89,3,0)*0.475*44/12</f>
        <v>14.276850210006305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74.886721552401426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4.60745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16.893983333333335</v>
      </c>
      <c r="H46" s="66">
        <f t="shared" si="1"/>
        <v>189.09073333333333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187.59000000000012</v>
      </c>
      <c r="O46" s="13">
        <f>N46*VLOOKUP('Données projet'!$B$9,Paramètres!$A$1:$I$89,3,0)*VLOOKUP('Données projet'!$B$9,Paramètres!$A$1:$I$89,5,0)</f>
        <v>169.7314320000001</v>
      </c>
      <c r="P46" s="13">
        <f t="shared" si="33"/>
        <v>43.029867753624529</v>
      </c>
      <c r="Q46" s="20">
        <f t="shared" si="53"/>
        <v>370.55926373756284</v>
      </c>
      <c r="R46" s="59">
        <f t="shared" si="0"/>
        <v>624.09146104706531</v>
      </c>
      <c r="S46" s="59">
        <f ca="1">AVERAGE(OFFSET($R$3,0,0,'Données projet'!$E$9+1,1))-AVERAGE(OFFSET($H$3,0,0,'Données projet'!$E$9+1,1))</f>
        <v>564.49981446852132</v>
      </c>
      <c r="T46" s="59">
        <f t="shared" si="34"/>
        <v>297.54722913785406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13.059999999999999</v>
      </c>
      <c r="AI46" s="13">
        <f>IF('Données projet'!$A$62&gt;35,AI45+AH46-AQ45,IF(A46&lt;'Données projet'!$A$62,$AF$205^A46,IF(A46='Données projet'!$A$62,'Données projet'!$B$62,AI45+AH46-AQ45)))</f>
        <v>187.59000000000006</v>
      </c>
      <c r="AJ46" s="13">
        <f>AI46*VLOOKUP('Données projet'!$B$10,Paramètres!$A$1:$I$89,3,0)*VLOOKUP('Données projet'!$B$10,Paramètres!$A$1:$I$89,5,0)</f>
        <v>190.21626000000006</v>
      </c>
      <c r="AK46" s="13">
        <f t="shared" si="35"/>
        <v>47.587761700810915</v>
      </c>
      <c r="AL46" s="20">
        <f t="shared" si="4"/>
        <v>414.17533779557908</v>
      </c>
      <c r="AM46" s="59">
        <f t="shared" si="5"/>
        <v>667.70753510508155</v>
      </c>
      <c r="AN46" s="59">
        <f ca="1">AVERAGE(OFFSET($AM$3,0,0,'Données projet'!$E$10+1,1))-AVERAGE(OFFSET($H$3,0,0,'Données projet'!$E$10+1,1))</f>
        <v>623.16549611107564</v>
      </c>
      <c r="AO46" s="59">
        <f t="shared" si="36"/>
        <v>326.15178903425885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50.588572781091734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50.588572781091734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152.99231999999998</v>
      </c>
      <c r="BF46" s="13">
        <f t="shared" si="37"/>
        <v>39.257817366656973</v>
      </c>
      <c r="BG46" s="20">
        <f t="shared" si="7"/>
        <v>334.83565591359422</v>
      </c>
      <c r="BH46" s="59">
        <f t="shared" si="8"/>
        <v>588.36785322309674</v>
      </c>
      <c r="BI46" s="59">
        <f ca="1">AVERAGE(OFFSET($BH$3,0,0,'Données projet'!$E$11+1,1))-AVERAGE(OFFSET($H$3,0,0,'Données projet'!$E$11+1,1))</f>
        <v>326.2912419133811</v>
      </c>
      <c r="BJ46" s="59">
        <f t="shared" si="38"/>
        <v>315.07976787459938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23.898261508058038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23.898261508058038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</v>
      </c>
      <c r="BY46" s="12">
        <f>IF('Données projet'!$A$114&gt;35,BY45+BX46-CG45,IF(A46&lt;'Données projet'!$A$114,$BV$205^A46,IF(A46='Données projet'!$A$114,'Données projet'!$B$114,BY45+BX46-CG45)))</f>
        <v>182.00000000000003</v>
      </c>
      <c r="BZ46" s="13">
        <f>BY46*VLOOKUP('Données projet'!$B$12,Paramètres!$A$1:$I$89,3,0)*VLOOKUP('Données projet'!$B$12,Paramètres!$A$1:$I$89,5,0)</f>
        <v>116.40720000000002</v>
      </c>
      <c r="CA46" s="13">
        <f t="shared" si="39"/>
        <v>30.835561008615706</v>
      </c>
      <c r="CB46" s="20">
        <f t="shared" si="10"/>
        <v>256.44780875667237</v>
      </c>
      <c r="CC46" s="59">
        <f t="shared" si="11"/>
        <v>509.98000606617484</v>
      </c>
      <c r="CD46" s="59">
        <f ca="1">AVERAGE(OFFSET($CC$3,0,0,'Données projet'!$E$12+1,1))-AVERAGE(OFFSET($H$3,0,0,'Données projet'!$E$12+1,1))</f>
        <v>297.03992602744393</v>
      </c>
      <c r="CE46" s="59">
        <f t="shared" si="40"/>
        <v>265.2588848922893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14.741617588185132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14.741617588185132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257.19999999999993</v>
      </c>
      <c r="CU46" s="17">
        <f>CT46*VLOOKUP('Données projet'!$B$13,Paramètres!$A$1:$I$89,3,0)*VLOOKUP('Données projet'!$B$13,Paramètres!$A$1:$I$89,5,0)</f>
        <v>204.62831999999995</v>
      </c>
      <c r="CV46" s="13">
        <f t="shared" si="41"/>
        <v>50.759974072251445</v>
      </c>
      <c r="CW46" s="20">
        <f t="shared" si="13"/>
        <v>444.80127884250447</v>
      </c>
      <c r="CX46" s="59">
        <f t="shared" si="14"/>
        <v>698.33347615200694</v>
      </c>
      <c r="CY46" s="59">
        <f ca="1">AVERAGE(OFFSET($CX$3,0,0,'Données projet'!$E$13+1,1))-AVERAGE(OFFSET($H$3,0,0,'Données projet'!$E$13+1,1))</f>
        <v>427.42918901489531</v>
      </c>
      <c r="CZ46" s="59">
        <f t="shared" si="42"/>
        <v>410.68601510655412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34.279512429611238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34.279512429611238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13.059999999999999</v>
      </c>
      <c r="DO46" s="12">
        <f>IF('Données projet'!$A$166&gt;35,DO45+DN46-DW45,IF(A46&lt;'Données projet'!$A$166,$DL$205^A46,IF(A46='Données projet'!$A$166,'Données projet'!$B$166,DO45+DN46-DW45)))</f>
        <v>187.59000000000006</v>
      </c>
      <c r="DP46" s="17">
        <f>DO46*VLOOKUP('Données projet'!$B$14,Paramètres!$A$1:$I$89,3,0)*VLOOKUP('Données projet'!$B$14,Paramètres!$A$1:$I$89,5,0)</f>
        <v>181.43704800000006</v>
      </c>
      <c r="DQ46" s="13">
        <f t="shared" si="43"/>
        <v>45.641754755087668</v>
      </c>
      <c r="DR46" s="20">
        <f t="shared" si="16"/>
        <v>395.49558146511112</v>
      </c>
      <c r="DS46" s="59">
        <f t="shared" si="17"/>
        <v>649.02777877461358</v>
      </c>
      <c r="DT46" s="59">
        <f ca="1">AVERAGE(OFFSET($DS$3,0,0,'Données projet'!$E$14+1,1))-AVERAGE(OFFSET($H$3,0,0,'Données projet'!$E$14+1,1))</f>
        <v>598.03945725240396</v>
      </c>
      <c r="DU46" s="59">
        <f t="shared" si="44"/>
        <v>313.9014686755695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48.253715575810581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48.253715575810581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13.059999999999999</v>
      </c>
      <c r="EJ46" s="12">
        <f>IF('Données projet'!$A$192&gt;35,EJ45+EI46-ER45,IF(A46&lt;'Données projet'!$A$192,$EG$205^A46,IF(A46='Données projet'!$A$192,'Données projet'!$B$192,EJ45+EI46-ER45)))</f>
        <v>187.59000000000012</v>
      </c>
      <c r="EK46" s="17">
        <f>EJ46*VLOOKUP('Données projet'!$B$15,Paramètres!$A$1:$I$89,3,0)*VLOOKUP('Données projet'!$B$15,Paramètres!$A$1:$I$89,5,0)</f>
        <v>125.83537200000008</v>
      </c>
      <c r="EL46" s="13">
        <f t="shared" si="45"/>
        <v>33.032220093514354</v>
      </c>
      <c r="EM46" s="20">
        <f t="shared" si="19"/>
        <v>276.69438956287092</v>
      </c>
      <c r="EN46" s="59">
        <f t="shared" si="20"/>
        <v>530.22658687237345</v>
      </c>
      <c r="EO46" s="59">
        <f ca="1">AVERAGE(OFFSET($EN$3,0,0,'Données projet'!$E$15+1,1))-AVERAGE(OFFSET($H$3,0,0,'Données projet'!$E$15+1,1))</f>
        <v>438.27475674276604</v>
      </c>
      <c r="EP46" s="59">
        <f t="shared" si="46"/>
        <v>235.97720136798864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41.249143959967107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41.249143959967107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17.080000000000002</v>
      </c>
      <c r="FE46" s="12">
        <f>IF('Données projet'!$A$218&gt;35,FE45+FD46-FM45,IF(A46&lt;'Données projet'!$A$218,$FB$205^A46,IF(A46='Données projet'!$A$218,'Données projet'!$B$218,FE45+FD46-FM45)))</f>
        <v>256.12999999999988</v>
      </c>
      <c r="FF46" s="17">
        <f>FE46*VLOOKUP('Données projet'!$B$16,Paramètres!$A$1:$I$89,3,0)*VLOOKUP('Données projet'!$B$16,Paramètres!$A$1:$I$89,5,0)</f>
        <v>119.86883999999995</v>
      </c>
      <c r="FG46" s="13">
        <f t="shared" si="47"/>
        <v>31.644406431255067</v>
      </c>
      <c r="FH46" s="20">
        <f t="shared" si="22"/>
        <v>263.88557086776916</v>
      </c>
      <c r="FI46" s="59">
        <f t="shared" si="23"/>
        <v>517.41776817727168</v>
      </c>
      <c r="FJ46" s="59">
        <f ca="1">AVERAGE(OFFSET($FI$3,0,0,'Données projet'!$E$16+1,1))-AVERAGE(OFFSET($H$3,0,0,'Données projet'!$E$16+1,1))</f>
        <v>329.49463758169588</v>
      </c>
      <c r="FK46" s="59">
        <f t="shared" si="48"/>
        <v>207.1447698203379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35.287253331716897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35.287253331716897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24.2</v>
      </c>
      <c r="FZ46" s="12">
        <f>IF('Données projet'!$A$244&gt;35,FZ45+FY46-GH45,IF(A46&lt;'Données projet'!$A$244,$FW$205^A46,IF(A46='Données projet'!$A$244,'Données projet'!$B$244,FZ45+FY46-GH45)))</f>
        <v>469.60000000000019</v>
      </c>
      <c r="GA46" s="17">
        <f>FZ46*VLOOKUP('Données projet'!$B$17,Paramètres!$A$1:$I$89,3,0)*VLOOKUP('Données projet'!$B$17,Paramètres!$A$1:$I$89,5,0)</f>
        <v>280.82080000000013</v>
      </c>
      <c r="GB46" s="13">
        <f t="shared" si="49"/>
        <v>67.140437954919463</v>
      </c>
      <c r="GC46" s="20">
        <f t="shared" si="25"/>
        <v>606.03248943815163</v>
      </c>
      <c r="GD46" s="59">
        <f t="shared" si="26"/>
        <v>859.56468674765415</v>
      </c>
      <c r="GE46" s="59">
        <f ca="1">AVERAGE(OFFSET($GD$3,0,0,'Données projet'!$E$17+1,1))-AVERAGE(OFFSET($H$3,0,0,'Données projet'!$E$17+1,1))</f>
        <v>577.07444926285291</v>
      </c>
      <c r="GF46" s="59">
        <f t="shared" si="50"/>
        <v>501.3762209070419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44.874275509506646</v>
      </c>
      <c r="GM46" s="21">
        <f>EXP(-LN(2)/25)*GM45+(1-EXP(-LN(2)/25))/(LN(2)/25)*Calculateur!GH46*Calculateur!GJ46*VLOOKUP('Données projet'!$B$17,Paramètres!$A$1:$I$89,3,0)*0.475*44/12</f>
        <v>45.623023015648975</v>
      </c>
      <c r="GN46" s="21">
        <f>EXP(-LN(2)/2)*GN45+(1-EXP(-LN(2)/2))/(LN(2)/2)*GH46*GK46*VLOOKUP('Données projet'!$B$17,Paramètres!$A$1:$I$89,3,0)*0.475*44/12</f>
        <v>8.6783283644637323E-4</v>
      </c>
      <c r="GO46" s="21">
        <f t="shared" si="27"/>
        <v>90.498166357992076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59.145144720773402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-5.6843418860808015E-14</v>
      </c>
      <c r="GV46" s="17">
        <f>GU46*VLOOKUP('Données projet'!$B$18,Paramètres!$A$1:$I$89,3,0)*VLOOKUP('Données projet'!$B$18,Paramètres!$A$1:$I$89,5,0)</f>
        <v>-3.0061073630349716E-14</v>
      </c>
      <c r="GW46" s="13" t="e">
        <f t="shared" si="51"/>
        <v>#NUM!</v>
      </c>
      <c r="GX46" s="20" t="e">
        <f t="shared" si="28"/>
        <v>#NUM!</v>
      </c>
      <c r="GY46" s="59" t="e">
        <f t="shared" si="29"/>
        <v>#NUM!</v>
      </c>
      <c r="GZ46" s="59">
        <f ca="1">AVERAGE(OFFSET($GY$3,0,0,'Données projet'!$E$18+1,1))-AVERAGE(OFFSET($H$3,0,0,'Données projet'!$E$18+1,1))</f>
        <v>212.75657290802619</v>
      </c>
      <c r="HA46" s="59">
        <f t="shared" si="52"/>
        <v>411.47446316045978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59.421348733741944</v>
      </c>
      <c r="HH46" s="21">
        <f>EXP(-LN(2)/25)*HH45+(1-EXP(-LN(2)/25))/(LN(2)/25)*Calculateur!HC46*Calculateur!HE46*VLOOKUP('Données projet'!$B$18,Paramètres!$A$1:$I$89,3,0)*0.475*44/12</f>
        <v>13.886448990226761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73.307797723968704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4.60745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16.893983333333335</v>
      </c>
      <c r="H47" s="66">
        <f t="shared" si="1"/>
        <v>189.09073333333333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200.65000000000012</v>
      </c>
      <c r="O47" s="13">
        <f>N47*VLOOKUP('Données projet'!$B$9,Paramètres!$A$1:$I$89,3,0)*VLOOKUP('Données projet'!$B$9,Paramètres!$A$1:$I$89,5,0)</f>
        <v>181.5481200000001</v>
      </c>
      <c r="P47" s="13">
        <f t="shared" si="33"/>
        <v>45.666442486896024</v>
      </c>
      <c r="Q47" s="20">
        <f t="shared" si="53"/>
        <v>395.73202966467738</v>
      </c>
      <c r="R47" s="59">
        <f t="shared" si="0"/>
        <v>649.95468770218361</v>
      </c>
      <c r="S47" s="59">
        <f ca="1">AVERAGE(OFFSET($R$3,0,0,'Données projet'!$E$9+1,1))-AVERAGE(OFFSET($H$3,0,0,'Données projet'!$E$9+1,1))</f>
        <v>564.49981446852132</v>
      </c>
      <c r="T47" s="59">
        <f t="shared" si="34"/>
        <v>297.54722913785406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13.059999999999999</v>
      </c>
      <c r="AI47" s="13">
        <f>IF('Données projet'!$A$62&gt;35,AI46+AH47-AQ46,IF(A47&lt;'Données projet'!$A$62,$AF$205^A47,IF(A47='Données projet'!$A$62,'Données projet'!$B$62,AI46+AH47-AQ46)))</f>
        <v>200.65000000000006</v>
      </c>
      <c r="AJ47" s="13">
        <f>AI47*VLOOKUP('Données projet'!$B$10,Paramètres!$A$1:$I$89,3,0)*VLOOKUP('Données projet'!$B$10,Paramètres!$A$1:$I$89,5,0)</f>
        <v>203.45910000000006</v>
      </c>
      <c r="AK47" s="13">
        <f t="shared" si="35"/>
        <v>50.503612867997838</v>
      </c>
      <c r="AL47" s="20">
        <f t="shared" si="4"/>
        <v>442.31839157842973</v>
      </c>
      <c r="AM47" s="59">
        <f t="shared" si="5"/>
        <v>696.541049615936</v>
      </c>
      <c r="AN47" s="59">
        <f ca="1">AVERAGE(OFFSET($AM$3,0,0,'Données projet'!$E$10+1,1))-AVERAGE(OFFSET($H$3,0,0,'Données projet'!$E$10+1,1))</f>
        <v>623.16549611107564</v>
      </c>
      <c r="AO47" s="59">
        <f t="shared" si="36"/>
        <v>326.15178903425885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49.596561724837144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49.596561724837144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159.64415999999997</v>
      </c>
      <c r="BF47" s="13">
        <f t="shared" si="37"/>
        <v>40.762244304130796</v>
      </c>
      <c r="BG47" s="20">
        <f t="shared" si="7"/>
        <v>349.04115416302778</v>
      </c>
      <c r="BH47" s="59">
        <f t="shared" si="8"/>
        <v>603.26381220053406</v>
      </c>
      <c r="BI47" s="59">
        <f ca="1">AVERAGE(OFFSET($BH$3,0,0,'Données projet'!$E$11+1,1))-AVERAGE(OFFSET($H$3,0,0,'Données projet'!$E$11+1,1))</f>
        <v>326.2912419133811</v>
      </c>
      <c r="BJ47" s="59">
        <f t="shared" si="38"/>
        <v>315.07976787459938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23.429631176385229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23.429631176385229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</v>
      </c>
      <c r="BY47" s="12">
        <f>IF('Données projet'!$A$114&gt;35,BY46+BX47-CG46,IF(A47&lt;'Données projet'!$A$114,$BV$205^A47,IF(A47='Données projet'!$A$114,'Données projet'!$B$114,BY46+BX47-CG46)))</f>
        <v>190.00000000000003</v>
      </c>
      <c r="BZ47" s="13">
        <f>BY47*VLOOKUP('Données projet'!$B$12,Paramètres!$A$1:$I$89,3,0)*VLOOKUP('Données projet'!$B$12,Paramètres!$A$1:$I$89,5,0)</f>
        <v>121.52400000000002</v>
      </c>
      <c r="CA47" s="13">
        <f t="shared" si="39"/>
        <v>32.030185774775809</v>
      </c>
      <c r="CB47" s="20">
        <f t="shared" si="10"/>
        <v>267.44020689106782</v>
      </c>
      <c r="CC47" s="59">
        <f t="shared" si="11"/>
        <v>521.66286492857409</v>
      </c>
      <c r="CD47" s="59">
        <f ca="1">AVERAGE(OFFSET($CC$3,0,0,'Données projet'!$E$12+1,1))-AVERAGE(OFFSET($H$3,0,0,'Données projet'!$E$12+1,1))</f>
        <v>297.03992602744393</v>
      </c>
      <c r="CE47" s="59">
        <f t="shared" si="40"/>
        <v>265.2588848922893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14.452543458779713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14.452543458779713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268.59999999999991</v>
      </c>
      <c r="CU47" s="17">
        <f>CT47*VLOOKUP('Données projet'!$B$13,Paramètres!$A$1:$I$89,3,0)*VLOOKUP('Données projet'!$B$13,Paramètres!$A$1:$I$89,5,0)</f>
        <v>213.69815999999994</v>
      </c>
      <c r="CV47" s="13">
        <f t="shared" si="41"/>
        <v>52.742903801874164</v>
      </c>
      <c r="CW47" s="20">
        <f t="shared" si="13"/>
        <v>464.05151945493071</v>
      </c>
      <c r="CX47" s="59">
        <f t="shared" si="14"/>
        <v>718.27417749243693</v>
      </c>
      <c r="CY47" s="59">
        <f ca="1">AVERAGE(OFFSET($CX$3,0,0,'Données projet'!$E$13+1,1))-AVERAGE(OFFSET($H$3,0,0,'Données projet'!$E$13+1,1))</f>
        <v>427.42918901489531</v>
      </c>
      <c r="CZ47" s="59">
        <f t="shared" si="42"/>
        <v>410.68601510655412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33.607312099304608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33.607312099304608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13.059999999999999</v>
      </c>
      <c r="DO47" s="12">
        <f>IF('Données projet'!$A$166&gt;35,DO46+DN47-DW46,IF(A47&lt;'Données projet'!$A$166,$DL$205^A47,IF(A47='Données projet'!$A$166,'Données projet'!$B$166,DO46+DN47-DW46)))</f>
        <v>200.65000000000006</v>
      </c>
      <c r="DP47" s="17">
        <f>DO47*VLOOKUP('Données projet'!$B$14,Paramètres!$A$1:$I$89,3,0)*VLOOKUP('Données projet'!$B$14,Paramètres!$A$1:$I$89,5,0)</f>
        <v>194.06868000000006</v>
      </c>
      <c r="DQ47" s="13">
        <f t="shared" si="43"/>
        <v>48.438367983333151</v>
      </c>
      <c r="DR47" s="20">
        <f t="shared" si="16"/>
        <v>422.3664419043053</v>
      </c>
      <c r="DS47" s="59">
        <f t="shared" si="17"/>
        <v>676.58909994181158</v>
      </c>
      <c r="DT47" s="59">
        <f ca="1">AVERAGE(OFFSET($DS$3,0,0,'Données projet'!$E$14+1,1))-AVERAGE(OFFSET($H$3,0,0,'Données projet'!$E$14+1,1))</f>
        <v>598.03945725240396</v>
      </c>
      <c r="DU47" s="59">
        <f t="shared" si="44"/>
        <v>313.9014686755695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47.307489645229282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47.307489645229282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13.059999999999999</v>
      </c>
      <c r="EJ47" s="12">
        <f>IF('Données projet'!$A$192&gt;35,EJ46+EI47-ER46,IF(A47&lt;'Données projet'!$A$192,$EG$205^A47,IF(A47='Données projet'!$A$192,'Données projet'!$B$192,EJ46+EI47-ER46)))</f>
        <v>200.65000000000012</v>
      </c>
      <c r="EK47" s="17">
        <f>EJ47*VLOOKUP('Données projet'!$B$15,Paramètres!$A$1:$I$89,3,0)*VLOOKUP('Données projet'!$B$15,Paramètres!$A$1:$I$89,5,0)</f>
        <v>134.5960200000001</v>
      </c>
      <c r="EL47" s="13">
        <f t="shared" si="45"/>
        <v>35.05620764981095</v>
      </c>
      <c r="EM47" s="20">
        <f t="shared" si="19"/>
        <v>295.4776298234209</v>
      </c>
      <c r="EN47" s="59">
        <f t="shared" si="20"/>
        <v>549.70028786092712</v>
      </c>
      <c r="EO47" s="59">
        <f ca="1">AVERAGE(OFFSET($EN$3,0,0,'Données projet'!$E$15+1,1))-AVERAGE(OFFSET($H$3,0,0,'Données projet'!$E$15+1,1))</f>
        <v>438.27475674276604</v>
      </c>
      <c r="EP47" s="59">
        <f t="shared" si="46"/>
        <v>235.97720136798864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40.440273406405673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40.440273406405673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17.080000000000002</v>
      </c>
      <c r="FE47" s="12">
        <f>IF('Données projet'!$A$218&gt;35,FE46+FD47-FM46,IF(A47&lt;'Données projet'!$A$218,$FB$205^A47,IF(A47='Données projet'!$A$218,'Données projet'!$B$218,FE46+FD47-FM46)))</f>
        <v>273.20999999999987</v>
      </c>
      <c r="FF47" s="17">
        <f>FE47*VLOOKUP('Données projet'!$B$16,Paramètres!$A$1:$I$89,3,0)*VLOOKUP('Données projet'!$B$16,Paramètres!$A$1:$I$89,5,0)</f>
        <v>127.86227999999994</v>
      </c>
      <c r="FG47" s="13">
        <f t="shared" si="47"/>
        <v>33.501919343017299</v>
      </c>
      <c r="FH47" s="20">
        <f t="shared" si="22"/>
        <v>281.04264718908837</v>
      </c>
      <c r="FI47" s="59">
        <f t="shared" si="23"/>
        <v>535.26530522659459</v>
      </c>
      <c r="FJ47" s="59">
        <f ca="1">AVERAGE(OFFSET($FI$3,0,0,'Données projet'!$E$16+1,1))-AVERAGE(OFFSET($H$3,0,0,'Données projet'!$E$16+1,1))</f>
        <v>329.49463758169588</v>
      </c>
      <c r="FK47" s="59">
        <f t="shared" si="48"/>
        <v>207.1447698203379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34.595291816981231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34.595291816981231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24.2</v>
      </c>
      <c r="FZ47" s="12">
        <f>IF('Données projet'!$A$244&gt;35,FZ46+FY47-GH46,IF(A47&lt;'Données projet'!$A$244,$FW$205^A47,IF(A47='Données projet'!$A$244,'Données projet'!$B$244,FZ46+FY47-GH46)))</f>
        <v>493.80000000000018</v>
      </c>
      <c r="GA47" s="17">
        <f>FZ47*VLOOKUP('Données projet'!$B$17,Paramètres!$A$1:$I$89,3,0)*VLOOKUP('Données projet'!$B$17,Paramètres!$A$1:$I$89,5,0)</f>
        <v>295.2924000000001</v>
      </c>
      <c r="GB47" s="13">
        <f t="shared" si="49"/>
        <v>70.188663082637405</v>
      </c>
      <c r="GC47" s="20">
        <f t="shared" si="25"/>
        <v>636.54618486892696</v>
      </c>
      <c r="GD47" s="59">
        <f t="shared" si="26"/>
        <v>890.76884290643318</v>
      </c>
      <c r="GE47" s="59">
        <f ca="1">AVERAGE(OFFSET($GD$3,0,0,'Données projet'!$E$17+1,1))-AVERAGE(OFFSET($H$3,0,0,'Données projet'!$E$17+1,1))</f>
        <v>577.07444926285291</v>
      </c>
      <c r="GF47" s="59">
        <f t="shared" si="50"/>
        <v>501.3762209070419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43.994318337370657</v>
      </c>
      <c r="GM47" s="21">
        <f>EXP(-LN(2)/25)*GM46+(1-EXP(-LN(2)/25))/(LN(2)/25)*Calculateur!GH47*Calculateur!GJ47*VLOOKUP('Données projet'!$B$17,Paramètres!$A$1:$I$89,3,0)*0.475*44/12</f>
        <v>44.375459052075549</v>
      </c>
      <c r="GN47" s="21">
        <f>EXP(-LN(2)/2)*GN46+(1-EXP(-LN(2)/2))/(LN(2)/2)*GH47*GK47*VLOOKUP('Données projet'!$B$17,Paramètres!$A$1:$I$89,3,0)*0.475*44/12</f>
        <v>6.1365048358758651E-4</v>
      </c>
      <c r="GO47" s="21">
        <f t="shared" si="27"/>
        <v>88.370391039929785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59.333452192047162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-5.6843418860808015E-14</v>
      </c>
      <c r="GV47" s="17">
        <f>GU47*VLOOKUP('Données projet'!$B$18,Paramètres!$A$1:$I$89,3,0)*VLOOKUP('Données projet'!$B$18,Paramètres!$A$1:$I$89,5,0)</f>
        <v>-3.0061073630349716E-14</v>
      </c>
      <c r="GW47" s="13" t="e">
        <f t="shared" si="51"/>
        <v>#NUM!</v>
      </c>
      <c r="GX47" s="20" t="e">
        <f t="shared" si="28"/>
        <v>#NUM!</v>
      </c>
      <c r="GY47" s="59" t="e">
        <f t="shared" si="29"/>
        <v>#NUM!</v>
      </c>
      <c r="GZ47" s="59">
        <f ca="1">AVERAGE(OFFSET($GY$3,0,0,'Données projet'!$E$18+1,1))-AVERAGE(OFFSET($H$3,0,0,'Données projet'!$E$18+1,1))</f>
        <v>212.75657290802619</v>
      </c>
      <c r="HA47" s="59">
        <f t="shared" si="52"/>
        <v>411.47446316045978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58.256132328517246</v>
      </c>
      <c r="HH47" s="21">
        <f>EXP(-LN(2)/25)*HH46+(1-EXP(-LN(2)/25))/(LN(2)/25)*Calculateur!HC47*Calculateur!HE47*VLOOKUP('Données projet'!$B$18,Paramètres!$A$1:$I$89,3,0)*0.475*44/12</f>
        <v>13.506723312332396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71.762855640849637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4.60745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16.893983333333335</v>
      </c>
      <c r="H48" s="66">
        <f t="shared" si="1"/>
        <v>189.09073333333333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213.71000000000012</v>
      </c>
      <c r="O48" s="13">
        <f>N48*VLOOKUP('Données projet'!$B$9,Paramètres!$A$1:$I$89,3,0)*VLOOKUP('Données projet'!$B$9,Paramètres!$A$1:$I$89,5,0)</f>
        <v>193.3648080000001</v>
      </c>
      <c r="P48" s="13">
        <f t="shared" si="33"/>
        <v>48.283102387258907</v>
      </c>
      <c r="Q48" s="20">
        <f t="shared" si="53"/>
        <v>420.87011059114275</v>
      </c>
      <c r="R48" s="59">
        <f t="shared" si="0"/>
        <v>675.77125140666089</v>
      </c>
      <c r="S48" s="59">
        <f ca="1">AVERAGE(OFFSET($R$3,0,0,'Données projet'!$E$9+1,1))-AVERAGE(OFFSET($H$3,0,0,'Données projet'!$E$9+1,1))</f>
        <v>564.49981446852132</v>
      </c>
      <c r="T48" s="59">
        <f t="shared" si="34"/>
        <v>297.54722913785406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13.059999999999999</v>
      </c>
      <c r="AI48" s="13">
        <f>IF('Données projet'!$A$62&gt;35,AI47+AH48-AQ47,IF(A48&lt;'Données projet'!$A$62,$AF$205^A48,IF(A48='Données projet'!$A$62,'Données projet'!$B$62,AI47+AH48-AQ47)))</f>
        <v>213.71000000000006</v>
      </c>
      <c r="AJ48" s="13">
        <f>AI48*VLOOKUP('Données projet'!$B$10,Paramètres!$A$1:$I$89,3,0)*VLOOKUP('Données projet'!$B$10,Paramètres!$A$1:$I$89,5,0)</f>
        <v>216.70194000000009</v>
      </c>
      <c r="AK48" s="13">
        <f t="shared" si="35"/>
        <v>53.397439744331798</v>
      </c>
      <c r="AL48" s="20">
        <f t="shared" si="4"/>
        <v>470.42308638804462</v>
      </c>
      <c r="AM48" s="59">
        <f t="shared" si="5"/>
        <v>725.32422720356271</v>
      </c>
      <c r="AN48" s="59">
        <f ca="1">AVERAGE(OFFSET($AM$3,0,0,'Données projet'!$E$10+1,1))-AVERAGE(OFFSET($H$3,0,0,'Données projet'!$E$10+1,1))</f>
        <v>623.16549611107564</v>
      </c>
      <c r="AO48" s="59">
        <f t="shared" si="36"/>
        <v>326.15178903425885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48.624003400328711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48.624003400328711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166.29599999999996</v>
      </c>
      <c r="BF48" s="13">
        <f t="shared" si="37"/>
        <v>42.259390211399776</v>
      </c>
      <c r="BG48" s="20">
        <f t="shared" si="7"/>
        <v>363.23397128485459</v>
      </c>
      <c r="BH48" s="59">
        <f t="shared" si="8"/>
        <v>618.13511210037268</v>
      </c>
      <c r="BI48" s="59">
        <f ca="1">AVERAGE(OFFSET($BH$3,0,0,'Données projet'!$E$11+1,1))-AVERAGE(OFFSET($H$3,0,0,'Données projet'!$E$11+1,1))</f>
        <v>326.2912419133811</v>
      </c>
      <c r="BJ48" s="59">
        <f t="shared" si="38"/>
        <v>315.07976787459938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33.426383687767569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33.426383687767569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198</v>
      </c>
      <c r="BW48" s="12">
        <f>VLOOKUP(A48,'Données projet'!$A$113:$I$133,9,0)</f>
        <v>8</v>
      </c>
      <c r="BX48" s="12">
        <f t="array" ref="BX48">INDEX(BW:BW,MIN(IF(ISNUMBER(BW48:BW244),ROW(BW48:BW244),"")))</f>
        <v>8</v>
      </c>
      <c r="BY48" s="12">
        <f>IF('Données projet'!$A$114&gt;35,BY47+BX48-CG47,IF(A48&lt;'Données projet'!$A$114,$BV$205^A48,IF(A48='Données projet'!$A$114,'Données projet'!$B$114,BY47+BX48-CG47)))</f>
        <v>198.00000000000003</v>
      </c>
      <c r="BZ48" s="13">
        <f>BY48*VLOOKUP('Données projet'!$B$12,Paramètres!$A$1:$I$89,3,0)*VLOOKUP('Données projet'!$B$12,Paramètres!$A$1:$I$89,5,0)</f>
        <v>126.64080000000001</v>
      </c>
      <c r="CA48" s="13">
        <f t="shared" si="39"/>
        <v>33.218968123231406</v>
      </c>
      <c r="CB48" s="20">
        <f t="shared" si="10"/>
        <v>278.42242948129473</v>
      </c>
      <c r="CC48" s="59">
        <f t="shared" si="11"/>
        <v>533.32357029681282</v>
      </c>
      <c r="CD48" s="59">
        <f ca="1">AVERAGE(OFFSET($CC$3,0,0,'Données projet'!$E$12+1,1))-AVERAGE(OFFSET($H$3,0,0,'Données projet'!$E$12+1,1))</f>
        <v>297.03992602744393</v>
      </c>
      <c r="CE48" s="59">
        <f t="shared" si="40"/>
        <v>265.2588848922893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22.074055892831019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22.074055892831019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279.99999999999989</v>
      </c>
      <c r="CU48" s="17">
        <f>CT48*VLOOKUP('Données projet'!$B$13,Paramètres!$A$1:$I$89,3,0)*VLOOKUP('Données projet'!$B$13,Paramètres!$A$1:$I$89,5,0)</f>
        <v>222.76799999999994</v>
      </c>
      <c r="CV48" s="13">
        <f t="shared" si="41"/>
        <v>54.716058356609508</v>
      </c>
      <c r="CW48" s="20">
        <f t="shared" si="13"/>
        <v>483.28473497109485</v>
      </c>
      <c r="CX48" s="59">
        <f t="shared" si="14"/>
        <v>738.185875786613</v>
      </c>
      <c r="CY48" s="59">
        <f ca="1">AVERAGE(OFFSET($CX$3,0,0,'Données projet'!$E$13+1,1))-AVERAGE(OFFSET($H$3,0,0,'Données projet'!$E$13+1,1))</f>
        <v>427.42918901489531</v>
      </c>
      <c r="CZ48" s="59">
        <f t="shared" si="42"/>
        <v>410.68601510655412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0.53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45.067971791392978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45.067971791392978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13.059999999999999</v>
      </c>
      <c r="DO48" s="12">
        <f>IF('Données projet'!$A$166&gt;35,DO47+DN48-DW47,IF(A48&lt;'Données projet'!$A$166,$DL$205^A48,IF(A48='Données projet'!$A$166,'Données projet'!$B$166,DO47+DN48-DW47)))</f>
        <v>213.71000000000006</v>
      </c>
      <c r="DP48" s="17">
        <f>DO48*VLOOKUP('Données projet'!$B$14,Paramètres!$A$1:$I$89,3,0)*VLOOKUP('Données projet'!$B$14,Paramètres!$A$1:$I$89,5,0)</f>
        <v>206.70031200000005</v>
      </c>
      <c r="DQ48" s="13">
        <f t="shared" si="43"/>
        <v>51.213857560332166</v>
      </c>
      <c r="DR48" s="20">
        <f t="shared" si="16"/>
        <v>449.20051198424522</v>
      </c>
      <c r="DS48" s="59">
        <f t="shared" si="17"/>
        <v>704.10165279976331</v>
      </c>
      <c r="DT48" s="59">
        <f ca="1">AVERAGE(OFFSET($DS$3,0,0,'Données projet'!$E$14+1,1))-AVERAGE(OFFSET($H$3,0,0,'Données projet'!$E$14+1,1))</f>
        <v>598.03945725240396</v>
      </c>
      <c r="DU48" s="59">
        <f t="shared" si="44"/>
        <v>313.9014686755695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46.37981862800585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46.37981862800585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13.059999999999999</v>
      </c>
      <c r="EJ48" s="12">
        <f>IF('Données projet'!$A$192&gt;35,EJ47+EI48-ER47,IF(A48&lt;'Données projet'!$A$192,$EG$205^A48,IF(A48='Données projet'!$A$192,'Données projet'!$B$192,EJ47+EI48-ER47)))</f>
        <v>213.71000000000012</v>
      </c>
      <c r="EK48" s="17">
        <f>EJ48*VLOOKUP('Données projet'!$B$15,Paramètres!$A$1:$I$89,3,0)*VLOOKUP('Données projet'!$B$15,Paramètres!$A$1:$I$89,5,0)</f>
        <v>143.35666800000007</v>
      </c>
      <c r="EL48" s="13">
        <f t="shared" si="45"/>
        <v>37.064907426290667</v>
      </c>
      <c r="EM48" s="20">
        <f t="shared" si="19"/>
        <v>314.23424386745637</v>
      </c>
      <c r="EN48" s="59">
        <f t="shared" si="20"/>
        <v>569.13538468297452</v>
      </c>
      <c r="EO48" s="59">
        <f ca="1">AVERAGE(OFFSET($EN$3,0,0,'Données projet'!$E$15+1,1))-AVERAGE(OFFSET($H$3,0,0,'Données projet'!$E$15+1,1))</f>
        <v>438.27475674276604</v>
      </c>
      <c r="EP48" s="59">
        <f t="shared" si="46"/>
        <v>235.97720136798864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39.647264311037254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39.647264311037254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17.080000000000002</v>
      </c>
      <c r="FE48" s="12">
        <f>IF('Données projet'!$A$218&gt;35,FE47+FD48-FM47,IF(A48&lt;'Données projet'!$A$218,$FB$205^A48,IF(A48='Données projet'!$A$218,'Données projet'!$B$218,FE47+FD48-FM47)))</f>
        <v>290.28999999999985</v>
      </c>
      <c r="FF48" s="17">
        <f>FE48*VLOOKUP('Données projet'!$B$16,Paramètres!$A$1:$I$89,3,0)*VLOOKUP('Données projet'!$B$16,Paramètres!$A$1:$I$89,5,0)</f>
        <v>135.85571999999993</v>
      </c>
      <c r="FG48" s="13">
        <f t="shared" si="47"/>
        <v>35.345955182590913</v>
      </c>
      <c r="FH48" s="20">
        <f t="shared" si="22"/>
        <v>298.17625094301241</v>
      </c>
      <c r="FI48" s="59">
        <f t="shared" si="23"/>
        <v>553.07739175853055</v>
      </c>
      <c r="FJ48" s="59">
        <f ca="1">AVERAGE(OFFSET($FI$3,0,0,'Données projet'!$E$16+1,1))-AVERAGE(OFFSET($H$3,0,0,'Données projet'!$E$16+1,1))</f>
        <v>329.49463758169588</v>
      </c>
      <c r="FK48" s="59">
        <f t="shared" si="48"/>
        <v>207.1447698203379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33.916899245494683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33.916899245494683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518</v>
      </c>
      <c r="FX48" s="12">
        <f>VLOOKUP(A48,'Données projet'!$A$243:$I$263,9,0)</f>
        <v>24.2</v>
      </c>
      <c r="FY48" s="12">
        <f t="array" ref="FY48">INDEX(FX:FX,MIN(IF(ISNUMBER(FX48:FX244),ROW(FX48:FX244),"")))</f>
        <v>24.2</v>
      </c>
      <c r="FZ48" s="12">
        <f>IF('Données projet'!$A$244&gt;35,FZ47+FY48-GH47,IF(A48&lt;'Données projet'!$A$244,$FW$205^A48,IF(A48='Données projet'!$A$244,'Données projet'!$B$244,FZ47+FY48-GH47)))</f>
        <v>518.00000000000023</v>
      </c>
      <c r="GA48" s="17">
        <f>FZ48*VLOOKUP('Données projet'!$B$17,Paramètres!$A$1:$I$89,3,0)*VLOOKUP('Données projet'!$B$17,Paramètres!$A$1:$I$89,5,0)</f>
        <v>309.76400000000018</v>
      </c>
      <c r="GB48" s="13">
        <f t="shared" si="49"/>
        <v>73.219541794375104</v>
      </c>
      <c r="GC48" s="20">
        <f t="shared" si="25"/>
        <v>667.02966862520361</v>
      </c>
      <c r="GD48" s="59">
        <f t="shared" si="26"/>
        <v>921.93080944072176</v>
      </c>
      <c r="GE48" s="59">
        <f ca="1">AVERAGE(OFFSET($GD$3,0,0,'Données projet'!$E$17+1,1))-AVERAGE(OFFSET($H$3,0,0,'Données projet'!$E$17+1,1))</f>
        <v>577.07444926285291</v>
      </c>
      <c r="GF48" s="59">
        <f t="shared" si="50"/>
        <v>501.3762209070419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64</v>
      </c>
      <c r="GI48" s="16">
        <f>IF(ISNA(VLOOKUP(A48,'Données projet'!$A$243:$I$263,5,0)),0%,VLOOKUP(A48,'Données projet'!$A$243:$I$263,5,0)*VLOOKUP('Données projet'!$B$17,Paramètres!$A$1:$I$89,7,0))</f>
        <v>0.45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65.978240266021317</v>
      </c>
      <c r="GM48" s="21">
        <f>EXP(-LN(2)/25)*GM47+(1-EXP(-LN(2)/25))/(LN(2)/25)*Calculateur!GH48*Calculateur!GJ48*VLOOKUP('Données projet'!$B$17,Paramètres!$A$1:$I$89,3,0)*0.475*44/12</f>
        <v>43.162009790692572</v>
      </c>
      <c r="GN48" s="21">
        <f>EXP(-LN(2)/2)*GN47+(1-EXP(-LN(2)/2))/(LN(2)/2)*GH48*GK48*VLOOKUP('Données projet'!$B$17,Paramètres!$A$1:$I$89,3,0)*0.475*44/12</f>
        <v>4.3391641822318662E-4</v>
      </c>
      <c r="GO48" s="21">
        <f t="shared" si="27"/>
        <v>109.1406839731321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59.51849294968676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-5.6843418860808015E-14</v>
      </c>
      <c r="GV48" s="17">
        <f>GU48*VLOOKUP('Données projet'!$B$18,Paramètres!$A$1:$I$89,3,0)*VLOOKUP('Données projet'!$B$18,Paramètres!$A$1:$I$89,5,0)</f>
        <v>-3.0061073630349716E-14</v>
      </c>
      <c r="GW48" s="13" t="e">
        <f t="shared" si="51"/>
        <v>#NUM!</v>
      </c>
      <c r="GX48" s="20" t="e">
        <f t="shared" si="28"/>
        <v>#NUM!</v>
      </c>
      <c r="GY48" s="59" t="e">
        <f t="shared" si="29"/>
        <v>#NUM!</v>
      </c>
      <c r="GZ48" s="59">
        <f ca="1">AVERAGE(OFFSET($GY$3,0,0,'Données projet'!$E$18+1,1))-AVERAGE(OFFSET($H$3,0,0,'Données projet'!$E$18+1,1))</f>
        <v>212.75657290802619</v>
      </c>
      <c r="HA48" s="59">
        <f t="shared" si="52"/>
        <v>411.47446316045978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57.113765106287175</v>
      </c>
      <c r="HH48" s="21">
        <f>EXP(-LN(2)/25)*HH47+(1-EXP(-LN(2)/25))/(LN(2)/25)*Calculateur!HC48*Calculateur!HE48*VLOOKUP('Données projet'!$B$18,Paramètres!$A$1:$I$89,3,0)*0.475*44/12</f>
        <v>13.137381253068957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70.251146359356127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4.60745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16.893983333333335</v>
      </c>
      <c r="H49" s="66">
        <f t="shared" si="1"/>
        <v>189.09073333333333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226.77000000000012</v>
      </c>
      <c r="O49" s="13">
        <f>N49*VLOOKUP('Données projet'!$B$9,Paramètres!$A$1:$I$89,3,0)*VLOOKUP('Données projet'!$B$9,Paramètres!$A$1:$I$89,5,0)</f>
        <v>205.1814960000001</v>
      </c>
      <c r="P49" s="13">
        <f t="shared" si="33"/>
        <v>50.88120304468918</v>
      </c>
      <c r="Q49" s="20">
        <f t="shared" si="53"/>
        <v>445.97586750283381</v>
      </c>
      <c r="R49" s="59">
        <f t="shared" si="0"/>
        <v>701.54372093702557</v>
      </c>
      <c r="S49" s="59">
        <f ca="1">AVERAGE(OFFSET($R$3,0,0,'Données projet'!$E$9+1,1))-AVERAGE(OFFSET($H$3,0,0,'Données projet'!$E$9+1,1))</f>
        <v>564.49981446852132</v>
      </c>
      <c r="T49" s="59">
        <f t="shared" si="34"/>
        <v>297.54722913785406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13.059999999999999</v>
      </c>
      <c r="AI49" s="13">
        <f>IF('Données projet'!$A$62&gt;35,AI48+AH49-AQ48,IF(A49&lt;'Données projet'!$A$62,$AF$205^A49,IF(A49='Données projet'!$A$62,'Données projet'!$B$62,AI48+AH49-AQ48)))</f>
        <v>226.77000000000007</v>
      </c>
      <c r="AJ49" s="13">
        <f>AI49*VLOOKUP('Données projet'!$B$10,Paramètres!$A$1:$I$89,3,0)*VLOOKUP('Données projet'!$B$10,Paramètres!$A$1:$I$89,5,0)</f>
        <v>229.94478000000009</v>
      </c>
      <c r="AK49" s="13">
        <f t="shared" si="35"/>
        <v>56.270741509246001</v>
      </c>
      <c r="AL49" s="20">
        <f t="shared" si="4"/>
        <v>498.49203329527023</v>
      </c>
      <c r="AM49" s="59">
        <f t="shared" si="5"/>
        <v>754.05988672946205</v>
      </c>
      <c r="AN49" s="59">
        <f ca="1">AVERAGE(OFFSET($AM$3,0,0,'Données projet'!$E$10+1,1))-AVERAGE(OFFSET($H$3,0,0,'Données projet'!$E$10+1,1))</f>
        <v>623.16549611107564</v>
      </c>
      <c r="AO49" s="59">
        <f t="shared" si="36"/>
        <v>326.15178903425885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47.670516351361883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47.670516351361883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154.29023999999995</v>
      </c>
      <c r="BF49" s="13">
        <f t="shared" si="37"/>
        <v>39.551952121114581</v>
      </c>
      <c r="BG49" s="20">
        <f t="shared" si="7"/>
        <v>337.6084846109411</v>
      </c>
      <c r="BH49" s="59">
        <f t="shared" si="8"/>
        <v>593.17633804513287</v>
      </c>
      <c r="BI49" s="59">
        <f ca="1">AVERAGE(OFFSET($BH$3,0,0,'Données projet'!$E$11+1,1))-AVERAGE(OFFSET($H$3,0,0,'Données projet'!$E$11+1,1))</f>
        <v>326.2912419133811</v>
      </c>
      <c r="BJ49" s="59">
        <f t="shared" si="38"/>
        <v>315.07976787459938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32.77091269173134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32.77091269173134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7.4</v>
      </c>
      <c r="BY49" s="12">
        <f>IF('Données projet'!$A$114&gt;35,BY48+BX49-CG48,IF(A49&lt;'Données projet'!$A$114,$BV$205^A49,IF(A49='Données projet'!$A$114,'Données projet'!$B$114,BY48+BX49-CG48)))</f>
        <v>179.40000000000003</v>
      </c>
      <c r="BZ49" s="13">
        <f>BY49*VLOOKUP('Données projet'!$B$12,Paramètres!$A$1:$I$89,3,0)*VLOOKUP('Données projet'!$B$12,Paramètres!$A$1:$I$89,5,0)</f>
        <v>114.74424000000003</v>
      </c>
      <c r="CA49" s="13">
        <f t="shared" si="39"/>
        <v>30.446002774202523</v>
      </c>
      <c r="CB49" s="20">
        <f t="shared" si="10"/>
        <v>252.87300616506943</v>
      </c>
      <c r="CC49" s="59">
        <f t="shared" si="11"/>
        <v>508.44085959926122</v>
      </c>
      <c r="CD49" s="59">
        <f ca="1">AVERAGE(OFFSET($CC$3,0,0,'Données projet'!$E$12+1,1))-AVERAGE(OFFSET($H$3,0,0,'Données projet'!$E$12+1,1))</f>
        <v>297.03992602744393</v>
      </c>
      <c r="CE49" s="59">
        <f t="shared" si="40"/>
        <v>265.2588848922893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21.641197120617253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21.641197120617253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263.7999999999999</v>
      </c>
      <c r="CU49" s="17">
        <f>CT49*VLOOKUP('Données projet'!$B$13,Paramètres!$A$1:$I$89,3,0)*VLOOKUP('Données projet'!$B$13,Paramètres!$A$1:$I$89,5,0)</f>
        <v>209.87927999999994</v>
      </c>
      <c r="CV49" s="13">
        <f t="shared" si="41"/>
        <v>51.909204458241767</v>
      </c>
      <c r="CW49" s="20">
        <f t="shared" si="13"/>
        <v>455.94827709810426</v>
      </c>
      <c r="CX49" s="59">
        <f t="shared" si="14"/>
        <v>711.51613053229607</v>
      </c>
      <c r="CY49" s="59">
        <f ca="1">AVERAGE(OFFSET($CX$3,0,0,'Données projet'!$E$13+1,1))-AVERAGE(OFFSET($H$3,0,0,'Données projet'!$E$13+1,1))</f>
        <v>427.42918901489531</v>
      </c>
      <c r="CZ49" s="59">
        <f t="shared" si="42"/>
        <v>410.68601510655412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44.184216353312266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44.184216353312266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13.059999999999999</v>
      </c>
      <c r="DO49" s="12">
        <f>IF('Données projet'!$A$166&gt;35,DO48+DN49-DW48,IF(A49&lt;'Données projet'!$A$166,$DL$205^A49,IF(A49='Données projet'!$A$166,'Données projet'!$B$166,DO48+DN49-DW48)))</f>
        <v>226.77000000000007</v>
      </c>
      <c r="DP49" s="17">
        <f>DO49*VLOOKUP('Données projet'!$B$14,Paramètres!$A$1:$I$89,3,0)*VLOOKUP('Données projet'!$B$14,Paramètres!$A$1:$I$89,5,0)</f>
        <v>219.33194400000008</v>
      </c>
      <c r="DQ49" s="13">
        <f t="shared" si="43"/>
        <v>53.969661359554351</v>
      </c>
      <c r="DR49" s="20">
        <f t="shared" si="16"/>
        <v>476.00029600122389</v>
      </c>
      <c r="DS49" s="59">
        <f t="shared" si="17"/>
        <v>731.56814943541565</v>
      </c>
      <c r="DT49" s="59">
        <f ca="1">AVERAGE(OFFSET($DS$3,0,0,'Données projet'!$E$14+1,1))-AVERAGE(OFFSET($H$3,0,0,'Données projet'!$E$14+1,1))</f>
        <v>598.03945725240396</v>
      </c>
      <c r="DU49" s="59">
        <f t="shared" si="44"/>
        <v>313.9014686755695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45.470338673606719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45.470338673606719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13.059999999999999</v>
      </c>
      <c r="EJ49" s="12">
        <f>IF('Données projet'!$A$192&gt;35,EJ48+EI49-ER48,IF(A49&lt;'Données projet'!$A$192,$EG$205^A49,IF(A49='Données projet'!$A$192,'Données projet'!$B$192,EJ48+EI49-ER48)))</f>
        <v>226.77000000000012</v>
      </c>
      <c r="EK49" s="17">
        <f>EJ49*VLOOKUP('Données projet'!$B$15,Paramètres!$A$1:$I$89,3,0)*VLOOKUP('Données projet'!$B$15,Paramètres!$A$1:$I$89,5,0)</f>
        <v>152.1173160000001</v>
      </c>
      <c r="EL49" s="13">
        <f t="shared" si="45"/>
        <v>39.059360052376498</v>
      </c>
      <c r="EM49" s="20">
        <f t="shared" si="19"/>
        <v>332.96604412455588</v>
      </c>
      <c r="EN49" s="59">
        <f t="shared" si="20"/>
        <v>588.53389755874764</v>
      </c>
      <c r="EO49" s="59">
        <f ca="1">AVERAGE(OFFSET($EN$3,0,0,'Données projet'!$E$15+1,1))-AVERAGE(OFFSET($H$3,0,0,'Données projet'!$E$15+1,1))</f>
        <v>438.27475674276604</v>
      </c>
      <c r="EP49" s="59">
        <f t="shared" si="46"/>
        <v>235.97720136798864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38.869805640341227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38.869805640341227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17.080000000000002</v>
      </c>
      <c r="FE49" s="12">
        <f>IF('Données projet'!$A$218&gt;35,FE48+FD49-FM48,IF(A49&lt;'Données projet'!$A$218,$FB$205^A49,IF(A49='Données projet'!$A$218,'Données projet'!$B$218,FE48+FD49-FM48)))</f>
        <v>307.36999999999983</v>
      </c>
      <c r="FF49" s="17">
        <f>FE49*VLOOKUP('Données projet'!$B$16,Paramètres!$A$1:$I$89,3,0)*VLOOKUP('Données projet'!$B$16,Paramètres!$A$1:$I$89,5,0)</f>
        <v>143.84915999999993</v>
      </c>
      <c r="FG49" s="13">
        <f t="shared" si="47"/>
        <v>37.177397234767412</v>
      </c>
      <c r="FH49" s="20">
        <f t="shared" si="22"/>
        <v>315.28792051721973</v>
      </c>
      <c r="FI49" s="59">
        <f t="shared" si="23"/>
        <v>570.85577395141149</v>
      </c>
      <c r="FJ49" s="59">
        <f ca="1">AVERAGE(OFFSET($FI$3,0,0,'Données projet'!$E$16+1,1))-AVERAGE(OFFSET($H$3,0,0,'Données projet'!$E$16+1,1))</f>
        <v>329.49463758169588</v>
      </c>
      <c r="FK49" s="59">
        <f t="shared" si="48"/>
        <v>207.1447698203379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33.251809538556373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33.251809538556373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21.8</v>
      </c>
      <c r="FZ49" s="12">
        <f>IF('Données projet'!$A$244&gt;35,FZ48+FY49-GH48,IF(A49&lt;'Données projet'!$A$244,$FW$205^A49,IF(A49='Données projet'!$A$244,'Données projet'!$B$244,FZ48+FY49-GH48)))</f>
        <v>475.80000000000018</v>
      </c>
      <c r="GA49" s="17">
        <f>FZ49*VLOOKUP('Données projet'!$B$17,Paramètres!$A$1:$I$89,3,0)*VLOOKUP('Données projet'!$B$17,Paramètres!$A$1:$I$89,5,0)</f>
        <v>284.52840000000009</v>
      </c>
      <c r="GB49" s="13">
        <f t="shared" si="49"/>
        <v>67.923094584210929</v>
      </c>
      <c r="GC49" s="20">
        <f t="shared" si="25"/>
        <v>613.85301973416745</v>
      </c>
      <c r="GD49" s="59">
        <f t="shared" si="26"/>
        <v>869.42087316835921</v>
      </c>
      <c r="GE49" s="59">
        <f ca="1">AVERAGE(OFFSET($GD$3,0,0,'Données projet'!$E$17+1,1))-AVERAGE(OFFSET($H$3,0,0,'Données projet'!$E$17+1,1))</f>
        <v>577.07444926285291</v>
      </c>
      <c r="GF49" s="59">
        <f t="shared" si="50"/>
        <v>501.3762209070419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64.684447217157555</v>
      </c>
      <c r="GM49" s="21">
        <f>EXP(-LN(2)/25)*GM48+(1-EXP(-LN(2)/25))/(LN(2)/25)*Calculateur!GH49*Calculateur!GJ49*VLOOKUP('Données projet'!$B$17,Paramètres!$A$1:$I$89,3,0)*0.475*44/12</f>
        <v>41.981742363174639</v>
      </c>
      <c r="GN49" s="21">
        <f>EXP(-LN(2)/2)*GN48+(1-EXP(-LN(2)/2))/(LN(2)/2)*GH49*GK49*VLOOKUP('Données projet'!$B$17,Paramètres!$A$1:$I$89,3,0)*0.475*44/12</f>
        <v>3.0682524179379326E-4</v>
      </c>
      <c r="GO49" s="21">
        <f t="shared" si="27"/>
        <v>106.66649640557399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59.700323663870471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-5.6843418860808015E-14</v>
      </c>
      <c r="GV49" s="17">
        <f>GU49*VLOOKUP('Données projet'!$B$18,Paramètres!$A$1:$I$89,3,0)*VLOOKUP('Données projet'!$B$18,Paramètres!$A$1:$I$89,5,0)</f>
        <v>-3.0061073630349716E-14</v>
      </c>
      <c r="GW49" s="13" t="e">
        <f t="shared" si="51"/>
        <v>#NUM!</v>
      </c>
      <c r="GX49" s="20" t="e">
        <f t="shared" si="28"/>
        <v>#NUM!</v>
      </c>
      <c r="GY49" s="59" t="e">
        <f t="shared" si="29"/>
        <v>#NUM!</v>
      </c>
      <c r="GZ49" s="59">
        <f ca="1">AVERAGE(OFFSET($GY$3,0,0,'Données projet'!$E$18+1,1))-AVERAGE(OFFSET($H$3,0,0,'Données projet'!$E$18+1,1))</f>
        <v>212.75657290802619</v>
      </c>
      <c r="HA49" s="59">
        <f t="shared" si="52"/>
        <v>411.47446316045978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55.993799008509832</v>
      </c>
      <c r="HH49" s="21">
        <f>EXP(-LN(2)/25)*HH48+(1-EXP(-LN(2)/25))/(LN(2)/25)*Calculateur!HC49*Calculateur!HE49*VLOOKUP('Données projet'!$B$18,Paramètres!$A$1:$I$89,3,0)*0.475*44/12</f>
        <v>12.778138871838932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68.771937880348759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4.60745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16.893983333333335</v>
      </c>
      <c r="H50" s="66">
        <f t="shared" si="1"/>
        <v>189.09073333333333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239.83000000000013</v>
      </c>
      <c r="O50" s="13">
        <f>N50*VLOOKUP('Données projet'!$B$9,Paramètres!$A$1:$I$89,3,0)*VLOOKUP('Données projet'!$B$9,Paramètres!$A$1:$I$89,5,0)</f>
        <v>216.99818400000012</v>
      </c>
      <c r="P50" s="13">
        <f t="shared" si="33"/>
        <v>53.461935088977889</v>
      </c>
      <c r="Q50" s="20">
        <f t="shared" si="53"/>
        <v>471.05137407996995</v>
      </c>
      <c r="R50" s="59">
        <f t="shared" si="0"/>
        <v>727.27437415944746</v>
      </c>
      <c r="S50" s="59">
        <f ca="1">AVERAGE(OFFSET($R$3,0,0,'Données projet'!$E$9+1,1))-AVERAGE(OFFSET($H$3,0,0,'Données projet'!$E$9+1,1))</f>
        <v>564.49981446852132</v>
      </c>
      <c r="T50" s="59">
        <f t="shared" si="34"/>
        <v>297.54722913785406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13.059999999999999</v>
      </c>
      <c r="AI50" s="13">
        <f>IF('Données projet'!$A$62&gt;35,AI49+AH50-AQ49,IF(A50&lt;'Données projet'!$A$62,$AF$205^A50,IF(A50='Données projet'!$A$62,'Données projet'!$B$62,AI49+AH50-AQ49)))</f>
        <v>239.83000000000007</v>
      </c>
      <c r="AJ50" s="13">
        <f>AI50*VLOOKUP('Données projet'!$B$10,Paramètres!$A$1:$I$89,3,0)*VLOOKUP('Données projet'!$B$10,Paramètres!$A$1:$I$89,5,0)</f>
        <v>243.18762000000009</v>
      </c>
      <c r="AK50" s="13">
        <f t="shared" si="35"/>
        <v>59.124834908752511</v>
      </c>
      <c r="AL50" s="20">
        <f t="shared" si="4"/>
        <v>526.52752563274419</v>
      </c>
      <c r="AM50" s="59">
        <f t="shared" si="5"/>
        <v>782.75052571222159</v>
      </c>
      <c r="AN50" s="59">
        <f ca="1">AVERAGE(OFFSET($AM$3,0,0,'Données projet'!$E$10+1,1))-AVERAGE(OFFSET($H$3,0,0,'Données projet'!$E$10+1,1))</f>
        <v>623.16549611107564</v>
      </c>
      <c r="AO50" s="59">
        <f t="shared" si="36"/>
        <v>326.15178903425885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46.735726601855617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46.735726601855617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160.13087999999996</v>
      </c>
      <c r="BF50" s="13">
        <f t="shared" si="37"/>
        <v>40.872034351060186</v>
      </c>
      <c r="BG50" s="20">
        <f t="shared" si="7"/>
        <v>350.08007582809643</v>
      </c>
      <c r="BH50" s="59">
        <f t="shared" si="8"/>
        <v>606.30307590757388</v>
      </c>
      <c r="BI50" s="59">
        <f ca="1">AVERAGE(OFFSET($BH$3,0,0,'Données projet'!$E$11+1,1))-AVERAGE(OFFSET($H$3,0,0,'Données projet'!$E$11+1,1))</f>
        <v>326.2912419133811</v>
      </c>
      <c r="BJ50" s="59">
        <f t="shared" si="38"/>
        <v>315.07976787459938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32.128295082129554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32.128295082129554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7.4</v>
      </c>
      <c r="BY50" s="12">
        <f>IF('Données projet'!$A$114&gt;35,BY49+BX50-CG49,IF(A50&lt;'Données projet'!$A$114,$BV$205^A50,IF(A50='Données projet'!$A$114,'Données projet'!$B$114,BY49+BX50-CG49)))</f>
        <v>186.80000000000004</v>
      </c>
      <c r="BZ50" s="13">
        <f>BY50*VLOOKUP('Données projet'!$B$12,Paramètres!$A$1:$I$89,3,0)*VLOOKUP('Données projet'!$B$12,Paramètres!$A$1:$I$89,5,0)</f>
        <v>119.47728000000002</v>
      </c>
      <c r="CA50" s="13">
        <f t="shared" si="39"/>
        <v>31.553052479931626</v>
      </c>
      <c r="CB50" s="20">
        <f t="shared" si="10"/>
        <v>263.04449573588096</v>
      </c>
      <c r="CC50" s="59">
        <f t="shared" si="11"/>
        <v>519.26749581535842</v>
      </c>
      <c r="CD50" s="59">
        <f ca="1">AVERAGE(OFFSET($CC$3,0,0,'Données projet'!$E$12+1,1))-AVERAGE(OFFSET($H$3,0,0,'Données projet'!$E$12+1,1))</f>
        <v>297.03992602744393</v>
      </c>
      <c r="CE50" s="59">
        <f t="shared" si="40"/>
        <v>265.2588848922893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21.216826444908818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21.216826444908818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273.59999999999991</v>
      </c>
      <c r="CU50" s="17">
        <f>CT50*VLOOKUP('Données projet'!$B$13,Paramètres!$A$1:$I$89,3,0)*VLOOKUP('Données projet'!$B$13,Paramètres!$A$1:$I$89,5,0)</f>
        <v>217.67615999999992</v>
      </c>
      <c r="CV50" s="13">
        <f t="shared" si="41"/>
        <v>53.609498850196708</v>
      </c>
      <c r="CW50" s="20">
        <f t="shared" si="13"/>
        <v>472.48918916409235</v>
      </c>
      <c r="CX50" s="59">
        <f t="shared" si="14"/>
        <v>728.71218924356981</v>
      </c>
      <c r="CY50" s="59">
        <f ca="1">AVERAGE(OFFSET($CX$3,0,0,'Données projet'!$E$13+1,1))-AVERAGE(OFFSET($H$3,0,0,'Données projet'!$E$13+1,1))</f>
        <v>427.42918901489531</v>
      </c>
      <c r="CZ50" s="59">
        <f t="shared" si="42"/>
        <v>410.68601510655412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43.317790820334722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43.317790820334722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13.059999999999999</v>
      </c>
      <c r="DO50" s="12">
        <f>IF('Données projet'!$A$166&gt;35,DO49+DN50-DW49,IF(A50&lt;'Données projet'!$A$166,$DL$205^A50,IF(A50='Données projet'!$A$166,'Données projet'!$B$166,DO49+DN50-DW49)))</f>
        <v>239.83000000000007</v>
      </c>
      <c r="DP50" s="17">
        <f>DO50*VLOOKUP('Données projet'!$B$14,Paramètres!$A$1:$I$89,3,0)*VLOOKUP('Données projet'!$B$14,Paramètres!$A$1:$I$89,5,0)</f>
        <v>231.96357600000007</v>
      </c>
      <c r="DQ50" s="13">
        <f t="shared" si="43"/>
        <v>56.707042281300261</v>
      </c>
      <c r="DR50" s="20">
        <f t="shared" si="16"/>
        <v>502.76799350659803</v>
      </c>
      <c r="DS50" s="59">
        <f t="shared" si="17"/>
        <v>758.99099358607555</v>
      </c>
      <c r="DT50" s="59">
        <f ca="1">AVERAGE(OFFSET($DS$3,0,0,'Données projet'!$E$14+1,1))-AVERAGE(OFFSET($H$3,0,0,'Données projet'!$E$14+1,1))</f>
        <v>598.03945725240396</v>
      </c>
      <c r="DU50" s="59">
        <f t="shared" si="44"/>
        <v>313.9014686755695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44.578693066385362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44.578693066385362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13.059999999999999</v>
      </c>
      <c r="EJ50" s="12">
        <f>IF('Données projet'!$A$192&gt;35,EJ49+EI50-ER49,IF(A50&lt;'Données projet'!$A$192,$EG$205^A50,IF(A50='Données projet'!$A$192,'Données projet'!$B$192,EJ49+EI50-ER49)))</f>
        <v>239.83000000000013</v>
      </c>
      <c r="EK50" s="17">
        <f>EJ50*VLOOKUP('Données projet'!$B$15,Paramètres!$A$1:$I$89,3,0)*VLOOKUP('Données projet'!$B$15,Paramètres!$A$1:$I$89,5,0)</f>
        <v>160.87796400000008</v>
      </c>
      <c r="EL50" s="13">
        <f t="shared" si="45"/>
        <v>41.040479524493612</v>
      </c>
      <c r="EM50" s="20">
        <f t="shared" si="19"/>
        <v>351.67462247182647</v>
      </c>
      <c r="EN50" s="59">
        <f t="shared" si="20"/>
        <v>607.89762255130393</v>
      </c>
      <c r="EO50" s="59">
        <f ca="1">AVERAGE(OFFSET($EN$3,0,0,'Données projet'!$E$15+1,1))-AVERAGE(OFFSET($H$3,0,0,'Données projet'!$E$15+1,1))</f>
        <v>438.27475674276604</v>
      </c>
      <c r="EP50" s="59">
        <f t="shared" si="46"/>
        <v>235.97720136798864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38.107592459974583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38.107592459974583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17.080000000000002</v>
      </c>
      <c r="FE50" s="12">
        <f>IF('Données projet'!$A$218&gt;35,FE49+FD50-FM49,IF(A50&lt;'Données projet'!$A$218,$FB$205^A50,IF(A50='Données projet'!$A$218,'Données projet'!$B$218,FE49+FD50-FM49)))</f>
        <v>324.44999999999982</v>
      </c>
      <c r="FF50" s="17">
        <f>FE50*VLOOKUP('Données projet'!$B$16,Paramètres!$A$1:$I$89,3,0)*VLOOKUP('Données projet'!$B$16,Paramètres!$A$1:$I$89,5,0)</f>
        <v>151.84259999999992</v>
      </c>
      <c r="FG50" s="13">
        <f t="shared" si="47"/>
        <v>38.997025074969166</v>
      </c>
      <c r="FH50" s="20">
        <f t="shared" si="22"/>
        <v>332.37901367223782</v>
      </c>
      <c r="FI50" s="59">
        <f t="shared" si="23"/>
        <v>588.60201375171528</v>
      </c>
      <c r="FJ50" s="59">
        <f ca="1">AVERAGE(OFFSET($FI$3,0,0,'Données projet'!$E$16+1,1))-AVERAGE(OFFSET($H$3,0,0,'Données projet'!$E$16+1,1))</f>
        <v>329.49463758169588</v>
      </c>
      <c r="FK50" s="59">
        <f t="shared" si="48"/>
        <v>207.1447698203379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32.599761835106456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32.599761835106456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21.8</v>
      </c>
      <c r="FZ50" s="12">
        <f>IF('Données projet'!$A$244&gt;35,FZ49+FY50-GH49,IF(A50&lt;'Données projet'!$A$244,$FW$205^A50,IF(A50='Données projet'!$A$244,'Données projet'!$B$244,FZ49+FY50-GH49)))</f>
        <v>497.60000000000019</v>
      </c>
      <c r="GA50" s="17">
        <f>FZ50*VLOOKUP('Données projet'!$B$17,Paramètres!$A$1:$I$89,3,0)*VLOOKUP('Données projet'!$B$17,Paramètres!$A$1:$I$89,5,0)</f>
        <v>297.56480000000016</v>
      </c>
      <c r="GB50" s="13">
        <f t="shared" si="49"/>
        <v>70.665710106623806</v>
      </c>
      <c r="GC50" s="20">
        <f t="shared" si="25"/>
        <v>641.33480510237007</v>
      </c>
      <c r="GD50" s="59">
        <f t="shared" si="26"/>
        <v>897.55780518184747</v>
      </c>
      <c r="GE50" s="59">
        <f ca="1">AVERAGE(OFFSET($GD$3,0,0,'Données projet'!$E$17+1,1))-AVERAGE(OFFSET($H$3,0,0,'Données projet'!$E$17+1,1))</f>
        <v>577.07444926285291</v>
      </c>
      <c r="GF50" s="59">
        <f t="shared" si="50"/>
        <v>501.3762209070419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63.416024660846176</v>
      </c>
      <c r="GM50" s="21">
        <f>EXP(-LN(2)/25)*GM49+(1-EXP(-LN(2)/25))/(LN(2)/25)*Calculateur!GH50*Calculateur!GJ50*VLOOKUP('Données projet'!$B$17,Paramètres!$A$1:$I$89,3,0)*0.475*44/12</f>
        <v>40.833749410529748</v>
      </c>
      <c r="GN50" s="21">
        <f>EXP(-LN(2)/2)*GN49+(1-EXP(-LN(2)/2))/(LN(2)/2)*GH50*GK50*VLOOKUP('Données projet'!$B$17,Paramètres!$A$1:$I$89,3,0)*0.475*44/12</f>
        <v>2.1695820911159331E-4</v>
      </c>
      <c r="GO50" s="21">
        <f t="shared" si="27"/>
        <v>104.24999102958503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59.879000021675665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-5.6843418860808015E-14</v>
      </c>
      <c r="GV50" s="17">
        <f>GU50*VLOOKUP('Données projet'!$B$18,Paramètres!$A$1:$I$89,3,0)*VLOOKUP('Données projet'!$B$18,Paramètres!$A$1:$I$89,5,0)</f>
        <v>-3.0061073630349716E-14</v>
      </c>
      <c r="GW50" s="13" t="e">
        <f t="shared" si="51"/>
        <v>#NUM!</v>
      </c>
      <c r="GX50" s="20" t="e">
        <f t="shared" si="28"/>
        <v>#NUM!</v>
      </c>
      <c r="GY50" s="59" t="e">
        <f t="shared" si="29"/>
        <v>#NUM!</v>
      </c>
      <c r="GZ50" s="59">
        <f ca="1">AVERAGE(OFFSET($GY$3,0,0,'Données projet'!$E$18+1,1))-AVERAGE(OFFSET($H$3,0,0,'Données projet'!$E$18+1,1))</f>
        <v>212.75657290802619</v>
      </c>
      <c r="HA50" s="59">
        <f t="shared" si="52"/>
        <v>411.47446316045978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54.895794762798033</v>
      </c>
      <c r="HH50" s="21">
        <f>EXP(-LN(2)/25)*HH49+(1-EXP(-LN(2)/25))/(LN(2)/25)*Calculateur!HC50*Calculateur!HE50*VLOOKUP('Données projet'!$B$18,Paramètres!$A$1:$I$89,3,0)*0.475*44/12</f>
        <v>12.428719992415378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67.324514755213414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4.60745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16.893983333333335</v>
      </c>
      <c r="H51" s="66">
        <f t="shared" si="1"/>
        <v>189.09073333333333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252.89000000000013</v>
      </c>
      <c r="O51" s="13">
        <f>N51*VLOOKUP('Données projet'!$B$9,Paramètres!$A$1:$I$89,3,0)*VLOOKUP('Données projet'!$B$9,Paramètres!$A$1:$I$89,5,0)</f>
        <v>228.81487200000009</v>
      </c>
      <c r="P51" s="13">
        <f t="shared" si="33"/>
        <v>56.026352154237983</v>
      </c>
      <c r="Q51" s="20">
        <f t="shared" si="53"/>
        <v>496.09846540196463</v>
      </c>
      <c r="R51" s="59">
        <f t="shared" si="0"/>
        <v>752.96524679712059</v>
      </c>
      <c r="S51" s="59">
        <f ca="1">AVERAGE(OFFSET($R$3,0,0,'Données projet'!$E$9+1,1))-AVERAGE(OFFSET($H$3,0,0,'Données projet'!$E$9+1,1))</f>
        <v>564.49981446852132</v>
      </c>
      <c r="T51" s="59">
        <f t="shared" si="34"/>
        <v>297.54722913785406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252.89</v>
      </c>
      <c r="AG51" s="12">
        <f>VLOOKUP(A51,'Données projet'!$A$61:$I$81,9,0)</f>
        <v>13.059999999999999</v>
      </c>
      <c r="AH51" s="12">
        <f t="array" ref="AH51">INDEX(AG:AG,MIN(IF(ISNUMBER(AG51:AG247),ROW(AG51:AG247),"")))</f>
        <v>13.059999999999999</v>
      </c>
      <c r="AI51" s="13">
        <f>IF('Données projet'!$A$62&gt;35,AI50+AH51-AQ50,IF(A51&lt;'Données projet'!$A$62,$AF$205^A51,IF(A51='Données projet'!$A$62,'Données projet'!$B$62,AI50+AH51-AQ50)))</f>
        <v>252.89000000000007</v>
      </c>
      <c r="AJ51" s="13">
        <f>AI51*VLOOKUP('Données projet'!$B$10,Paramètres!$A$1:$I$89,3,0)*VLOOKUP('Données projet'!$B$10,Paramètres!$A$1:$I$89,5,0)</f>
        <v>256.4304600000001</v>
      </c>
      <c r="AK51" s="13">
        <f t="shared" si="35"/>
        <v>61.960885182060892</v>
      </c>
      <c r="AL51" s="20">
        <f t="shared" si="4"/>
        <v>554.5315928587562</v>
      </c>
      <c r="AM51" s="59">
        <f t="shared" si="5"/>
        <v>811.39837425391215</v>
      </c>
      <c r="AN51" s="59">
        <f ca="1">AVERAGE(OFFSET($AM$3,0,0,'Données projet'!$E$10+1,1))-AVERAGE(OFFSET($H$3,0,0,'Données projet'!$E$10+1,1))</f>
        <v>623.16549611107564</v>
      </c>
      <c r="AO51" s="59">
        <f t="shared" si="36"/>
        <v>326.15178903425885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61.12</v>
      </c>
      <c r="AR51" s="16">
        <f>IF(ISNA(VLOOKUP(A51,'Données projet'!$A$61:$I$81,5,0)),0%,VLOOKUP(A51,'Données projet'!$A$61:$I$81,5,0)*VLOOKUP('Données projet'!$B$10,Paramètres!$A$1:$I$89,7,0))</f>
        <v>0.43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75.279547260479177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75.279547260479177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165.97151999999994</v>
      </c>
      <c r="BF51" s="13">
        <f t="shared" si="37"/>
        <v>42.186522619819392</v>
      </c>
      <c r="BG51" s="20">
        <f t="shared" si="7"/>
        <v>362.54192422951866</v>
      </c>
      <c r="BH51" s="59">
        <f t="shared" si="8"/>
        <v>619.40870562467467</v>
      </c>
      <c r="BI51" s="59">
        <f ca="1">AVERAGE(OFFSET($BH$3,0,0,'Données projet'!$E$11+1,1))-AVERAGE(OFFSET($H$3,0,0,'Données projet'!$E$11+1,1))</f>
        <v>326.2912419133811</v>
      </c>
      <c r="BJ51" s="59">
        <f t="shared" si="38"/>
        <v>315.07976787459938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31.498278811894018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31.498278811894018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7.4</v>
      </c>
      <c r="BY51" s="12">
        <f>IF('Données projet'!$A$114&gt;35,BY50+BX51-CG50,IF(A51&lt;'Données projet'!$A$114,$BV$205^A51,IF(A51='Données projet'!$A$114,'Données projet'!$B$114,BY50+BX51-CG50)))</f>
        <v>194.20000000000005</v>
      </c>
      <c r="BZ51" s="13">
        <f>BY51*VLOOKUP('Données projet'!$B$12,Paramètres!$A$1:$I$89,3,0)*VLOOKUP('Données projet'!$B$12,Paramètres!$A$1:$I$89,5,0)</f>
        <v>124.21032000000002</v>
      </c>
      <c r="CA51" s="13">
        <f t="shared" si="39"/>
        <v>32.655007774120797</v>
      </c>
      <c r="CB51" s="20">
        <f t="shared" si="10"/>
        <v>273.2071125399271</v>
      </c>
      <c r="CC51" s="59">
        <f t="shared" si="11"/>
        <v>530.07389393508311</v>
      </c>
      <c r="CD51" s="59">
        <f ca="1">AVERAGE(OFFSET($CC$3,0,0,'Données projet'!$E$12+1,1))-AVERAGE(OFFSET($H$3,0,0,'Données projet'!$E$12+1,1))</f>
        <v>297.03992602744393</v>
      </c>
      <c r="CE51" s="59">
        <f t="shared" si="40"/>
        <v>265.2588848922893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20.800777419310471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20.800777419310471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283.39999999999992</v>
      </c>
      <c r="CU51" s="17">
        <f>CT51*VLOOKUP('Données projet'!$B$13,Paramètres!$A$1:$I$89,3,0)*VLOOKUP('Données projet'!$B$13,Paramètres!$A$1:$I$89,5,0)</f>
        <v>225.47303999999994</v>
      </c>
      <c r="CV51" s="13">
        <f t="shared" si="41"/>
        <v>55.302717367103824</v>
      </c>
      <c r="CW51" s="20">
        <f t="shared" si="13"/>
        <v>489.0177774143724</v>
      </c>
      <c r="CX51" s="59">
        <f t="shared" si="14"/>
        <v>745.88455880952836</v>
      </c>
      <c r="CY51" s="59">
        <f ca="1">AVERAGE(OFFSET($CX$3,0,0,'Données projet'!$E$13+1,1))-AVERAGE(OFFSET($H$3,0,0,'Données projet'!$E$13+1,1))</f>
        <v>427.42918901489531</v>
      </c>
      <c r="CZ51" s="59">
        <f t="shared" si="42"/>
        <v>410.68601510655412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42.468355363591478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42.468355363591478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252.89</v>
      </c>
      <c r="DM51" s="12">
        <f>VLOOKUP(A51,'Données projet'!$A$165:$I$185,9,0)</f>
        <v>13.059999999999999</v>
      </c>
      <c r="DN51" s="12">
        <f t="array" ref="DN51">INDEX(DM:DM,MIN(IF(ISNUMBER(DM51:DM247),ROW(DM51:DM247),"")))</f>
        <v>13.059999999999999</v>
      </c>
      <c r="DO51" s="12">
        <f>IF('Données projet'!$A$166&gt;35,DO50+DN51-DW50,IF(A51&lt;'Données projet'!$A$166,$DL$205^A51,IF(A51='Données projet'!$A$166,'Données projet'!$B$166,DO50+DN51-DW50)))</f>
        <v>252.89000000000007</v>
      </c>
      <c r="DP51" s="17">
        <f>DO51*VLOOKUP('Données projet'!$B$14,Paramètres!$A$1:$I$89,3,0)*VLOOKUP('Données projet'!$B$14,Paramètres!$A$1:$I$89,5,0)</f>
        <v>244.5952080000001</v>
      </c>
      <c r="DQ51" s="13">
        <f t="shared" si="43"/>
        <v>59.42711791463767</v>
      </c>
      <c r="DR51" s="20">
        <f t="shared" si="16"/>
        <v>529.50555096799405</v>
      </c>
      <c r="DS51" s="59">
        <f t="shared" si="17"/>
        <v>786.37233236315001</v>
      </c>
      <c r="DT51" s="59">
        <f ca="1">AVERAGE(OFFSET($DS$3,0,0,'Données projet'!$E$14+1,1))-AVERAGE(OFFSET($H$3,0,0,'Données projet'!$E$14+1,1))</f>
        <v>598.03945725240396</v>
      </c>
      <c r="DU51" s="59">
        <f t="shared" si="44"/>
        <v>313.9014686755695</v>
      </c>
      <c r="DV51" s="15">
        <f>IF(ISNA(VLOOKUP(A51,'Données projet'!$A$165:$I$185,3,0)),0,VLOOKUP(A51,'Données projet'!$A$165:$I$185,3,0))</f>
        <v>3</v>
      </c>
      <c r="DW51" s="15">
        <f>IF(ISNA(VLOOKUP(A51,'Données projet'!$A$165:$I$185,4,0)),0,VLOOKUP(A51,'Données projet'!$A$165:$I$185,4,0))</f>
        <v>61.12</v>
      </c>
      <c r="DX51" s="16">
        <f>IF(ISNA(VLOOKUP(A51,'Données projet'!$A$165:$I$185,5,0)),0%,VLOOKUP(A51,'Données projet'!$A$165:$I$185,5,0)*VLOOKUP('Données projet'!$B$14,Paramètres!$A$1:$I$89,7,0))</f>
        <v>0.43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71.805106617687841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71.805106617687841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252.89</v>
      </c>
      <c r="EH51" s="12">
        <f>VLOOKUP(A51,'Données projet'!$A$191:$I$211,9,0)</f>
        <v>13.059999999999999</v>
      </c>
      <c r="EI51" s="12">
        <f t="array" ref="EI51">INDEX(EH:EH,MIN(IF(ISNUMBER(EH51:EH247),ROW(EH51:EH247),"")))</f>
        <v>13.059999999999999</v>
      </c>
      <c r="EJ51" s="12">
        <f>IF('Données projet'!$A$192&gt;35,EJ50+EI51-ER50,IF(A51&lt;'Données projet'!$A$192,$EG$205^A51,IF(A51='Données projet'!$A$192,'Données projet'!$B$192,EJ50+EI51-ER50)))</f>
        <v>252.89000000000013</v>
      </c>
      <c r="EK51" s="17">
        <f>EJ51*VLOOKUP('Données projet'!$B$15,Paramètres!$A$1:$I$89,3,0)*VLOOKUP('Données projet'!$B$15,Paramètres!$A$1:$I$89,5,0)</f>
        <v>169.63861200000008</v>
      </c>
      <c r="EL51" s="13">
        <f t="shared" si="45"/>
        <v>43.009074673245848</v>
      </c>
      <c r="EM51" s="20">
        <f t="shared" si="19"/>
        <v>370.36138762256996</v>
      </c>
      <c r="EN51" s="59">
        <f t="shared" si="20"/>
        <v>627.22816901772592</v>
      </c>
      <c r="EO51" s="59">
        <f ca="1">AVERAGE(OFFSET($EN$3,0,0,'Données projet'!$E$15+1,1))-AVERAGE(OFFSET($H$3,0,0,'Données projet'!$E$15+1,1))</f>
        <v>438.27475674276604</v>
      </c>
      <c r="EP51" s="59">
        <f t="shared" si="46"/>
        <v>235.97720136798864</v>
      </c>
      <c r="EQ51" s="15">
        <f>IF(ISNA(VLOOKUP(A51,'Données projet'!$A$191:$I$211,3,0)),0,VLOOKUP(A51,'Données projet'!$A$191:$I$211,3,0))</f>
        <v>3</v>
      </c>
      <c r="ER51" s="15">
        <f>IF(ISNA(VLOOKUP(A51,'Données projet'!$A$191:$I$211,4,0)),0,VLOOKUP(A51,'Données projet'!$A$191:$I$211,4,0))</f>
        <v>61.12</v>
      </c>
      <c r="ES51" s="16">
        <f>IF(ISNA(VLOOKUP(A51,'Données projet'!$A$191:$I$211,5,0)),0%,VLOOKUP(A51,'Données projet'!$A$191:$I$211,5,0)*VLOOKUP('Données projet'!$B$15,Paramètres!$A$1:$I$89,7,0))</f>
        <v>0.53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61.38178468931379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61.38178468931379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17.080000000000002</v>
      </c>
      <c r="FE51" s="12">
        <f>IF('Données projet'!$A$218&gt;35,FE50+FD51-FM50,IF(A51&lt;'Données projet'!$A$218,$FB$205^A51,IF(A51='Données projet'!$A$218,'Données projet'!$B$218,FE50+FD51-FM50)))</f>
        <v>341.5299999999998</v>
      </c>
      <c r="FF51" s="17">
        <f>FE51*VLOOKUP('Données projet'!$B$16,Paramètres!$A$1:$I$89,3,0)*VLOOKUP('Données projet'!$B$16,Paramètres!$A$1:$I$89,5,0)</f>
        <v>159.83603999999991</v>
      </c>
      <c r="FG51" s="13">
        <f t="shared" si="47"/>
        <v>40.805531564585834</v>
      </c>
      <c r="FH51" s="20">
        <f t="shared" si="22"/>
        <v>349.45073714165352</v>
      </c>
      <c r="FI51" s="59">
        <f t="shared" si="23"/>
        <v>606.31751853680953</v>
      </c>
      <c r="FJ51" s="59">
        <f ca="1">AVERAGE(OFFSET($FI$3,0,0,'Données projet'!$E$16+1,1))-AVERAGE(OFFSET($H$3,0,0,'Données projet'!$E$16+1,1))</f>
        <v>329.49463758169588</v>
      </c>
      <c r="FK51" s="59">
        <f t="shared" si="48"/>
        <v>207.1447698203379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31.960500389411365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31.960500389411365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21.8</v>
      </c>
      <c r="FZ51" s="12">
        <f>IF('Données projet'!$A$244&gt;35,FZ50+FY51-GH50,IF(A51&lt;'Données projet'!$A$244,$FW$205^A51,IF(A51='Données projet'!$A$244,'Données projet'!$B$244,FZ50+FY51-GH50)))</f>
        <v>519.4000000000002</v>
      </c>
      <c r="GA51" s="17">
        <f>FZ51*VLOOKUP('Données projet'!$B$17,Paramètres!$A$1:$I$89,3,0)*VLOOKUP('Données projet'!$B$17,Paramètres!$A$1:$I$89,5,0)</f>
        <v>310.60120000000012</v>
      </c>
      <c r="GB51" s="13">
        <f t="shared" si="49"/>
        <v>73.394370499024973</v>
      </c>
      <c r="GC51" s="20">
        <f t="shared" si="25"/>
        <v>668.792285285802</v>
      </c>
      <c r="GD51" s="59">
        <f t="shared" si="26"/>
        <v>925.65906668095795</v>
      </c>
      <c r="GE51" s="59">
        <f ca="1">AVERAGE(OFFSET($GD$3,0,0,'Données projet'!$E$17+1,1))-AVERAGE(OFFSET($H$3,0,0,'Données projet'!$E$17+1,1))</f>
        <v>577.07444926285291</v>
      </c>
      <c r="GF51" s="59">
        <f t="shared" si="50"/>
        <v>501.3762209070419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62.1724750972027</v>
      </c>
      <c r="GM51" s="21">
        <f>EXP(-LN(2)/25)*GM50+(1-EXP(-LN(2)/25))/(LN(2)/25)*Calculateur!GH51*Calculateur!GJ51*VLOOKUP('Données projet'!$B$17,Paramètres!$A$1:$I$89,3,0)*0.475*44/12</f>
        <v>39.717148385545258</v>
      </c>
      <c r="GN51" s="21">
        <f>EXP(-LN(2)/2)*GN50+(1-EXP(-LN(2)/2))/(LN(2)/2)*GH51*GK51*VLOOKUP('Données projet'!$B$17,Paramètres!$A$1:$I$89,3,0)*0.475*44/12</f>
        <v>1.5341262089689663E-4</v>
      </c>
      <c r="GO51" s="21">
        <f t="shared" si="27"/>
        <v>101.88977689536887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60.054576744133435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-5.6843418860808015E-14</v>
      </c>
      <c r="GV51" s="17">
        <f>GU51*VLOOKUP('Données projet'!$B$18,Paramètres!$A$1:$I$89,3,0)*VLOOKUP('Données projet'!$B$18,Paramètres!$A$1:$I$89,5,0)</f>
        <v>-3.0061073630349716E-14</v>
      </c>
      <c r="GW51" s="13" t="e">
        <f t="shared" si="51"/>
        <v>#NUM!</v>
      </c>
      <c r="GX51" s="20" t="e">
        <f t="shared" si="28"/>
        <v>#NUM!</v>
      </c>
      <c r="GY51" s="59" t="e">
        <f t="shared" si="29"/>
        <v>#NUM!</v>
      </c>
      <c r="GZ51" s="59">
        <f ca="1">AVERAGE(OFFSET($GY$3,0,0,'Données projet'!$E$18+1,1))-AVERAGE(OFFSET($H$3,0,0,'Données projet'!$E$18+1,1))</f>
        <v>212.75657290802619</v>
      </c>
      <c r="HA51" s="59">
        <f t="shared" si="52"/>
        <v>411.47446316045978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53.819321710628188</v>
      </c>
      <c r="HH51" s="21">
        <f>EXP(-LN(2)/25)*HH50+(1-EXP(-LN(2)/25))/(LN(2)/25)*Calculateur!HC51*Calculateur!HE51*VLOOKUP('Données projet'!$B$18,Paramètres!$A$1:$I$89,3,0)*0.475*44/12</f>
        <v>12.088855990624801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65.908177701252981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4.60745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16.893983333333335</v>
      </c>
      <c r="H52" s="66">
        <f t="shared" si="1"/>
        <v>189.09073333333333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204.0414285714287</v>
      </c>
      <c r="O52" s="13">
        <f>N52*VLOOKUP('Données projet'!$B$9,Paramètres!$A$1:$I$89,3,0)*VLOOKUP('Données projet'!$B$9,Paramètres!$A$1:$I$89,5,0)</f>
        <v>184.61668457142869</v>
      </c>
      <c r="P52" s="13">
        <f t="shared" si="33"/>
        <v>46.347794643176776</v>
      </c>
      <c r="Q52" s="20">
        <f t="shared" si="53"/>
        <v>402.26313463210448</v>
      </c>
      <c r="R52" s="59">
        <f t="shared" si="0"/>
        <v>659.76252917639124</v>
      </c>
      <c r="S52" s="59">
        <f ca="1">AVERAGE(OFFSET($R$3,0,0,'Données projet'!$E$9+1,1))-AVERAGE(OFFSET($H$3,0,0,'Données projet'!$E$9+1,1))</f>
        <v>564.49981446852132</v>
      </c>
      <c r="T52" s="59">
        <f t="shared" si="34"/>
        <v>297.54722913785406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12.271428571428576</v>
      </c>
      <c r="AI52" s="13">
        <f>IF('Données projet'!$A$62&gt;35,AI51+AH52-AQ51,IF(A52&lt;'Données projet'!$A$62,$AF$205^A52,IF(A52='Données projet'!$A$62,'Données projet'!$B$62,AI51+AH52-AQ51)))</f>
        <v>204.04142857142864</v>
      </c>
      <c r="AJ52" s="13">
        <f>AI52*VLOOKUP('Données projet'!$B$10,Paramètres!$A$1:$I$89,3,0)*VLOOKUP('Données projet'!$B$10,Paramètres!$A$1:$I$89,5,0)</f>
        <v>206.89800857142865</v>
      </c>
      <c r="AK52" s="13">
        <f t="shared" si="35"/>
        <v>51.257136542136692</v>
      </c>
      <c r="AL52" s="20">
        <f t="shared" si="4"/>
        <v>449.62021107279298</v>
      </c>
      <c r="AM52" s="59">
        <f t="shared" si="5"/>
        <v>707.11960561707974</v>
      </c>
      <c r="AN52" s="59">
        <f ca="1">AVERAGE(OFFSET($AM$3,0,0,'Données projet'!$E$10+1,1))-AVERAGE(OFFSET($H$3,0,0,'Données projet'!$E$10+1,1))</f>
        <v>623.16549611107564</v>
      </c>
      <c r="AO52" s="59">
        <f t="shared" si="36"/>
        <v>326.15178903425885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73.803361254691183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73.803361254691183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171.81215999999992</v>
      </c>
      <c r="BF52" s="13">
        <f t="shared" si="37"/>
        <v>43.49563633881931</v>
      </c>
      <c r="BG52" s="20">
        <f t="shared" si="7"/>
        <v>374.99441195677679</v>
      </c>
      <c r="BH52" s="59">
        <f t="shared" si="8"/>
        <v>632.49380650106355</v>
      </c>
      <c r="BI52" s="59">
        <f ca="1">AVERAGE(OFFSET($BH$3,0,0,'Données projet'!$E$11+1,1))-AVERAGE(OFFSET($H$3,0,0,'Données projet'!$E$11+1,1))</f>
        <v>326.2912419133811</v>
      </c>
      <c r="BJ52" s="59">
        <f t="shared" si="38"/>
        <v>315.07976787459938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30.880616776445819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30.880616776445819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7.4</v>
      </c>
      <c r="BY52" s="12">
        <f>IF('Données projet'!$A$114&gt;35,BY51+BX52-CG51,IF(A52&lt;'Données projet'!$A$114,$BV$205^A52,IF(A52='Données projet'!$A$114,'Données projet'!$B$114,BY51+BX52-CG51)))</f>
        <v>201.60000000000005</v>
      </c>
      <c r="BZ52" s="13">
        <f>BY52*VLOOKUP('Données projet'!$B$12,Paramètres!$A$1:$I$89,3,0)*VLOOKUP('Données projet'!$B$12,Paramètres!$A$1:$I$89,5,0)</f>
        <v>128.94336000000004</v>
      </c>
      <c r="CA52" s="13">
        <f t="shared" si="39"/>
        <v>33.752085002132198</v>
      </c>
      <c r="CB52" s="20">
        <f t="shared" si="10"/>
        <v>283.36123337871362</v>
      </c>
      <c r="CC52" s="59">
        <f t="shared" si="11"/>
        <v>540.86062792300038</v>
      </c>
      <c r="CD52" s="59">
        <f ca="1">AVERAGE(OFFSET($CC$3,0,0,'Données projet'!$E$12+1,1))-AVERAGE(OFFSET($H$3,0,0,'Données projet'!$E$12+1,1))</f>
        <v>297.03992602744393</v>
      </c>
      <c r="CE52" s="59">
        <f t="shared" si="40"/>
        <v>265.2588848922893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20.39288686133926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20.39288686133926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293.19999999999993</v>
      </c>
      <c r="CU52" s="17">
        <f>CT52*VLOOKUP('Données projet'!$B$13,Paramètres!$A$1:$I$89,3,0)*VLOOKUP('Données projet'!$B$13,Paramètres!$A$1:$I$89,5,0)</f>
        <v>233.26991999999993</v>
      </c>
      <c r="CV52" s="13">
        <f t="shared" si="41"/>
        <v>56.989132736134763</v>
      </c>
      <c r="CW52" s="20">
        <f t="shared" si="13"/>
        <v>505.53451684876785</v>
      </c>
      <c r="CX52" s="59">
        <f t="shared" si="14"/>
        <v>763.03391139305461</v>
      </c>
      <c r="CY52" s="59">
        <f ca="1">AVERAGE(OFFSET($CX$3,0,0,'Données projet'!$E$13+1,1))-AVERAGE(OFFSET($H$3,0,0,'Données projet'!$E$13+1,1))</f>
        <v>427.42918901489531</v>
      </c>
      <c r="CZ52" s="59">
        <f t="shared" si="42"/>
        <v>410.68601510655412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41.635576818050495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41.635576818050495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12.271428571428576</v>
      </c>
      <c r="DO52" s="12">
        <f>IF('Données projet'!$A$166&gt;35,DO51+DN52-DW51,IF(A52&lt;'Données projet'!$A$166,$DL$205^A52,IF(A52='Données projet'!$A$166,'Données projet'!$B$166,DO51+DN52-DW51)))</f>
        <v>204.04142857142864</v>
      </c>
      <c r="DP52" s="17">
        <f>DO52*VLOOKUP('Données projet'!$B$14,Paramètres!$A$1:$I$89,3,0)*VLOOKUP('Données projet'!$B$14,Paramètres!$A$1:$I$89,5,0)</f>
        <v>197.3488697142858</v>
      </c>
      <c r="DQ52" s="13">
        <f t="shared" si="43"/>
        <v>49.161077804261964</v>
      </c>
      <c r="DR52" s="20">
        <f t="shared" si="16"/>
        <v>429.33815859480404</v>
      </c>
      <c r="DS52" s="59">
        <f t="shared" si="17"/>
        <v>686.8375531390908</v>
      </c>
      <c r="DT52" s="59">
        <f ca="1">AVERAGE(OFFSET($DS$3,0,0,'Données projet'!$E$14+1,1))-AVERAGE(OFFSET($H$3,0,0,'Données projet'!$E$14+1,1))</f>
        <v>598.03945725240396</v>
      </c>
      <c r="DU52" s="59">
        <f t="shared" si="44"/>
        <v>313.9014686755695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70.397052273705441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70.397052273705441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12.271428571428576</v>
      </c>
      <c r="EJ52" s="12">
        <f>IF('Données projet'!$A$192&gt;35,EJ51+EI52-ER51,IF(A52&lt;'Données projet'!$A$192,$EG$205^A52,IF(A52='Données projet'!$A$192,'Données projet'!$B$192,EJ51+EI52-ER51)))</f>
        <v>204.0414285714287</v>
      </c>
      <c r="EK52" s="17">
        <f>EJ52*VLOOKUP('Données projet'!$B$15,Paramètres!$A$1:$I$89,3,0)*VLOOKUP('Données projet'!$B$15,Paramètres!$A$1:$I$89,5,0)</f>
        <v>136.87099028571436</v>
      </c>
      <c r="EL52" s="13">
        <f t="shared" si="45"/>
        <v>35.579253049725239</v>
      </c>
      <c r="EM52" s="20">
        <f t="shared" si="19"/>
        <v>300.35084047589061</v>
      </c>
      <c r="EN52" s="59">
        <f t="shared" si="20"/>
        <v>557.85023502017737</v>
      </c>
      <c r="EO52" s="59">
        <f ca="1">AVERAGE(OFFSET($EN$3,0,0,'Données projet'!$E$15+1,1))-AVERAGE(OFFSET($H$3,0,0,'Données projet'!$E$15+1,1))</f>
        <v>438.27475674276604</v>
      </c>
      <c r="EP52" s="59">
        <f t="shared" si="46"/>
        <v>235.97720136798864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60.178125330748195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60.178125330748195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17.080000000000002</v>
      </c>
      <c r="FE52" s="12">
        <f>IF('Données projet'!$A$218&gt;35,FE51+FD52-FM51,IF(A52&lt;'Données projet'!$A$218,$FB$205^A52,IF(A52='Données projet'!$A$218,'Données projet'!$B$218,FE51+FD52-FM51)))</f>
        <v>358.60999999999979</v>
      </c>
      <c r="FF52" s="17">
        <f>FE52*VLOOKUP('Données projet'!$B$16,Paramètres!$A$1:$I$89,3,0)*VLOOKUP('Données projet'!$B$16,Paramètres!$A$1:$I$89,5,0)</f>
        <v>167.8294799999999</v>
      </c>
      <c r="FG52" s="13">
        <f t="shared" si="47"/>
        <v>42.603536349929698</v>
      </c>
      <c r="FH52" s="20">
        <f t="shared" si="22"/>
        <v>366.50417014279401</v>
      </c>
      <c r="FI52" s="59">
        <f t="shared" si="23"/>
        <v>624.00356468708083</v>
      </c>
      <c r="FJ52" s="59">
        <f ca="1">AVERAGE(OFFSET($FI$3,0,0,'Données projet'!$E$16+1,1))-AVERAGE(OFFSET($H$3,0,0,'Données projet'!$E$16+1,1))</f>
        <v>329.49463758169588</v>
      </c>
      <c r="FK52" s="59">
        <f t="shared" si="48"/>
        <v>207.1447698203379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31.333774470755376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31.333774470755376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21.8</v>
      </c>
      <c r="FZ52" s="12">
        <f>IF('Données projet'!$A$244&gt;35,FZ51+FY52-GH51,IF(A52&lt;'Données projet'!$A$244,$FW$205^A52,IF(A52='Données projet'!$A$244,'Données projet'!$B$244,FZ51+FY52-GH51)))</f>
        <v>541.20000000000016</v>
      </c>
      <c r="GA52" s="17">
        <f>FZ52*VLOOKUP('Données projet'!$B$17,Paramètres!$A$1:$I$89,3,0)*VLOOKUP('Données projet'!$B$17,Paramètres!$A$1:$I$89,5,0)</f>
        <v>323.63760000000013</v>
      </c>
      <c r="GB52" s="13">
        <f t="shared" si="49"/>
        <v>76.109728452986261</v>
      </c>
      <c r="GC52" s="20">
        <f t="shared" si="25"/>
        <v>696.22659705561784</v>
      </c>
      <c r="GD52" s="59">
        <f t="shared" si="26"/>
        <v>953.72599159990455</v>
      </c>
      <c r="GE52" s="59">
        <f ca="1">AVERAGE(OFFSET($GD$3,0,0,'Données projet'!$E$17+1,1))-AVERAGE(OFFSET($H$3,0,0,'Données projet'!$E$17+1,1))</f>
        <v>577.07444926285291</v>
      </c>
      <c r="GF52" s="59">
        <f t="shared" si="50"/>
        <v>501.3762209070419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60.953310782011933</v>
      </c>
      <c r="GM52" s="21">
        <f>EXP(-LN(2)/25)*GM51+(1-EXP(-LN(2)/25))/(LN(2)/25)*Calculateur!GH52*Calculateur!GJ52*VLOOKUP('Données projet'!$B$17,Paramètres!$A$1:$I$89,3,0)*0.475*44/12</f>
        <v>38.631080874308466</v>
      </c>
      <c r="GN52" s="21">
        <f>EXP(-LN(2)/2)*GN51+(1-EXP(-LN(2)/2))/(LN(2)/2)*GH52*GK52*VLOOKUP('Données projet'!$B$17,Paramètres!$A$1:$I$89,3,0)*0.475*44/12</f>
        <v>1.0847910455579665E-4</v>
      </c>
      <c r="GO52" s="21">
        <f t="shared" si="27"/>
        <v>99.58450013542496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60.22710760298731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-5.6843418860808015E-14</v>
      </c>
      <c r="GV52" s="17">
        <f>GU52*VLOOKUP('Données projet'!$B$18,Paramètres!$A$1:$I$89,3,0)*VLOOKUP('Données projet'!$B$18,Paramètres!$A$1:$I$89,5,0)</f>
        <v>-3.0061073630349716E-14</v>
      </c>
      <c r="GW52" s="13" t="e">
        <f t="shared" si="51"/>
        <v>#NUM!</v>
      </c>
      <c r="GX52" s="20" t="e">
        <f t="shared" si="28"/>
        <v>#NUM!</v>
      </c>
      <c r="GY52" s="59" t="e">
        <f t="shared" si="29"/>
        <v>#NUM!</v>
      </c>
      <c r="GZ52" s="59">
        <f ca="1">AVERAGE(OFFSET($GY$3,0,0,'Données projet'!$E$18+1,1))-AVERAGE(OFFSET($H$3,0,0,'Données projet'!$E$18+1,1))</f>
        <v>212.75657290802619</v>
      </c>
      <c r="HA52" s="59">
        <f t="shared" si="52"/>
        <v>411.47446316045978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52.763957638427662</v>
      </c>
      <c r="HH52" s="21">
        <f>EXP(-LN(2)/25)*HH51+(1-EXP(-LN(2)/25))/(LN(2)/25)*Calculateur!HC52*Calculateur!HE52*VLOOKUP('Données projet'!$B$18,Paramètres!$A$1:$I$89,3,0)*0.475*44/12</f>
        <v>11.758285587835859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64.522243226263527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4.60745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16.893983333333335</v>
      </c>
      <c r="H53" s="66">
        <f t="shared" si="1"/>
        <v>189.09073333333333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216.31285714285727</v>
      </c>
      <c r="O53" s="13">
        <f>N53*VLOOKUP('Données projet'!$B$9,Paramètres!$A$1:$I$89,3,0)*VLOOKUP('Données projet'!$B$9,Paramètres!$A$1:$I$89,5,0)</f>
        <v>195.71987314285727</v>
      </c>
      <c r="P53" s="13">
        <f t="shared" si="33"/>
        <v>48.8023443653355</v>
      </c>
      <c r="Q53" s="20">
        <f t="shared" si="53"/>
        <v>425.87619549343572</v>
      </c>
      <c r="R53" s="59">
        <f t="shared" si="0"/>
        <v>683.99722876302712</v>
      </c>
      <c r="S53" s="59">
        <f ca="1">AVERAGE(OFFSET($R$3,0,0,'Données projet'!$E$9+1,1))-AVERAGE(OFFSET($H$3,0,0,'Données projet'!$E$9+1,1))</f>
        <v>564.49981446852132</v>
      </c>
      <c r="T53" s="59">
        <f t="shared" si="34"/>
        <v>297.54722913785406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12.271428571428576</v>
      </c>
      <c r="AI53" s="13">
        <f>IF('Données projet'!$A$62&gt;35,AI52+AH53-AQ52,IF(A53&lt;'Données projet'!$A$62,$AF$205^A53,IF(A53='Données projet'!$A$62,'Données projet'!$B$62,AI52+AH53-AQ52)))</f>
        <v>216.31285714285721</v>
      </c>
      <c r="AJ53" s="13">
        <f>AI53*VLOOKUP('Données projet'!$B$10,Paramètres!$A$1:$I$89,3,0)*VLOOKUP('Données projet'!$B$10,Paramètres!$A$1:$I$89,5,0)</f>
        <v>219.34123714285724</v>
      </c>
      <c r="AK53" s="13">
        <f t="shared" si="35"/>
        <v>53.971681888398933</v>
      </c>
      <c r="AL53" s="20">
        <f t="shared" si="4"/>
        <v>476.02000064610456</v>
      </c>
      <c r="AM53" s="59">
        <f t="shared" si="5"/>
        <v>734.14103391569597</v>
      </c>
      <c r="AN53" s="59">
        <f ca="1">AVERAGE(OFFSET($AM$3,0,0,'Données projet'!$E$10+1,1))-AVERAGE(OFFSET($H$3,0,0,'Données projet'!$E$10+1,1))</f>
        <v>623.16549611107564</v>
      </c>
      <c r="AO53" s="59">
        <f t="shared" si="36"/>
        <v>326.15178903425885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72.356122356092129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72.356122356092129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177.6527999999999</v>
      </c>
      <c r="BF53" s="13">
        <f t="shared" si="37"/>
        <v>44.799579155749704</v>
      </c>
      <c r="BG53" s="20">
        <f t="shared" si="7"/>
        <v>387.43789369626387</v>
      </c>
      <c r="BH53" s="59">
        <f t="shared" si="8"/>
        <v>645.55892696585522</v>
      </c>
      <c r="BI53" s="59">
        <f ca="1">AVERAGE(OFFSET($BH$3,0,0,'Données projet'!$E$11+1,1))-AVERAGE(OFFSET($H$3,0,0,'Données projet'!$E$11+1,1))</f>
        <v>326.2912419133811</v>
      </c>
      <c r="BJ53" s="59">
        <f t="shared" si="38"/>
        <v>315.07976787459938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38.354852439389049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38.354852439389049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209</v>
      </c>
      <c r="BW53" s="12">
        <f>VLOOKUP(A53,'Données projet'!$A$113:$I$133,9,0)</f>
        <v>7.4</v>
      </c>
      <c r="BX53" s="12">
        <f t="array" ref="BX53">INDEX(BW:BW,MIN(IF(ISNUMBER(BW53:BW249),ROW(BW53:BW249),"")))</f>
        <v>7.4</v>
      </c>
      <c r="BY53" s="12">
        <f>IF('Données projet'!$A$114&gt;35,BY52+BX53-CG52,IF(A53&lt;'Données projet'!$A$114,$BV$205^A53,IF(A53='Données projet'!$A$114,'Données projet'!$B$114,BY52+BX53-CG52)))</f>
        <v>209.00000000000006</v>
      </c>
      <c r="BZ53" s="13">
        <f>BY53*VLOOKUP('Données projet'!$B$12,Paramètres!$A$1:$I$89,3,0)*VLOOKUP('Données projet'!$B$12,Paramètres!$A$1:$I$89,5,0)</f>
        <v>133.67640000000003</v>
      </c>
      <c r="CA53" s="13">
        <f t="shared" si="39"/>
        <v>34.844483726822681</v>
      </c>
      <c r="CB53" s="20">
        <f t="shared" si="10"/>
        <v>293.50720582421621</v>
      </c>
      <c r="CC53" s="59">
        <f t="shared" si="11"/>
        <v>551.62823909380757</v>
      </c>
      <c r="CD53" s="59">
        <f ca="1">AVERAGE(OFFSET($CC$3,0,0,'Données projet'!$E$12+1,1))-AVERAGE(OFFSET($H$3,0,0,'Données projet'!$E$12+1,1))</f>
        <v>297.03992602744393</v>
      </c>
      <c r="CE53" s="59">
        <f t="shared" si="40"/>
        <v>265.2588848922893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24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27.289842169433708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27.289842169433708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241.06679999999997</v>
      </c>
      <c r="CV53" s="13">
        <f t="shared" si="41"/>
        <v>58.668998418543559</v>
      </c>
      <c r="CW53" s="20">
        <f t="shared" si="13"/>
        <v>522.03984891229663</v>
      </c>
      <c r="CX53" s="59">
        <f t="shared" si="14"/>
        <v>780.16088218188793</v>
      </c>
      <c r="CY53" s="59">
        <f ca="1">AVERAGE(OFFSET($CX$3,0,0,'Données projet'!$E$13+1,1))-AVERAGE(OFFSET($H$3,0,0,'Données projet'!$E$13+1,1))</f>
        <v>427.42918901489531</v>
      </c>
      <c r="CZ53" s="59">
        <f t="shared" si="42"/>
        <v>410.68601510655412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0.53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50.608099715777719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50.608099715777719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12.271428571428576</v>
      </c>
      <c r="DO53" s="12">
        <f>IF('Données projet'!$A$166&gt;35,DO52+DN53-DW52,IF(A53&lt;'Données projet'!$A$166,$DL$205^A53,IF(A53='Données projet'!$A$166,'Données projet'!$B$166,DO52+DN53-DW52)))</f>
        <v>216.31285714285721</v>
      </c>
      <c r="DP53" s="17">
        <f>DO53*VLOOKUP('Données projet'!$B$14,Paramètres!$A$1:$I$89,3,0)*VLOOKUP('Données projet'!$B$14,Paramètres!$A$1:$I$89,5,0)</f>
        <v>209.21779542857149</v>
      </c>
      <c r="DQ53" s="13">
        <f t="shared" si="43"/>
        <v>51.764617213083469</v>
      </c>
      <c r="DR53" s="20">
        <f t="shared" si="16"/>
        <v>454.54436868421567</v>
      </c>
      <c r="DS53" s="59">
        <f t="shared" si="17"/>
        <v>712.66540195380708</v>
      </c>
      <c r="DT53" s="59">
        <f ca="1">AVERAGE(OFFSET($DS$3,0,0,'Données projet'!$E$14+1,1))-AVERAGE(OFFSET($H$3,0,0,'Données projet'!$E$14+1,1))</f>
        <v>598.03945725240396</v>
      </c>
      <c r="DU53" s="59">
        <f t="shared" si="44"/>
        <v>313.9014686755695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69.01660901658019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69.01660901658019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12.271428571428576</v>
      </c>
      <c r="EJ53" s="12">
        <f>IF('Données projet'!$A$192&gt;35,EJ52+EI53-ER52,IF(A53&lt;'Données projet'!$A$192,$EG$205^A53,IF(A53='Données projet'!$A$192,'Données projet'!$B$192,EJ52+EI53-ER52)))</f>
        <v>216.31285714285727</v>
      </c>
      <c r="EK53" s="17">
        <f>EJ53*VLOOKUP('Données projet'!$B$15,Paramètres!$A$1:$I$89,3,0)*VLOOKUP('Données projet'!$B$15,Paramètres!$A$1:$I$89,5,0)</f>
        <v>145.10266457142868</v>
      </c>
      <c r="EL53" s="13">
        <f t="shared" si="45"/>
        <v>37.463507659036516</v>
      </c>
      <c r="EM53" s="20">
        <f t="shared" si="19"/>
        <v>317.96941663472688</v>
      </c>
      <c r="EN53" s="59">
        <f t="shared" si="20"/>
        <v>576.09044990431823</v>
      </c>
      <c r="EO53" s="59">
        <f ca="1">AVERAGE(OFFSET($EN$3,0,0,'Données projet'!$E$15+1,1))-AVERAGE(OFFSET($H$3,0,0,'Données projet'!$E$15+1,1))</f>
        <v>438.27475674276604</v>
      </c>
      <c r="EP53" s="59">
        <f t="shared" si="46"/>
        <v>235.97720136798864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58.998068998044353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58.998068998044353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375.69</v>
      </c>
      <c r="FC53" s="12">
        <f>VLOOKUP(A53,'Données projet'!$A$217:$I$237,9,0)</f>
        <v>17.080000000000002</v>
      </c>
      <c r="FD53" s="12">
        <f t="array" ref="FD53">INDEX(FC:FC,MIN(IF(ISNUMBER(FC53:FC249),ROW(FC53:FC249),"")))</f>
        <v>17.080000000000002</v>
      </c>
      <c r="FE53" s="12">
        <f>IF('Données projet'!$A$218&gt;35,FE52+FD53-FM52,IF(A53&lt;'Données projet'!$A$218,$FB$205^A53,IF(A53='Données projet'!$A$218,'Données projet'!$B$218,FE52+FD53-FM52)))</f>
        <v>375.68999999999977</v>
      </c>
      <c r="FF53" s="17">
        <f>FE53*VLOOKUP('Données projet'!$B$16,Paramètres!$A$1:$I$89,3,0)*VLOOKUP('Données projet'!$B$16,Paramètres!$A$1:$I$89,5,0)</f>
        <v>175.8229199999999</v>
      </c>
      <c r="FG53" s="13">
        <f t="shared" si="47"/>
        <v>44.391596716593241</v>
      </c>
      <c r="FH53" s="20">
        <f t="shared" si="22"/>
        <v>383.5402832813997</v>
      </c>
      <c r="FI53" s="59">
        <f t="shared" si="23"/>
        <v>641.66131655099105</v>
      </c>
      <c r="FJ53" s="59">
        <f ca="1">AVERAGE(OFFSET($FI$3,0,0,'Données projet'!$E$16+1,1))-AVERAGE(OFFSET($H$3,0,0,'Données projet'!$E$16+1,1))</f>
        <v>329.49463758169588</v>
      </c>
      <c r="FK53" s="59">
        <f t="shared" si="48"/>
        <v>207.1447698203379</v>
      </c>
      <c r="FL53" s="15">
        <f>IF(ISNA(VLOOKUP(A53,'Données projet'!$A$217:$I$237,3,0)),0,VLOOKUP(A53,'Données projet'!$A$217:$I$237,3,0))</f>
        <v>2</v>
      </c>
      <c r="FM53" s="15">
        <f>IF(ISNA(VLOOKUP(A53,'Données projet'!$A$217:$I$237,4,0)),0,VLOOKUP(A53,'Données projet'!$A$217:$I$237,4,0))</f>
        <v>106.51</v>
      </c>
      <c r="FN53" s="16">
        <f>IF(ISNA(VLOOKUP(A53,'Données projet'!$A$217:$I$237,5,0)),0%,VLOOKUP(A53,'Données projet'!$A$217:$I$237,5,0)*VLOOKUP('Données projet'!$B$16,Paramètres!$A$1:$I$89,7,0))</f>
        <v>0.55000000000000004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67.087996915417122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67.087996915417122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563</v>
      </c>
      <c r="FX53" s="12">
        <f>VLOOKUP(A53,'Données projet'!$A$243:$I$263,9,0)</f>
        <v>21.8</v>
      </c>
      <c r="FY53" s="12">
        <f t="array" ref="FY53">INDEX(FX:FX,MIN(IF(ISNUMBER(FX53:FX249),ROW(FX53:FX249),"")))</f>
        <v>21.8</v>
      </c>
      <c r="FZ53" s="12">
        <f>IF('Données projet'!$A$244&gt;35,FZ52+FY53-GH52,IF(A53&lt;'Données projet'!$A$244,$FW$205^A53,IF(A53='Données projet'!$A$244,'Données projet'!$B$244,FZ52+FY53-GH52)))</f>
        <v>563.00000000000011</v>
      </c>
      <c r="GA53" s="17">
        <f>FZ53*VLOOKUP('Données projet'!$B$17,Paramètres!$A$1:$I$89,3,0)*VLOOKUP('Données projet'!$B$17,Paramètres!$A$1:$I$89,5,0)</f>
        <v>336.67400000000009</v>
      </c>
      <c r="GB53" s="13">
        <f t="shared" si="49"/>
        <v>78.812381102074809</v>
      </c>
      <c r="GC53" s="20">
        <f t="shared" si="25"/>
        <v>723.63878041944702</v>
      </c>
      <c r="GD53" s="59">
        <f t="shared" si="26"/>
        <v>981.75981368903831</v>
      </c>
      <c r="GE53" s="59">
        <f ca="1">AVERAGE(OFFSET($GD$3,0,0,'Données projet'!$E$17+1,1))-AVERAGE(OFFSET($H$3,0,0,'Données projet'!$E$17+1,1))</f>
        <v>577.07444926285291</v>
      </c>
      <c r="GF53" s="59">
        <f t="shared" si="50"/>
        <v>501.3762209070419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56</v>
      </c>
      <c r="GI53" s="16">
        <f>IF(ISNA(VLOOKUP(A53,'Données projet'!$A$243:$I$263,5,0)),0%,VLOOKUP(A53,'Données projet'!$A$243:$I$263,5,0)*VLOOKUP('Données projet'!$B$17,Paramètres!$A$1:$I$89,7,0))</f>
        <v>0.45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79.748849253116944</v>
      </c>
      <c r="GM53" s="21">
        <f>EXP(-LN(2)/25)*GM52+(1-EXP(-LN(2)/25))/(LN(2)/25)*Calculateur!GH53*Calculateur!GJ53*VLOOKUP('Données projet'!$B$17,Paramètres!$A$1:$I$89,3,0)*0.475*44/12</f>
        <v>37.574711936280252</v>
      </c>
      <c r="GN53" s="21">
        <f>EXP(-LN(2)/2)*GN52+(1-EXP(-LN(2)/2))/(LN(2)/2)*GH53*GK53*VLOOKUP('Données projet'!$B$17,Paramètres!$A$1:$I$89,3,0)*0.475*44/12</f>
        <v>7.6706310448448314E-5</v>
      </c>
      <c r="GO53" s="21">
        <f t="shared" si="27"/>
        <v>117.32363789570765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60.39664543716129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-5.6843418860808015E-14</v>
      </c>
      <c r="GV53" s="17">
        <f>GU53*VLOOKUP('Données projet'!$B$18,Paramètres!$A$1:$I$89,3,0)*VLOOKUP('Données projet'!$B$18,Paramètres!$A$1:$I$89,5,0)</f>
        <v>-3.0061073630349716E-14</v>
      </c>
      <c r="GW53" s="13" t="e">
        <f t="shared" si="51"/>
        <v>#NUM!</v>
      </c>
      <c r="GX53" s="20" t="e">
        <f t="shared" si="28"/>
        <v>#NUM!</v>
      </c>
      <c r="GY53" s="59" t="e">
        <f t="shared" si="29"/>
        <v>#NUM!</v>
      </c>
      <c r="GZ53" s="59">
        <f ca="1">AVERAGE(OFFSET($GY$3,0,0,'Données projet'!$E$18+1,1))-AVERAGE(OFFSET($H$3,0,0,'Données projet'!$E$18+1,1))</f>
        <v>212.75657290802619</v>
      </c>
      <c r="HA53" s="59">
        <f t="shared" si="52"/>
        <v>411.47446316045978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51.729288611974461</v>
      </c>
      <c r="HH53" s="21">
        <f>EXP(-LN(2)/25)*HH52+(1-EXP(-LN(2)/25))/(LN(2)/25)*Calculateur!HC53*Calculateur!HE53*VLOOKUP('Données projet'!$B$18,Paramètres!$A$1:$I$89,3,0)*0.475*44/12</f>
        <v>11.436754650095123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63.166043262069586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4.60745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16.893983333333335</v>
      </c>
      <c r="H54" s="66">
        <f t="shared" si="1"/>
        <v>189.09073333333333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228.58428571428584</v>
      </c>
      <c r="O54" s="13">
        <f>N54*VLOOKUP('Données projet'!$B$9,Paramètres!$A$1:$I$89,3,0)*VLOOKUP('Données projet'!$B$9,Paramètres!$A$1:$I$89,5,0)</f>
        <v>206.82306171428581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708.19299190372385</v>
      </c>
      <c r="S54" s="59">
        <f ca="1">AVERAGE(OFFSET($R$3,0,0,'Données projet'!$E$9+1,1))-AVERAGE(OFFSET($H$3,0,0,'Données projet'!$E$9+1,1))</f>
        <v>564.49981446852132</v>
      </c>
      <c r="T54" s="59">
        <f t="shared" si="34"/>
        <v>297.54722913785406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12.271428571428576</v>
      </c>
      <c r="AI54" s="13">
        <f>IF('Données projet'!$A$62&gt;35,AI53+AH54-AQ53,IF(A54&lt;'Données projet'!$A$62,$AF$205^A54,IF(A54='Données projet'!$A$62,'Données projet'!$B$62,AI53+AH54-AQ53)))</f>
        <v>228.58428571428578</v>
      </c>
      <c r="AJ54" s="13">
        <f>AI54*VLOOKUP('Données projet'!$B$10,Paramètres!$A$1:$I$89,3,0)*VLOOKUP('Données projet'!$B$10,Paramètres!$A$1:$I$89,5,0)</f>
        <v>231.78446571428583</v>
      </c>
      <c r="AK54" s="13">
        <f t="shared" si="35"/>
        <v>56.668351013857453</v>
      </c>
      <c r="AL54" s="20">
        <f t="shared" si="4"/>
        <v>502.38865580151611</v>
      </c>
      <c r="AM54" s="59">
        <f t="shared" si="5"/>
        <v>761.12054375430398</v>
      </c>
      <c r="AN54" s="59">
        <f ca="1">AVERAGE(OFFSET($AM$3,0,0,'Données projet'!$E$10+1,1))-AVERAGE(OFFSET($H$3,0,0,'Données projet'!$E$10+1,1))</f>
        <v>623.16549611107564</v>
      </c>
      <c r="AO54" s="59">
        <f t="shared" si="36"/>
        <v>326.15178903425885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70.937262929566046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70.937262929566046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168.72959999999992</v>
      </c>
      <c r="BF54" s="13">
        <f t="shared" si="37"/>
        <v>42.805372152385068</v>
      </c>
      <c r="BG54" s="20">
        <f t="shared" si="7"/>
        <v>368.42340983207049</v>
      </c>
      <c r="BH54" s="59">
        <f t="shared" si="8"/>
        <v>627.15529778485848</v>
      </c>
      <c r="BI54" s="59">
        <f ca="1">AVERAGE(OFFSET($BH$3,0,0,'Données projet'!$E$11+1,1))-AVERAGE(OFFSET($H$3,0,0,'Données projet'!$E$11+1,1))</f>
        <v>326.2912419133811</v>
      </c>
      <c r="BJ54" s="59">
        <f t="shared" si="38"/>
        <v>315.07976787459938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37.602737177202634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37.602737177202634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6.6</v>
      </c>
      <c r="BY54" s="12">
        <f>IF('Données projet'!$A$114&gt;35,BY53+BX54-CG53,IF(A54&lt;'Données projet'!$A$114,$BV$205^A54,IF(A54='Données projet'!$A$114,'Données projet'!$B$114,BY53+BX54-CG53)))</f>
        <v>191.60000000000005</v>
      </c>
      <c r="BZ54" s="13">
        <f>BY54*VLOOKUP('Données projet'!$B$12,Paramètres!$A$1:$I$89,3,0)*VLOOKUP('Données projet'!$B$12,Paramètres!$A$1:$I$89,5,0)</f>
        <v>122.54736000000003</v>
      </c>
      <c r="CA54" s="13">
        <f t="shared" si="39"/>
        <v>32.268400886602443</v>
      </c>
      <c r="CB54" s="20">
        <f t="shared" si="10"/>
        <v>269.63745021083264</v>
      </c>
      <c r="CC54" s="59">
        <f t="shared" si="11"/>
        <v>528.36933816362057</v>
      </c>
      <c r="CD54" s="59">
        <f ca="1">AVERAGE(OFFSET($CC$3,0,0,'Données projet'!$E$12+1,1))-AVERAGE(OFFSET($H$3,0,0,'Données projet'!$E$12+1,1))</f>
        <v>297.03992602744393</v>
      </c>
      <c r="CE54" s="59">
        <f t="shared" si="40"/>
        <v>265.2588848922893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26.754705009651264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26.754705009651264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290.39999999999992</v>
      </c>
      <c r="CU54" s="17">
        <f>CT54*VLOOKUP('Données projet'!$B$13,Paramètres!$A$1:$I$89,3,0)*VLOOKUP('Données projet'!$B$13,Paramètres!$A$1:$I$89,5,0)</f>
        <v>231.04223999999994</v>
      </c>
      <c r="CV54" s="13">
        <f t="shared" si="41"/>
        <v>56.507978852931409</v>
      </c>
      <c r="CW54" s="20">
        <f t="shared" si="13"/>
        <v>500.81663116885539</v>
      </c>
      <c r="CX54" s="59">
        <f t="shared" si="14"/>
        <v>759.54851912164327</v>
      </c>
      <c r="CY54" s="59">
        <f ca="1">AVERAGE(OFFSET($CX$3,0,0,'Données projet'!$E$13+1,1))-AVERAGE(OFFSET($H$3,0,0,'Données projet'!$E$13+1,1))</f>
        <v>427.42918901489531</v>
      </c>
      <c r="CZ54" s="59">
        <f t="shared" si="42"/>
        <v>410.68601510655412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49.615705748244196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49.615705748244196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12.271428571428576</v>
      </c>
      <c r="DO54" s="12">
        <f>IF('Données projet'!$A$166&gt;35,DO53+DN54-DW53,IF(A54&lt;'Données projet'!$A$166,$DL$205^A54,IF(A54='Données projet'!$A$166,'Données projet'!$B$166,DO53+DN54-DW53)))</f>
        <v>228.58428571428578</v>
      </c>
      <c r="DP54" s="17">
        <f>DO54*VLOOKUP('Données projet'!$B$14,Paramètres!$A$1:$I$89,3,0)*VLOOKUP('Données projet'!$B$14,Paramètres!$A$1:$I$89,5,0)</f>
        <v>221.08672114285721</v>
      </c>
      <c r="DQ54" s="13">
        <f t="shared" si="43"/>
        <v>54.35101141362631</v>
      </c>
      <c r="DR54" s="20">
        <f t="shared" si="16"/>
        <v>479.72071753587551</v>
      </c>
      <c r="DS54" s="59">
        <f t="shared" si="17"/>
        <v>738.45260548866349</v>
      </c>
      <c r="DT54" s="59">
        <f ca="1">AVERAGE(OFFSET($DS$3,0,0,'Données projet'!$E$14+1,1))-AVERAGE(OFFSET($H$3,0,0,'Données projet'!$E$14+1,1))</f>
        <v>598.03945725240396</v>
      </c>
      <c r="DU54" s="59">
        <f t="shared" si="44"/>
        <v>313.9014686755695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67.663235409739926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67.663235409739926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12.271428571428576</v>
      </c>
      <c r="EJ54" s="12">
        <f>IF('Données projet'!$A$192&gt;35,EJ53+EI54-ER53,IF(A54&lt;'Données projet'!$A$192,$EG$205^A54,IF(A54='Données projet'!$A$192,'Données projet'!$B$192,EJ53+EI54-ER53)))</f>
        <v>228.58428571428584</v>
      </c>
      <c r="EK54" s="17">
        <f>EJ54*VLOOKUP('Données projet'!$B$15,Paramètres!$A$1:$I$89,3,0)*VLOOKUP('Données projet'!$B$15,Paramètres!$A$1:$I$89,5,0)</f>
        <v>153.33433885714294</v>
      </c>
      <c r="EL54" s="13">
        <f t="shared" si="45"/>
        <v>39.335353799469985</v>
      </c>
      <c r="EM54" s="20">
        <f t="shared" si="19"/>
        <v>335.5663813769342</v>
      </c>
      <c r="EN54" s="59">
        <f t="shared" si="20"/>
        <v>594.29826932972219</v>
      </c>
      <c r="EO54" s="59">
        <f ca="1">AVERAGE(OFFSET($EN$3,0,0,'Données projet'!$E$15+1,1))-AVERAGE(OFFSET($H$3,0,0,'Données projet'!$E$15+1,1))</f>
        <v>438.27475674276604</v>
      </c>
      <c r="EP54" s="59">
        <f t="shared" si="46"/>
        <v>235.97720136798864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57.841152850261544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57.841152850261544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16.366250000000001</v>
      </c>
      <c r="FE54" s="12">
        <f>IF('Données projet'!$A$218&gt;35,FE53+FD54-FM53,IF(A54&lt;'Données projet'!$A$218,$FB$205^A54,IF(A54='Données projet'!$A$218,'Données projet'!$B$218,FE53+FD54-FM53)))</f>
        <v>285.54624999999976</v>
      </c>
      <c r="FF54" s="17">
        <f>FE54*VLOOKUP('Données projet'!$B$16,Paramètres!$A$1:$I$89,3,0)*VLOOKUP('Données projet'!$B$16,Paramètres!$A$1:$I$89,5,0)</f>
        <v>133.6356449999999</v>
      </c>
      <c r="FG54" s="13">
        <f t="shared" si="47"/>
        <v>34.835096796276105</v>
      </c>
      <c r="FH54" s="20">
        <f t="shared" si="22"/>
        <v>293.4198752951807</v>
      </c>
      <c r="FI54" s="59">
        <f t="shared" si="23"/>
        <v>552.15176324796857</v>
      </c>
      <c r="FJ54" s="59">
        <f ca="1">AVERAGE(OFFSET($FI$3,0,0,'Données projet'!$E$16+1,1))-AVERAGE(OFFSET($H$3,0,0,'Données projet'!$E$16+1,1))</f>
        <v>329.49463758169588</v>
      </c>
      <c r="FK54" s="59">
        <f t="shared" si="48"/>
        <v>207.1447698203379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65.772442215543435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65.772442215543435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20.2</v>
      </c>
      <c r="FZ54" s="12">
        <f>IF('Données projet'!$A$244&gt;35,FZ53+FY54-GH53,IF(A54&lt;'Données projet'!$A$244,$FW$205^A54,IF(A54='Données projet'!$A$244,'Données projet'!$B$244,FZ53+FY54-GH53)))</f>
        <v>527.20000000000016</v>
      </c>
      <c r="GA54" s="17">
        <f>FZ54*VLOOKUP('Données projet'!$B$17,Paramètres!$A$1:$I$89,3,0)*VLOOKUP('Données projet'!$B$17,Paramètres!$A$1:$I$89,5,0)</f>
        <v>315.26560000000012</v>
      </c>
      <c r="GB54" s="13">
        <f t="shared" si="49"/>
        <v>74.367416736885588</v>
      </c>
      <c r="GC54" s="20">
        <f t="shared" si="25"/>
        <v>678.61083748340923</v>
      </c>
      <c r="GD54" s="59">
        <f t="shared" si="26"/>
        <v>937.34272543619716</v>
      </c>
      <c r="GE54" s="59">
        <f ca="1">AVERAGE(OFFSET($GD$3,0,0,'Données projet'!$E$17+1,1))-AVERAGE(OFFSET($H$3,0,0,'Données projet'!$E$17+1,1))</f>
        <v>577.07444926285291</v>
      </c>
      <c r="GF54" s="59">
        <f t="shared" si="50"/>
        <v>501.3762209070419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78.185022961258369</v>
      </c>
      <c r="GM54" s="21">
        <f>EXP(-LN(2)/25)*GM53+(1-EXP(-LN(2)/25))/(LN(2)/25)*Calculateur!GH54*Calculateur!GJ54*VLOOKUP('Données projet'!$B$17,Paramètres!$A$1:$I$89,3,0)*0.475*44/12</f>
        <v>36.54722946241445</v>
      </c>
      <c r="GN54" s="21">
        <f>EXP(-LN(2)/2)*GN53+(1-EXP(-LN(2)/2))/(LN(2)/2)*GH54*GK54*VLOOKUP('Données projet'!$B$17,Paramètres!$A$1:$I$89,3,0)*0.475*44/12</f>
        <v>5.4239552277898327E-5</v>
      </c>
      <c r="GO54" s="21">
        <f t="shared" si="27"/>
        <v>114.7323066632251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60.563242168942161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-5.6843418860808015E-14</v>
      </c>
      <c r="GV54" s="17">
        <f>GU54*VLOOKUP('Données projet'!$B$18,Paramètres!$A$1:$I$89,3,0)*VLOOKUP('Données projet'!$B$18,Paramètres!$A$1:$I$89,5,0)</f>
        <v>-3.0061073630349716E-14</v>
      </c>
      <c r="GW54" s="13" t="e">
        <f t="shared" si="51"/>
        <v>#NUM!</v>
      </c>
      <c r="GX54" s="20" t="e">
        <f t="shared" si="28"/>
        <v>#NUM!</v>
      </c>
      <c r="GY54" s="59" t="e">
        <f t="shared" si="29"/>
        <v>#NUM!</v>
      </c>
      <c r="GZ54" s="59">
        <f ca="1">AVERAGE(OFFSET($GY$3,0,0,'Données projet'!$E$18+1,1))-AVERAGE(OFFSET($H$3,0,0,'Données projet'!$E$18+1,1))</f>
        <v>212.75657290802619</v>
      </c>
      <c r="HA54" s="59">
        <f t="shared" si="52"/>
        <v>411.47446316045978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50.714908814044222</v>
      </c>
      <c r="HH54" s="21">
        <f>EXP(-LN(2)/25)*HH53+(1-EXP(-LN(2)/25))/(LN(2)/25)*Calculateur!HC54*Calculateur!HE54*VLOOKUP('Données projet'!$B$18,Paramètres!$A$1:$I$89,3,0)*0.475*44/12</f>
        <v>11.124015992755483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61.838924806799703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4.60745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16.893983333333335</v>
      </c>
      <c r="H55" s="66">
        <f t="shared" si="1"/>
        <v>189.09073333333333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240.85571428571441</v>
      </c>
      <c r="O55" s="13">
        <f>N55*VLOOKUP('Données projet'!$B$9,Paramètres!$A$1:$I$89,3,0)*VLOOKUP('Données projet'!$B$9,Paramètres!$A$1:$I$89,5,0)</f>
        <v>217.92625028571439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732.35168934426883</v>
      </c>
      <c r="S55" s="59">
        <f ca="1">AVERAGE(OFFSET($R$3,0,0,'Données projet'!$E$9+1,1))-AVERAGE(OFFSET($H$3,0,0,'Données projet'!$E$9+1,1))</f>
        <v>564.49981446852132</v>
      </c>
      <c r="T55" s="59">
        <f t="shared" si="34"/>
        <v>297.54722913785406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12.271428571428576</v>
      </c>
      <c r="AI55" s="13">
        <f>IF('Données projet'!$A$62&gt;35,AI54+AH55-AQ54,IF(A55&lt;'Données projet'!$A$62,$AF$205^A55,IF(A55='Données projet'!$A$62,'Données projet'!$B$62,AI54+AH55-AQ54)))</f>
        <v>240.85571428571436</v>
      </c>
      <c r="AJ55" s="13">
        <f>AI55*VLOOKUP('Données projet'!$B$10,Paramètres!$A$1:$I$89,3,0)*VLOOKUP('Données projet'!$B$10,Paramètres!$A$1:$I$89,5,0)</f>
        <v>244.22769428571436</v>
      </c>
      <c r="AK55" s="13">
        <f t="shared" si="35"/>
        <v>59.348213013679157</v>
      </c>
      <c r="AL55" s="20">
        <f t="shared" si="4"/>
        <v>528.72803854644371</v>
      </c>
      <c r="AM55" s="59">
        <f t="shared" si="5"/>
        <v>788.06018421934118</v>
      </c>
      <c r="AN55" s="59">
        <f ca="1">AVERAGE(OFFSET($AM$3,0,0,'Données projet'!$E$10+1,1))-AVERAGE(OFFSET($H$3,0,0,'Données projet'!$E$10+1,1))</f>
        <v>623.16549611107564</v>
      </c>
      <c r="AO55" s="59">
        <f t="shared" si="36"/>
        <v>326.15178903425885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69.546226470975341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69.546226470975341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173.59679999999992</v>
      </c>
      <c r="BF55" s="13">
        <f t="shared" si="37"/>
        <v>43.894602908365897</v>
      </c>
      <c r="BG55" s="20">
        <f t="shared" si="7"/>
        <v>378.79752673207048</v>
      </c>
      <c r="BH55" s="59">
        <f t="shared" si="8"/>
        <v>638.12967240496801</v>
      </c>
      <c r="BI55" s="59">
        <f ca="1">AVERAGE(OFFSET($BH$3,0,0,'Données projet'!$E$11+1,1))-AVERAGE(OFFSET($H$3,0,0,'Données projet'!$E$11+1,1))</f>
        <v>326.2912419133811</v>
      </c>
      <c r="BJ55" s="59">
        <f t="shared" si="38"/>
        <v>315.07976787459938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36.865370436562685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36.865370436562685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6.6</v>
      </c>
      <c r="BY55" s="12">
        <f>IF('Données projet'!$A$114&gt;35,BY54+BX55-CG54,IF(A55&lt;'Données projet'!$A$114,$BV$205^A55,IF(A55='Données projet'!$A$114,'Données projet'!$B$114,BY54+BX55-CG54)))</f>
        <v>198.20000000000005</v>
      </c>
      <c r="BZ55" s="13">
        <f>BY55*VLOOKUP('Données projet'!$B$12,Paramètres!$A$1:$I$89,3,0)*VLOOKUP('Données projet'!$B$12,Paramètres!$A$1:$I$89,5,0)</f>
        <v>126.76872000000003</v>
      </c>
      <c r="CA55" s="13">
        <f t="shared" si="39"/>
        <v>33.24861514881087</v>
      </c>
      <c r="CB55" s="20">
        <f t="shared" si="10"/>
        <v>278.69685871751233</v>
      </c>
      <c r="CC55" s="59">
        <f t="shared" si="11"/>
        <v>538.0290043904098</v>
      </c>
      <c r="CD55" s="59">
        <f ca="1">AVERAGE(OFFSET($CC$3,0,0,'Données projet'!$E$12+1,1))-AVERAGE(OFFSET($H$3,0,0,'Données projet'!$E$12+1,1))</f>
        <v>297.03992602744393</v>
      </c>
      <c r="CE55" s="59">
        <f t="shared" si="40"/>
        <v>265.2588848922893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26.230061563170715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26.230061563170715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298.7999999999999</v>
      </c>
      <c r="CU55" s="17">
        <f>CT55*VLOOKUP('Données projet'!$B$13,Paramètres!$A$1:$I$89,3,0)*VLOOKUP('Données projet'!$B$13,Paramètres!$A$1:$I$89,5,0)</f>
        <v>237.72527999999994</v>
      </c>
      <c r="CV55" s="13">
        <f t="shared" si="41"/>
        <v>57.949842464086196</v>
      </c>
      <c r="CW55" s="20">
        <f t="shared" si="13"/>
        <v>514.96750495828326</v>
      </c>
      <c r="CX55" s="59">
        <f t="shared" si="14"/>
        <v>774.29965063118073</v>
      </c>
      <c r="CY55" s="59">
        <f ca="1">AVERAGE(OFFSET($CX$3,0,0,'Données projet'!$E$13+1,1))-AVERAGE(OFFSET($H$3,0,0,'Données projet'!$E$13+1,1))</f>
        <v>427.42918901489531</v>
      </c>
      <c r="CZ55" s="59">
        <f t="shared" si="42"/>
        <v>410.68601510655412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48.642772021113451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48.642772021113451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12.271428571428576</v>
      </c>
      <c r="DO55" s="12">
        <f>IF('Données projet'!$A$166&gt;35,DO54+DN55-DW54,IF(A55&lt;'Données projet'!$A$166,$DL$205^A55,IF(A55='Données projet'!$A$166,'Données projet'!$B$166,DO54+DN55-DW54)))</f>
        <v>240.85571428571436</v>
      </c>
      <c r="DP55" s="17">
        <f>DO55*VLOOKUP('Données projet'!$B$14,Paramètres!$A$1:$I$89,3,0)*VLOOKUP('Données projet'!$B$14,Paramètres!$A$1:$I$89,5,0)</f>
        <v>232.95564685714291</v>
      </c>
      <c r="DQ55" s="13">
        <f t="shared" si="43"/>
        <v>56.921285782535257</v>
      </c>
      <c r="DR55" s="20">
        <f t="shared" si="16"/>
        <v>504.86899101410614</v>
      </c>
      <c r="DS55" s="59">
        <f t="shared" si="17"/>
        <v>764.20113668700355</v>
      </c>
      <c r="DT55" s="59">
        <f ca="1">AVERAGE(OFFSET($DS$3,0,0,'Données projet'!$E$14+1,1))-AVERAGE(OFFSET($H$3,0,0,'Données projet'!$E$14+1,1))</f>
        <v>598.03945725240396</v>
      </c>
      <c r="DU55" s="59">
        <f t="shared" si="44"/>
        <v>313.9014686755695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66.336400633853401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66.336400633853401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12.271428571428576</v>
      </c>
      <c r="EJ55" s="12">
        <f>IF('Données projet'!$A$192&gt;35,EJ54+EI55-ER54,IF(A55&lt;'Données projet'!$A$192,$EG$205^A55,IF(A55='Données projet'!$A$192,'Données projet'!$B$192,EJ54+EI55-ER54)))</f>
        <v>240.85571428571441</v>
      </c>
      <c r="EK55" s="17">
        <f>EJ55*VLOOKUP('Données projet'!$B$15,Paramètres!$A$1:$I$89,3,0)*VLOOKUP('Données projet'!$B$15,Paramètres!$A$1:$I$89,5,0)</f>
        <v>161.56601314285723</v>
      </c>
      <c r="EL55" s="13">
        <f t="shared" si="45"/>
        <v>41.195533564908487</v>
      </c>
      <c r="EM55" s="20">
        <f t="shared" si="19"/>
        <v>353.14302718269192</v>
      </c>
      <c r="EN55" s="59">
        <f t="shared" si="20"/>
        <v>612.47517285558934</v>
      </c>
      <c r="EO55" s="59">
        <f ca="1">AVERAGE(OFFSET($EN$3,0,0,'Données projet'!$E$15+1,1))-AVERAGE(OFFSET($H$3,0,0,'Données projet'!$E$15+1,1))</f>
        <v>438.27475674276604</v>
      </c>
      <c r="EP55" s="59">
        <f t="shared" si="46"/>
        <v>235.97720136798864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56.706923122487581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56.706923122487581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16.366250000000001</v>
      </c>
      <c r="FE55" s="12">
        <f>IF('Données projet'!$A$218&gt;35,FE54+FD55-FM54,IF(A55&lt;'Données projet'!$A$218,$FB$205^A55,IF(A55='Données projet'!$A$218,'Données projet'!$B$218,FE54+FD55-FM54)))</f>
        <v>301.91249999999974</v>
      </c>
      <c r="FF55" s="17">
        <f>FE55*VLOOKUP('Données projet'!$B$16,Paramètres!$A$1:$I$89,3,0)*VLOOKUP('Données projet'!$B$16,Paramètres!$A$1:$I$89,5,0)</f>
        <v>141.29504999999989</v>
      </c>
      <c r="FG55" s="13">
        <f t="shared" si="47"/>
        <v>36.593524088822633</v>
      </c>
      <c r="FH55" s="20">
        <f t="shared" si="22"/>
        <v>309.82259987136587</v>
      </c>
      <c r="FI55" s="59">
        <f t="shared" si="23"/>
        <v>569.15474554426328</v>
      </c>
      <c r="FJ55" s="59">
        <f ca="1">AVERAGE(OFFSET($FI$3,0,0,'Données projet'!$E$16+1,1))-AVERAGE(OFFSET($H$3,0,0,'Données projet'!$E$16+1,1))</f>
        <v>329.49463758169588</v>
      </c>
      <c r="FK55" s="59">
        <f t="shared" si="48"/>
        <v>207.1447698203379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64.482684740925137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64.482684740925137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20.2</v>
      </c>
      <c r="FZ55" s="12">
        <f>IF('Données projet'!$A$244&gt;35,FZ54+FY55-GH54,IF(A55&lt;'Données projet'!$A$244,$FW$205^A55,IF(A55='Données projet'!$A$244,'Données projet'!$B$244,FZ54+FY55-GH54)))</f>
        <v>547.4000000000002</v>
      </c>
      <c r="GA55" s="17">
        <f>FZ55*VLOOKUP('Données projet'!$B$17,Paramètres!$A$1:$I$89,3,0)*VLOOKUP('Données projet'!$B$17,Paramètres!$A$1:$I$89,5,0)</f>
        <v>327.34520000000015</v>
      </c>
      <c r="GB55" s="13">
        <f t="shared" si="49"/>
        <v>76.879640917553189</v>
      </c>
      <c r="GC55" s="20">
        <f t="shared" si="25"/>
        <v>704.02493126473883</v>
      </c>
      <c r="GD55" s="59">
        <f t="shared" si="26"/>
        <v>963.35707693763629</v>
      </c>
      <c r="GE55" s="59">
        <f ca="1">AVERAGE(OFFSET($GD$3,0,0,'Données projet'!$E$17+1,1))-AVERAGE(OFFSET($H$3,0,0,'Données projet'!$E$17+1,1))</f>
        <v>577.07444926285291</v>
      </c>
      <c r="GF55" s="59">
        <f t="shared" si="50"/>
        <v>501.3762209070419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76.651862349143286</v>
      </c>
      <c r="GM55" s="21">
        <f>EXP(-LN(2)/25)*GM54+(1-EXP(-LN(2)/25))/(LN(2)/25)*Calculateur!GH55*Calculateur!GJ55*VLOOKUP('Données projet'!$B$17,Paramètres!$A$1:$I$89,3,0)*0.475*44/12</f>
        <v>35.547843550829462</v>
      </c>
      <c r="GN55" s="21">
        <f>EXP(-LN(2)/2)*GN54+(1-EXP(-LN(2)/2))/(LN(2)/2)*GH55*GK55*VLOOKUP('Données projet'!$B$17,Paramètres!$A$1:$I$89,3,0)*0.475*44/12</f>
        <v>3.8353155224224157E-5</v>
      </c>
      <c r="GO55" s="21">
        <f t="shared" si="27"/>
        <v>112.19974425312796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60.726948819881123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-5.6843418860808015E-14</v>
      </c>
      <c r="GV55" s="17">
        <f>GU55*VLOOKUP('Données projet'!$B$18,Paramètres!$A$1:$I$89,3,0)*VLOOKUP('Données projet'!$B$18,Paramètres!$A$1:$I$89,5,0)</f>
        <v>-3.0061073630349716E-14</v>
      </c>
      <c r="GW55" s="13" t="e">
        <f t="shared" si="51"/>
        <v>#NUM!</v>
      </c>
      <c r="GX55" s="20" t="e">
        <f t="shared" si="28"/>
        <v>#NUM!</v>
      </c>
      <c r="GY55" s="59" t="e">
        <f t="shared" si="29"/>
        <v>#NUM!</v>
      </c>
      <c r="GZ55" s="59">
        <f ca="1">AVERAGE(OFFSET($GY$3,0,0,'Données projet'!$E$18+1,1))-AVERAGE(OFFSET($H$3,0,0,'Données projet'!$E$18+1,1))</f>
        <v>212.75657290802619</v>
      </c>
      <c r="HA55" s="59">
        <f t="shared" si="52"/>
        <v>411.47446316045978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49.720420385240807</v>
      </c>
      <c r="HH55" s="21">
        <f>EXP(-LN(2)/25)*HH54+(1-EXP(-LN(2)/25))/(LN(2)/25)*Calculateur!HC55*Calculateur!HE55*VLOOKUP('Données projet'!$B$18,Paramètres!$A$1:$I$89,3,0)*0.475*44/12</f>
        <v>10.819829190447008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60.540249575687817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4.60745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16.893983333333335</v>
      </c>
      <c r="H56" s="66">
        <f t="shared" si="1"/>
        <v>189.09073333333333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253.12714285714299</v>
      </c>
      <c r="O56" s="13">
        <f>N56*VLOOKUP('Données projet'!$B$9,Paramètres!$A$1:$I$89,3,0)*VLOOKUP('Données projet'!$B$9,Paramètres!$A$1:$I$89,5,0)</f>
        <v>229.02943885714296</v>
      </c>
      <c r="P56" s="13">
        <f t="shared" si="33"/>
        <v>56.072771899312158</v>
      </c>
      <c r="Q56" s="20">
        <f t="shared" si="53"/>
        <v>496.55301706749265</v>
      </c>
      <c r="R56" s="59">
        <f t="shared" si="0"/>
        <v>756.47500733103084</v>
      </c>
      <c r="S56" s="59">
        <f ca="1">AVERAGE(OFFSET($R$3,0,0,'Données projet'!$E$9+1,1))-AVERAGE(OFFSET($H$3,0,0,'Données projet'!$E$9+1,1))</f>
        <v>564.49981446852132</v>
      </c>
      <c r="T56" s="59">
        <f t="shared" si="34"/>
        <v>297.54722913785406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12.271428571428576</v>
      </c>
      <c r="AI56" s="13">
        <f>IF('Données projet'!$A$62&gt;35,AI55+AH56-AQ55,IF(A56&lt;'Données projet'!$A$62,$AF$205^A56,IF(A56='Données projet'!$A$62,'Données projet'!$B$62,AI55+AH56-AQ55)))</f>
        <v>253.12714285714293</v>
      </c>
      <c r="AJ56" s="13">
        <f>AI56*VLOOKUP('Données projet'!$B$10,Paramètres!$A$1:$I$89,3,0)*VLOOKUP('Données projet'!$B$10,Paramètres!$A$1:$I$89,5,0)</f>
        <v>256.67092285714295</v>
      </c>
      <c r="AK56" s="13">
        <f t="shared" si="35"/>
        <v>62.012221890308474</v>
      </c>
      <c r="AL56" s="20">
        <f t="shared" si="4"/>
        <v>555.03981043514455</v>
      </c>
      <c r="AM56" s="59">
        <f t="shared" si="5"/>
        <v>814.96180069868274</v>
      </c>
      <c r="AN56" s="59">
        <f ca="1">AVERAGE(OFFSET($AM$3,0,0,'Données projet'!$E$10+1,1))-AVERAGE(OFFSET($H$3,0,0,'Données projet'!$E$10+1,1))</f>
        <v>623.16549611107564</v>
      </c>
      <c r="AO56" s="59">
        <f t="shared" si="36"/>
        <v>326.15178903425885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68.182467388889137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68.182467388889137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178.46399999999991</v>
      </c>
      <c r="BF56" s="13">
        <f t="shared" si="37"/>
        <v>44.980284206661821</v>
      </c>
      <c r="BG56" s="20">
        <f t="shared" si="7"/>
        <v>389.16546165993583</v>
      </c>
      <c r="BH56" s="59">
        <f t="shared" si="8"/>
        <v>649.08745192347408</v>
      </c>
      <c r="BI56" s="59">
        <f ca="1">AVERAGE(OFFSET($BH$3,0,0,'Données projet'!$E$11+1,1))-AVERAGE(OFFSET($H$3,0,0,'Données projet'!$E$11+1,1))</f>
        <v>326.2912419133811</v>
      </c>
      <c r="BJ56" s="59">
        <f t="shared" si="38"/>
        <v>315.07976787459938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36.142463007957382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36.142463007957382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6.6</v>
      </c>
      <c r="BY56" s="12">
        <f>IF('Données projet'!$A$114&gt;35,BY55+BX56-CG55,IF(A56&lt;'Données projet'!$A$114,$BV$205^A56,IF(A56='Données projet'!$A$114,'Données projet'!$B$114,BY55+BX56-CG55)))</f>
        <v>204.80000000000004</v>
      </c>
      <c r="BZ56" s="13">
        <f>BY56*VLOOKUP('Données projet'!$B$12,Paramètres!$A$1:$I$89,3,0)*VLOOKUP('Données projet'!$B$12,Paramètres!$A$1:$I$89,5,0)</f>
        <v>130.99008000000003</v>
      </c>
      <c r="CA56" s="13">
        <f t="shared" si="39"/>
        <v>34.225036630826814</v>
      </c>
      <c r="CB56" s="20">
        <f t="shared" si="10"/>
        <v>287.74966146535672</v>
      </c>
      <c r="CC56" s="59">
        <f t="shared" si="11"/>
        <v>547.67165172889497</v>
      </c>
      <c r="CD56" s="59">
        <f ca="1">AVERAGE(OFFSET($CC$3,0,0,'Données projet'!$E$12+1,1))-AVERAGE(OFFSET($H$3,0,0,'Données projet'!$E$12+1,1))</f>
        <v>297.03992602744393</v>
      </c>
      <c r="CE56" s="59">
        <f t="shared" si="40"/>
        <v>265.2588848922893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25.715706054674744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25.715706054674744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307.19999999999987</v>
      </c>
      <c r="CU56" s="17">
        <f>CT56*VLOOKUP('Données projet'!$B$13,Paramètres!$A$1:$I$89,3,0)*VLOOKUP('Données projet'!$B$13,Paramètres!$A$1:$I$89,5,0)</f>
        <v>244.40831999999992</v>
      </c>
      <c r="CV56" s="13">
        <f t="shared" si="41"/>
        <v>59.38699493610541</v>
      </c>
      <c r="CW56" s="20">
        <f t="shared" si="13"/>
        <v>529.11017351371675</v>
      </c>
      <c r="CX56" s="59">
        <f t="shared" si="14"/>
        <v>789.03216377725494</v>
      </c>
      <c r="CY56" s="59">
        <f ca="1">AVERAGE(OFFSET($CX$3,0,0,'Données projet'!$E$13+1,1))-AVERAGE(OFFSET($H$3,0,0,'Données projet'!$E$13+1,1))</f>
        <v>427.42918901489531</v>
      </c>
      <c r="CZ56" s="59">
        <f t="shared" si="42"/>
        <v>410.68601510655412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47.688916930940763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47.688916930940763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12.271428571428576</v>
      </c>
      <c r="DO56" s="12">
        <f>IF('Données projet'!$A$166&gt;35,DO55+DN56-DW55,IF(A56&lt;'Données projet'!$A$166,$DL$205^A56,IF(A56='Données projet'!$A$166,'Données projet'!$B$166,DO55+DN56-DW55)))</f>
        <v>253.12714285714293</v>
      </c>
      <c r="DP56" s="17">
        <f>DO56*VLOOKUP('Données projet'!$B$14,Paramètres!$A$1:$I$89,3,0)*VLOOKUP('Données projet'!$B$14,Paramètres!$A$1:$I$89,5,0)</f>
        <v>244.82457257142866</v>
      </c>
      <c r="DQ56" s="13">
        <f t="shared" si="43"/>
        <v>59.476355310220612</v>
      </c>
      <c r="DR56" s="20">
        <f t="shared" si="16"/>
        <v>529.99078272720578</v>
      </c>
      <c r="DS56" s="59">
        <f t="shared" si="17"/>
        <v>789.91277299074409</v>
      </c>
      <c r="DT56" s="59">
        <f ca="1">AVERAGE(OFFSET($DS$3,0,0,'Données projet'!$E$14+1,1))-AVERAGE(OFFSET($H$3,0,0,'Données projet'!$E$14+1,1))</f>
        <v>598.03945725240396</v>
      </c>
      <c r="DU56" s="59">
        <f t="shared" si="44"/>
        <v>313.9014686755695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65.035584278632712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65.035584278632712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12.271428571428576</v>
      </c>
      <c r="EJ56" s="12">
        <f>IF('Données projet'!$A$192&gt;35,EJ55+EI56-ER55,IF(A56&lt;'Données projet'!$A$192,$EG$205^A56,IF(A56='Données projet'!$A$192,'Données projet'!$B$192,EJ55+EI56-ER55)))</f>
        <v>253.12714285714299</v>
      </c>
      <c r="EK56" s="17">
        <f>EJ56*VLOOKUP('Données projet'!$B$15,Paramètres!$A$1:$I$89,3,0)*VLOOKUP('Données projet'!$B$15,Paramètres!$A$1:$I$89,5,0)</f>
        <v>169.79768742857152</v>
      </c>
      <c r="EL56" s="13">
        <f t="shared" si="45"/>
        <v>43.044709159615941</v>
      </c>
      <c r="EM56" s="20">
        <f t="shared" si="19"/>
        <v>370.70050739109314</v>
      </c>
      <c r="EN56" s="59">
        <f t="shared" si="20"/>
        <v>630.62249765463139</v>
      </c>
      <c r="EO56" s="59">
        <f ca="1">AVERAGE(OFFSET($EN$3,0,0,'Données projet'!$E$15+1,1))-AVERAGE(OFFSET($H$3,0,0,'Données projet'!$E$15+1,1))</f>
        <v>438.27475674276604</v>
      </c>
      <c r="EP56" s="59">
        <f t="shared" si="46"/>
        <v>235.97720136798864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55.594934947863443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55.594934947863443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16.366250000000001</v>
      </c>
      <c r="FE56" s="12">
        <f>IF('Données projet'!$A$218&gt;35,FE55+FD56-FM55,IF(A56&lt;'Données projet'!$A$218,$FB$205^A56,IF(A56='Données projet'!$A$218,'Données projet'!$B$218,FE55+FD56-FM55)))</f>
        <v>318.27874999999972</v>
      </c>
      <c r="FF56" s="17">
        <f>FE56*VLOOKUP('Données projet'!$B$16,Paramètres!$A$1:$I$89,3,0)*VLOOKUP('Données projet'!$B$16,Paramètres!$A$1:$I$89,5,0)</f>
        <v>148.95445499999988</v>
      </c>
      <c r="FG56" s="13">
        <f t="shared" si="47"/>
        <v>38.340885127757794</v>
      </c>
      <c r="FH56" s="20">
        <f t="shared" si="22"/>
        <v>326.20605072251124</v>
      </c>
      <c r="FI56" s="59">
        <f t="shared" si="23"/>
        <v>586.12804098604943</v>
      </c>
      <c r="FJ56" s="59">
        <f ca="1">AVERAGE(OFFSET($FI$3,0,0,'Données projet'!$E$16+1,1))-AVERAGE(OFFSET($H$3,0,0,'Données projet'!$E$16+1,1))</f>
        <v>329.49463758169588</v>
      </c>
      <c r="FK56" s="59">
        <f t="shared" si="48"/>
        <v>207.1447698203379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63.218218623709717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63.218218623709717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20.2</v>
      </c>
      <c r="FZ56" s="12">
        <f>IF('Données projet'!$A$244&gt;35,FZ55+FY56-GH55,IF(A56&lt;'Données projet'!$A$244,$FW$205^A56,IF(A56='Données projet'!$A$244,'Données projet'!$B$244,FZ55+FY56-GH55)))</f>
        <v>567.60000000000025</v>
      </c>
      <c r="GA56" s="17">
        <f>FZ56*VLOOKUP('Données projet'!$B$17,Paramètres!$A$1:$I$89,3,0)*VLOOKUP('Données projet'!$B$17,Paramètres!$A$1:$I$89,5,0)</f>
        <v>339.42480000000018</v>
      </c>
      <c r="GB56" s="13">
        <f t="shared" si="49"/>
        <v>79.38109475156449</v>
      </c>
      <c r="GC56" s="20">
        <f t="shared" si="25"/>
        <v>729.42026669230836</v>
      </c>
      <c r="GD56" s="59">
        <f t="shared" si="26"/>
        <v>989.34225695584655</v>
      </c>
      <c r="GE56" s="59">
        <f ca="1">AVERAGE(OFFSET($GD$3,0,0,'Données projet'!$E$17+1,1))-AVERAGE(OFFSET($H$3,0,0,'Données projet'!$E$17+1,1))</f>
        <v>577.07444926285291</v>
      </c>
      <c r="GF56" s="59">
        <f t="shared" si="50"/>
        <v>501.3762209070419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75.148766081496149</v>
      </c>
      <c r="GM56" s="21">
        <f>EXP(-LN(2)/25)*GM55+(1-EXP(-LN(2)/25))/(LN(2)/25)*Calculateur!GH56*Calculateur!GJ56*VLOOKUP('Données projet'!$B$17,Paramètres!$A$1:$I$89,3,0)*0.475*44/12</f>
        <v>34.575785899552187</v>
      </c>
      <c r="GN56" s="21">
        <f>EXP(-LN(2)/2)*GN55+(1-EXP(-LN(2)/2))/(LN(2)/2)*GH56*GK56*VLOOKUP('Données projet'!$B$17,Paramètres!$A$1:$I$89,3,0)*0.475*44/12</f>
        <v>2.7119776138949164E-5</v>
      </c>
      <c r="GO56" s="21">
        <f t="shared" si="27"/>
        <v>109.72457910082447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60.887815526419537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-5.6843418860808015E-14</v>
      </c>
      <c r="GV56" s="17">
        <f>GU56*VLOOKUP('Données projet'!$B$18,Paramètres!$A$1:$I$89,3,0)*VLOOKUP('Données projet'!$B$18,Paramètres!$A$1:$I$89,5,0)</f>
        <v>-3.0061073630349716E-14</v>
      </c>
      <c r="GW56" s="13" t="e">
        <f t="shared" si="51"/>
        <v>#NUM!</v>
      </c>
      <c r="GX56" s="20" t="e">
        <f t="shared" si="28"/>
        <v>#NUM!</v>
      </c>
      <c r="GY56" s="59" t="e">
        <f t="shared" si="29"/>
        <v>#NUM!</v>
      </c>
      <c r="GZ56" s="59">
        <f ca="1">AVERAGE(OFFSET($GY$3,0,0,'Données projet'!$E$18+1,1))-AVERAGE(OFFSET($H$3,0,0,'Données projet'!$E$18+1,1))</f>
        <v>212.75657290802619</v>
      </c>
      <c r="HA56" s="59">
        <f t="shared" si="52"/>
        <v>411.47446316045978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48.745433267948179</v>
      </c>
      <c r="HH56" s="21">
        <f>EXP(-LN(2)/25)*HH55+(1-EXP(-LN(2)/25))/(LN(2)/25)*Calculateur!HC56*Calculateur!HE56*VLOOKUP('Données projet'!$B$18,Paramètres!$A$1:$I$89,3,0)*0.475*44/12</f>
        <v>10.523960392244147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59.269393660192328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4.60745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16.893983333333335</v>
      </c>
      <c r="H57" s="66">
        <f t="shared" si="1"/>
        <v>189.09073333333333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265.39857142857159</v>
      </c>
      <c r="O57" s="13">
        <f>N57*VLOOKUP('Données projet'!$B$9,Paramètres!$A$1:$I$89,3,0)*VLOOKUP('Données projet'!$B$9,Paramètres!$A$1:$I$89,5,0)</f>
        <v>240.13262742857154</v>
      </c>
      <c r="P57" s="13">
        <f t="shared" si="33"/>
        <v>58.468065001979532</v>
      </c>
      <c r="Q57" s="20">
        <f t="shared" si="53"/>
        <v>520.06287264987645</v>
      </c>
      <c r="R57" s="59">
        <f t="shared" si="0"/>
        <v>780.56447501910293</v>
      </c>
      <c r="S57" s="59">
        <f ca="1">AVERAGE(OFFSET($R$3,0,0,'Données projet'!$E$9+1,1))-AVERAGE(OFFSET($H$3,0,0,'Données projet'!$E$9+1,1))</f>
        <v>564.49981446852132</v>
      </c>
      <c r="T57" s="59">
        <f t="shared" si="34"/>
        <v>297.54722913785406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12.271428571428576</v>
      </c>
      <c r="AI57" s="13">
        <f>IF('Données projet'!$A$62&gt;35,AI56+AH57-AQ56,IF(A57&lt;'Données projet'!$A$62,$AF$205^A57,IF(A57='Données projet'!$A$62,'Données projet'!$B$62,AI56+AH57-AQ56)))</f>
        <v>265.39857142857153</v>
      </c>
      <c r="AJ57" s="13">
        <f>AI57*VLOOKUP('Données projet'!$B$10,Paramètres!$A$1:$I$89,3,0)*VLOOKUP('Données projet'!$B$10,Paramètres!$A$1:$I$89,5,0)</f>
        <v>269.11415142857157</v>
      </c>
      <c r="AK57" s="13">
        <f t="shared" si="35"/>
        <v>64.661233921346607</v>
      </c>
      <c r="AL57" s="20">
        <f t="shared" si="4"/>
        <v>581.32546281777411</v>
      </c>
      <c r="AM57" s="59">
        <f t="shared" si="5"/>
        <v>841.8270651870007</v>
      </c>
      <c r="AN57" s="59">
        <f ca="1">AVERAGE(OFFSET($AM$3,0,0,'Données projet'!$E$10+1,1))-AVERAGE(OFFSET($H$3,0,0,'Données projet'!$E$10+1,1))</f>
        <v>623.16549611107564</v>
      </c>
      <c r="AO57" s="59">
        <f t="shared" si="36"/>
        <v>326.15178903425885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66.845450790591727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66.845450790591727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183.33119999999991</v>
      </c>
      <c r="BF57" s="13">
        <f t="shared" si="37"/>
        <v>46.062523974317784</v>
      </c>
      <c r="BG57" s="20">
        <f t="shared" si="7"/>
        <v>399.52740258860331</v>
      </c>
      <c r="BH57" s="59">
        <f t="shared" si="8"/>
        <v>660.02900495782978</v>
      </c>
      <c r="BI57" s="59">
        <f ca="1">AVERAGE(OFFSET($BH$3,0,0,'Données projet'!$E$11+1,1))-AVERAGE(OFFSET($H$3,0,0,'Données projet'!$E$11+1,1))</f>
        <v>326.2912419133811</v>
      </c>
      <c r="BJ57" s="59">
        <f t="shared" si="38"/>
        <v>315.07976787459938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35.433731353097038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35.433731353097038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6.6</v>
      </c>
      <c r="BY57" s="12">
        <f>IF('Données projet'!$A$114&gt;35,BY56+BX57-CG56,IF(A57&lt;'Données projet'!$A$114,$BV$205^A57,IF(A57='Données projet'!$A$114,'Données projet'!$B$114,BY56+BX57-CG56)))</f>
        <v>211.40000000000003</v>
      </c>
      <c r="BZ57" s="13">
        <f>BY57*VLOOKUP('Données projet'!$B$12,Paramètres!$A$1:$I$89,3,0)*VLOOKUP('Données projet'!$B$12,Paramètres!$A$1:$I$89,5,0)</f>
        <v>135.21144000000001</v>
      </c>
      <c r="CA57" s="13">
        <f t="shared" si="39"/>
        <v>35.197801580549793</v>
      </c>
      <c r="CB57" s="20">
        <f t="shared" si="10"/>
        <v>296.7960957527909</v>
      </c>
      <c r="CC57" s="59">
        <f t="shared" si="11"/>
        <v>557.29769812201744</v>
      </c>
      <c r="CD57" s="59">
        <f ca="1">AVERAGE(OFFSET($CC$3,0,0,'Données projet'!$E$12+1,1))-AVERAGE(OFFSET($H$3,0,0,'Données projet'!$E$12+1,1))</f>
        <v>297.03992602744393</v>
      </c>
      <c r="CE57" s="59">
        <f t="shared" si="40"/>
        <v>265.2588848922893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25.211436743974499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25.211436743974499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315.59999999999985</v>
      </c>
      <c r="CU57" s="17">
        <f>CT57*VLOOKUP('Données projet'!$B$13,Paramètres!$A$1:$I$89,3,0)*VLOOKUP('Données projet'!$B$13,Paramètres!$A$1:$I$89,5,0)</f>
        <v>251.0913599999999</v>
      </c>
      <c r="CV57" s="13">
        <f t="shared" si="41"/>
        <v>60.81957989149403</v>
      </c>
      <c r="CW57" s="20">
        <f t="shared" si="13"/>
        <v>543.24488697768527</v>
      </c>
      <c r="CX57" s="59">
        <f t="shared" si="14"/>
        <v>803.74648934691186</v>
      </c>
      <c r="CY57" s="59">
        <f ca="1">AVERAGE(OFFSET($CX$3,0,0,'Données projet'!$E$13+1,1))-AVERAGE(OFFSET($H$3,0,0,'Données projet'!$E$13+1,1))</f>
        <v>427.42918901489531</v>
      </c>
      <c r="CZ57" s="59">
        <f t="shared" si="42"/>
        <v>410.68601510655412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46.753766357292207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46.753766357292207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12.271428571428576</v>
      </c>
      <c r="DO57" s="12">
        <f>IF('Données projet'!$A$166&gt;35,DO56+DN57-DW56,IF(A57&lt;'Données projet'!$A$166,$DL$205^A57,IF(A57='Données projet'!$A$166,'Données projet'!$B$166,DO56+DN57-DW56)))</f>
        <v>265.39857142857153</v>
      </c>
      <c r="DP57" s="17">
        <f>DO57*VLOOKUP('Données projet'!$B$14,Paramètres!$A$1:$I$89,3,0)*VLOOKUP('Données projet'!$B$14,Paramètres!$A$1:$I$89,5,0)</f>
        <v>256.69349828571438</v>
      </c>
      <c r="DQ57" s="13">
        <f t="shared" si="43"/>
        <v>62.01704125851262</v>
      </c>
      <c r="DR57" s="20">
        <f t="shared" si="16"/>
        <v>555.08752303952872</v>
      </c>
      <c r="DS57" s="59">
        <f t="shared" si="17"/>
        <v>815.58912540875531</v>
      </c>
      <c r="DT57" s="59">
        <f ca="1">AVERAGE(OFFSET($DS$3,0,0,'Données projet'!$E$14+1,1))-AVERAGE(OFFSET($H$3,0,0,'Données projet'!$E$14+1,1))</f>
        <v>598.03945725240396</v>
      </c>
      <c r="DU57" s="59">
        <f t="shared" si="44"/>
        <v>313.9014686755695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63.760276138718268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63.760276138718268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12.271428571428576</v>
      </c>
      <c r="EJ57" s="12">
        <f>IF('Données projet'!$A$192&gt;35,EJ56+EI57-ER56,IF(A57&lt;'Données projet'!$A$192,$EG$205^A57,IF(A57='Données projet'!$A$192,'Données projet'!$B$192,EJ56+EI57-ER56)))</f>
        <v>265.39857142857159</v>
      </c>
      <c r="EK57" s="17">
        <f>EJ57*VLOOKUP('Données projet'!$B$15,Paramètres!$A$1:$I$89,3,0)*VLOOKUP('Données projet'!$B$15,Paramètres!$A$1:$I$89,5,0)</f>
        <v>178.02936171428581</v>
      </c>
      <c r="EL57" s="13">
        <f t="shared" si="45"/>
        <v>44.883474953850168</v>
      </c>
      <c r="EM57" s="20">
        <f t="shared" si="19"/>
        <v>388.23985719700346</v>
      </c>
      <c r="EN57" s="59">
        <f t="shared" si="20"/>
        <v>648.74145956622999</v>
      </c>
      <c r="EO57" s="59">
        <f ca="1">AVERAGE(OFFSET($EN$3,0,0,'Données projet'!$E$15+1,1))-AVERAGE(OFFSET($H$3,0,0,'Données projet'!$E$15+1,1))</f>
        <v>438.27475674276604</v>
      </c>
      <c r="EP57" s="59">
        <f t="shared" si="46"/>
        <v>235.97720136798864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54.504752183097871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54.504752183097871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16.366250000000001</v>
      </c>
      <c r="FE57" s="12">
        <f>IF('Données projet'!$A$218&gt;35,FE56+FD57-FM56,IF(A57&lt;'Données projet'!$A$218,$FB$205^A57,IF(A57='Données projet'!$A$218,'Données projet'!$B$218,FE56+FD57-FM56)))</f>
        <v>334.6449999999997</v>
      </c>
      <c r="FF57" s="17">
        <f>FE57*VLOOKUP('Données projet'!$B$16,Paramètres!$A$1:$I$89,3,0)*VLOOKUP('Données projet'!$B$16,Paramètres!$A$1:$I$89,5,0)</f>
        <v>156.61385999999985</v>
      </c>
      <c r="FG57" s="13">
        <f t="shared" si="47"/>
        <v>40.077813863626993</v>
      </c>
      <c r="FH57" s="20">
        <f t="shared" si="22"/>
        <v>342.5713319791501</v>
      </c>
      <c r="FI57" s="59">
        <f t="shared" si="23"/>
        <v>603.07293434837663</v>
      </c>
      <c r="FJ57" s="59">
        <f ca="1">AVERAGE(OFFSET($FI$3,0,0,'Données projet'!$E$16+1,1))-AVERAGE(OFFSET($H$3,0,0,'Données projet'!$E$16+1,1))</f>
        <v>329.49463758169588</v>
      </c>
      <c r="FK57" s="59">
        <f t="shared" si="48"/>
        <v>207.1447698203379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61.978547915804718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61.978547915804718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20.2</v>
      </c>
      <c r="FZ57" s="12">
        <f>IF('Données projet'!$A$244&gt;35,FZ56+FY57-GH56,IF(A57&lt;'Données projet'!$A$244,$FW$205^A57,IF(A57='Données projet'!$A$244,'Données projet'!$B$244,FZ56+FY57-GH56)))</f>
        <v>587.8000000000003</v>
      </c>
      <c r="GA57" s="17">
        <f>FZ57*VLOOKUP('Données projet'!$B$17,Paramètres!$A$1:$I$89,3,0)*VLOOKUP('Données projet'!$B$17,Paramètres!$A$1:$I$89,5,0)</f>
        <v>351.5044000000002</v>
      </c>
      <c r="GB57" s="13">
        <f t="shared" si="49"/>
        <v>81.872205453163147</v>
      </c>
      <c r="GC57" s="20">
        <f t="shared" si="25"/>
        <v>754.7975878309262</v>
      </c>
      <c r="GD57" s="59">
        <f t="shared" si="26"/>
        <v>1015.2991902001527</v>
      </c>
      <c r="GE57" s="59">
        <f ca="1">AVERAGE(OFFSET($GD$3,0,0,'Données projet'!$E$17+1,1))-AVERAGE(OFFSET($H$3,0,0,'Données projet'!$E$17+1,1))</f>
        <v>577.07444926285291</v>
      </c>
      <c r="GF57" s="59">
        <f t="shared" si="50"/>
        <v>501.3762209070419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73.675144614859363</v>
      </c>
      <c r="GM57" s="21">
        <f>EXP(-LN(2)/25)*GM56+(1-EXP(-LN(2)/25))/(LN(2)/25)*Calculateur!GH57*Calculateur!GJ57*VLOOKUP('Données projet'!$B$17,Paramètres!$A$1:$I$89,3,0)*0.475*44/12</f>
        <v>33.630309215867378</v>
      </c>
      <c r="GN57" s="21">
        <f>EXP(-LN(2)/2)*GN56+(1-EXP(-LN(2)/2))/(LN(2)/2)*GH57*GK57*VLOOKUP('Données projet'!$B$17,Paramètres!$A$1:$I$89,3,0)*0.475*44/12</f>
        <v>1.9176577612112079E-5</v>
      </c>
      <c r="GO57" s="21">
        <f t="shared" si="27"/>
        <v>107.30547300730436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61.045891555243593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-5.6843418860808015E-14</v>
      </c>
      <c r="GV57" s="17">
        <f>GU57*VLOOKUP('Données projet'!$B$18,Paramètres!$A$1:$I$89,3,0)*VLOOKUP('Données projet'!$B$18,Paramètres!$A$1:$I$89,5,0)</f>
        <v>-3.0061073630349716E-14</v>
      </c>
      <c r="GW57" s="13" t="e">
        <f t="shared" si="51"/>
        <v>#NUM!</v>
      </c>
      <c r="GX57" s="20" t="e">
        <f t="shared" si="28"/>
        <v>#NUM!</v>
      </c>
      <c r="GY57" s="59" t="e">
        <f t="shared" si="29"/>
        <v>#NUM!</v>
      </c>
      <c r="GZ57" s="59">
        <f ca="1">AVERAGE(OFFSET($GY$3,0,0,'Données projet'!$E$18+1,1))-AVERAGE(OFFSET($H$3,0,0,'Données projet'!$E$18+1,1))</f>
        <v>212.75657290802619</v>
      </c>
      <c r="HA57" s="59">
        <f t="shared" si="52"/>
        <v>411.47446316045978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47.789565053342237</v>
      </c>
      <c r="HH57" s="21">
        <f>EXP(-LN(2)/25)*HH56+(1-EXP(-LN(2)/25))/(LN(2)/25)*Calculateur!HC57*Calculateur!HE57*VLOOKUP('Données projet'!$B$18,Paramètres!$A$1:$I$89,3,0)*0.475*44/12</f>
        <v>10.236182141887207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58.025747195229442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4.60745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16.893983333333335</v>
      </c>
      <c r="H58" s="66">
        <f t="shared" si="1"/>
        <v>189.09073333333333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277.67000000000019</v>
      </c>
      <c r="O58" s="13">
        <f>N58*VLOOKUP('Données projet'!$B$9,Paramètres!$A$1:$I$89,3,0)*VLOOKUP('Données projet'!$B$9,Paramètres!$A$1:$I$89,5,0)</f>
        <v>251.23581600000017</v>
      </c>
      <c r="P58" s="13">
        <f t="shared" si="33"/>
        <v>60.850496254681879</v>
      </c>
      <c r="Q58" s="20">
        <f t="shared" si="53"/>
        <v>543.55032717690449</v>
      </c>
      <c r="R58" s="59">
        <f t="shared" si="0"/>
        <v>804.62148667760403</v>
      </c>
      <c r="S58" s="59">
        <f ca="1">AVERAGE(OFFSET($R$3,0,0,'Données projet'!$E$9+1,1))-AVERAGE(OFFSET($H$3,0,0,'Données projet'!$E$9+1,1))</f>
        <v>564.49981446852132</v>
      </c>
      <c r="T58" s="59">
        <f t="shared" si="34"/>
        <v>297.54722913785406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277.67</v>
      </c>
      <c r="AG58" s="12">
        <f>VLOOKUP(A58,'Données projet'!$A$61:$I$81,9,0)</f>
        <v>12.271428571428576</v>
      </c>
      <c r="AH58" s="12">
        <f t="array" ref="AH58">INDEX(AG:AG,MIN(IF(ISNUMBER(AG58:AG254),ROW(AG58:AG254),"")))</f>
        <v>12.271428571428576</v>
      </c>
      <c r="AI58" s="13">
        <f>IF('Données projet'!$A$62&gt;35,AI57+AH58-AQ57,IF(A58&lt;'Données projet'!$A$62,$AF$205^A58,IF(A58='Données projet'!$A$62,'Données projet'!$B$62,AI57+AH58-AQ57)))</f>
        <v>277.67000000000013</v>
      </c>
      <c r="AJ58" s="13">
        <f>AI58*VLOOKUP('Données projet'!$B$10,Paramètres!$A$1:$I$89,3,0)*VLOOKUP('Données projet'!$B$10,Paramètres!$A$1:$I$89,5,0)</f>
        <v>281.55738000000014</v>
      </c>
      <c r="AK58" s="13">
        <f t="shared" si="35"/>
        <v>67.296021724351561</v>
      </c>
      <c r="AL58" s="20">
        <f t="shared" si="4"/>
        <v>607.58634133657904</v>
      </c>
      <c r="AM58" s="59">
        <f t="shared" si="5"/>
        <v>868.65750083727858</v>
      </c>
      <c r="AN58" s="59">
        <f ca="1">AVERAGE(OFFSET($AM$3,0,0,'Données projet'!$E$10+1,1))-AVERAGE(OFFSET($H$3,0,0,'Données projet'!$E$10+1,1))</f>
        <v>623.16549611107564</v>
      </c>
      <c r="AO58" s="59">
        <f t="shared" si="36"/>
        <v>326.15178903425885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58.24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93.606751302328988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93.606751302328988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188.19839999999991</v>
      </c>
      <c r="BF58" s="13">
        <f t="shared" si="37"/>
        <v>47.141424081428013</v>
      </c>
      <c r="BG58" s="20">
        <f t="shared" si="7"/>
        <v>409.88352694182026</v>
      </c>
      <c r="BH58" s="59">
        <f t="shared" si="8"/>
        <v>670.95468644251991</v>
      </c>
      <c r="BI58" s="59">
        <f ca="1">AVERAGE(OFFSET($BH$3,0,0,'Données projet'!$E$11+1,1))-AVERAGE(OFFSET($H$3,0,0,'Données projet'!$E$11+1,1))</f>
        <v>326.2912419133811</v>
      </c>
      <c r="BJ58" s="59">
        <f t="shared" si="38"/>
        <v>315.07976787459938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40.917557163938298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40.917557163938298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218</v>
      </c>
      <c r="BW58" s="12">
        <f>VLOOKUP(A58,'Données projet'!$A$113:$I$133,9,0)</f>
        <v>6.6</v>
      </c>
      <c r="BX58" s="12">
        <f t="array" ref="BX58">INDEX(BW:BW,MIN(IF(ISNUMBER(BW58:BW254),ROW(BW58:BW254),"")))</f>
        <v>6.6</v>
      </c>
      <c r="BY58" s="12">
        <f>IF('Données projet'!$A$114&gt;35,BY57+BX58-CG57,IF(A58&lt;'Données projet'!$A$114,$BV$205^A58,IF(A58='Données projet'!$A$114,'Données projet'!$B$114,BY57+BX58-CG57)))</f>
        <v>218.00000000000003</v>
      </c>
      <c r="BZ58" s="13">
        <f>BY58*VLOOKUP('Données projet'!$B$12,Paramètres!$A$1:$I$89,3,0)*VLOOKUP('Données projet'!$B$12,Paramètres!$A$1:$I$89,5,0)</f>
        <v>139.43280000000001</v>
      </c>
      <c r="CA58" s="13">
        <f t="shared" si="39"/>
        <v>36.167037255215789</v>
      </c>
      <c r="CB58" s="20">
        <f t="shared" si="10"/>
        <v>305.83638321950082</v>
      </c>
      <c r="CC58" s="59">
        <f t="shared" si="11"/>
        <v>566.90754272020035</v>
      </c>
      <c r="CD58" s="59">
        <f ca="1">AVERAGE(OFFSET($CC$3,0,0,'Données projet'!$E$12+1,1))-AVERAGE(OFFSET($H$3,0,0,'Données projet'!$E$12+1,1))</f>
        <v>297.03992602744393</v>
      </c>
      <c r="CE58" s="59">
        <f t="shared" si="40"/>
        <v>265.2588848922893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23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31.709867920353503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31.709867920353503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323.99999999999983</v>
      </c>
      <c r="CU58" s="17">
        <f>CT58*VLOOKUP('Données projet'!$B$13,Paramètres!$A$1:$I$89,3,0)*VLOOKUP('Données projet'!$B$13,Paramètres!$A$1:$I$89,5,0)</f>
        <v>257.7743999999999</v>
      </c>
      <c r="CV58" s="13">
        <f t="shared" si="41"/>
        <v>62.247732872134243</v>
      </c>
      <c r="CW58" s="20">
        <f t="shared" si="13"/>
        <v>557.37188141896695</v>
      </c>
      <c r="CX58" s="59">
        <f t="shared" si="14"/>
        <v>818.4430409196666</v>
      </c>
      <c r="CY58" s="59">
        <f ca="1">AVERAGE(OFFSET($CX$3,0,0,'Données projet'!$E$13+1,1))-AVERAGE(OFFSET($H$3,0,0,'Données projet'!$E$13+1,1))</f>
        <v>427.42918901489531</v>
      </c>
      <c r="CZ58" s="59">
        <f t="shared" si="42"/>
        <v>410.68601510655412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0.53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54.227500227951566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54.227500227951566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277.67</v>
      </c>
      <c r="DM58" s="12">
        <f>VLOOKUP(A58,'Données projet'!$A$165:$I$185,9,0)</f>
        <v>12.271428571428576</v>
      </c>
      <c r="DN58" s="12">
        <f t="array" ref="DN58">INDEX(DM:DM,MIN(IF(ISNUMBER(DM58:DM254),ROW(DM58:DM254),"")))</f>
        <v>12.271428571428576</v>
      </c>
      <c r="DO58" s="12">
        <f>IF('Données projet'!$A$166&gt;35,DO57+DN58-DW57,IF(A58&lt;'Données projet'!$A$166,$DL$205^A58,IF(A58='Données projet'!$A$166,'Données projet'!$B$166,DO57+DN58-DW57)))</f>
        <v>277.67000000000013</v>
      </c>
      <c r="DP58" s="17">
        <f>DO58*VLOOKUP('Données projet'!$B$14,Paramètres!$A$1:$I$89,3,0)*VLOOKUP('Données projet'!$B$14,Paramètres!$A$1:$I$89,5,0)</f>
        <v>268.56242400000014</v>
      </c>
      <c r="DQ58" s="13">
        <f t="shared" si="43"/>
        <v>64.544084650309699</v>
      </c>
      <c r="DR58" s="20">
        <f t="shared" si="16"/>
        <v>580.16050256595634</v>
      </c>
      <c r="DS58" s="59">
        <f t="shared" si="17"/>
        <v>841.23166206665587</v>
      </c>
      <c r="DT58" s="59">
        <f ca="1">AVERAGE(OFFSET($DS$3,0,0,'Données projet'!$E$14+1,1))-AVERAGE(OFFSET($H$3,0,0,'Données projet'!$E$14+1,1))</f>
        <v>598.03945725240396</v>
      </c>
      <c r="DU58" s="59">
        <f t="shared" si="44"/>
        <v>313.9014686755695</v>
      </c>
      <c r="DV58" s="15">
        <f>IF(ISNA(VLOOKUP(A58,'Données projet'!$A$165:$I$185,3,0)),0,VLOOKUP(A58,'Données projet'!$A$165:$I$185,3,0))</f>
        <v>4</v>
      </c>
      <c r="DW58" s="15">
        <f>IF(ISNA(VLOOKUP(A58,'Données projet'!$A$165:$I$185,4,0)),0,VLOOKUP(A58,'Données projet'!$A$165:$I$185,4,0))</f>
        <v>58.24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89.286439703759967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89.286439703759967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277.67</v>
      </c>
      <c r="EH58" s="12">
        <f>VLOOKUP(A58,'Données projet'!$A$191:$I$211,9,0)</f>
        <v>12.271428571428576</v>
      </c>
      <c r="EI58" s="12">
        <f t="array" ref="EI58">INDEX(EH:EH,MIN(IF(ISNUMBER(EH58:EH254),ROW(EH58:EH254),"")))</f>
        <v>12.271428571428576</v>
      </c>
      <c r="EJ58" s="12">
        <f>IF('Données projet'!$A$192&gt;35,EJ57+EI58-ER57,IF(A58&lt;'Données projet'!$A$192,$EG$205^A58,IF(A58='Données projet'!$A$192,'Données projet'!$B$192,EJ57+EI58-ER57)))</f>
        <v>277.67000000000019</v>
      </c>
      <c r="EK58" s="17">
        <f>EJ58*VLOOKUP('Données projet'!$B$15,Paramètres!$A$1:$I$89,3,0)*VLOOKUP('Données projet'!$B$15,Paramètres!$A$1:$I$89,5,0)</f>
        <v>186.26103600000013</v>
      </c>
      <c r="EL58" s="13">
        <f t="shared" si="45"/>
        <v>46.712367246699529</v>
      </c>
      <c r="EM58" s="20">
        <f t="shared" si="19"/>
        <v>405.76201065466859</v>
      </c>
      <c r="EN58" s="59">
        <f t="shared" si="20"/>
        <v>666.83317015536818</v>
      </c>
      <c r="EO58" s="59">
        <f ca="1">AVERAGE(OFFSET($EN$3,0,0,'Données projet'!$E$15+1,1))-AVERAGE(OFFSET($H$3,0,0,'Données projet'!$E$15+1,1))</f>
        <v>438.27475674276604</v>
      </c>
      <c r="EP58" s="59">
        <f t="shared" si="46"/>
        <v>235.97720136798864</v>
      </c>
      <c r="EQ58" s="15">
        <f>IF(ISNA(VLOOKUP(A58,'Données projet'!$A$191:$I$211,3,0)),0,VLOOKUP(A58,'Données projet'!$A$191:$I$211,3,0))</f>
        <v>4</v>
      </c>
      <c r="ER58" s="15">
        <f>IF(ISNA(VLOOKUP(A58,'Données projet'!$A$191:$I$211,4,0)),0,VLOOKUP(A58,'Données projet'!$A$191:$I$211,4,0))</f>
        <v>58.24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76.325504908052864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76.325504908052864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16.366250000000001</v>
      </c>
      <c r="FE58" s="12">
        <f>IF('Données projet'!$A$218&gt;35,FE57+FD58-FM57,IF(A58&lt;'Données projet'!$A$218,$FB$205^A58,IF(A58='Données projet'!$A$218,'Données projet'!$B$218,FE57+FD58-FM57)))</f>
        <v>351.01124999999968</v>
      </c>
      <c r="FF58" s="17">
        <f>FE58*VLOOKUP('Données projet'!$B$16,Paramètres!$A$1:$I$89,3,0)*VLOOKUP('Données projet'!$B$16,Paramètres!$A$1:$I$89,5,0)</f>
        <v>164.27326499999984</v>
      </c>
      <c r="FG58" s="13">
        <f t="shared" si="47"/>
        <v>41.804878735392727</v>
      </c>
      <c r="FH58" s="20">
        <f t="shared" si="22"/>
        <v>358.91943367247535</v>
      </c>
      <c r="FI58" s="59">
        <f t="shared" si="23"/>
        <v>619.99059317317494</v>
      </c>
      <c r="FJ58" s="59">
        <f ca="1">AVERAGE(OFFSET($FI$3,0,0,'Données projet'!$E$16+1,1))-AVERAGE(OFFSET($H$3,0,0,'Données projet'!$E$16+1,1))</f>
        <v>329.49463758169588</v>
      </c>
      <c r="FK58" s="59">
        <f t="shared" si="48"/>
        <v>207.1447698203379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60.763186394357263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60.763186394357263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608</v>
      </c>
      <c r="FX58" s="12">
        <f>VLOOKUP(A58,'Données projet'!$A$243:$I$263,9,0)</f>
        <v>20.2</v>
      </c>
      <c r="FY58" s="12">
        <f t="array" ref="FY58">INDEX(FX:FX,MIN(IF(ISNUMBER(FX58:FX254),ROW(FX58:FX254),"")))</f>
        <v>20.2</v>
      </c>
      <c r="FZ58" s="12">
        <f>IF('Données projet'!$A$244&gt;35,FZ57+FY58-GH57,IF(A58&lt;'Données projet'!$A$244,$FW$205^A58,IF(A58='Données projet'!$A$244,'Données projet'!$B$244,FZ57+FY58-GH57)))</f>
        <v>608.00000000000034</v>
      </c>
      <c r="GA58" s="17">
        <f>FZ58*VLOOKUP('Données projet'!$B$17,Paramètres!$A$1:$I$89,3,0)*VLOOKUP('Données projet'!$B$17,Paramètres!$A$1:$I$89,5,0)</f>
        <v>363.58400000000023</v>
      </c>
      <c r="GB58" s="13">
        <f t="shared" si="49"/>
        <v>84.353369208346365</v>
      </c>
      <c r="GC58" s="20">
        <f t="shared" si="25"/>
        <v>780.15758470453693</v>
      </c>
      <c r="GD58" s="59">
        <f t="shared" si="26"/>
        <v>1041.2287442052366</v>
      </c>
      <c r="GE58" s="59">
        <f ca="1">AVERAGE(OFFSET($GD$3,0,0,'Données projet'!$E$17+1,1))-AVERAGE(OFFSET($H$3,0,0,'Données projet'!$E$17+1,1))</f>
        <v>577.07444926285291</v>
      </c>
      <c r="GF58" s="59">
        <f t="shared" si="50"/>
        <v>501.3762209070419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48</v>
      </c>
      <c r="GI58" s="16">
        <f>IF(ISNA(VLOOKUP(A58,'Données projet'!$A$243:$I$263,5,0)),0%,VLOOKUP(A58,'Données projet'!$A$243:$I$263,5,0)*VLOOKUP('Données projet'!$B$17,Paramètres!$A$1:$I$89,7,0))</f>
        <v>0.45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89.365387724384448</v>
      </c>
      <c r="GM58" s="21">
        <f>EXP(-LN(2)/25)*GM57+(1-EXP(-LN(2)/25))/(LN(2)/25)*Calculateur!GH58*Calculateur!GJ58*VLOOKUP('Données projet'!$B$17,Paramètres!$A$1:$I$89,3,0)*0.475*44/12</f>
        <v>32.710686641818384</v>
      </c>
      <c r="GN58" s="21">
        <f>EXP(-LN(2)/2)*GN57+(1-EXP(-LN(2)/2))/(LN(2)/2)*GH58*GK58*VLOOKUP('Données projet'!$B$17,Paramètres!$A$1:$I$89,3,0)*0.475*44/12</f>
        <v>1.3559888069474582E-5</v>
      </c>
      <c r="GO58" s="21">
        <f t="shared" si="27"/>
        <v>122.07608792609091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61.201225318372607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-5.6843418860808015E-14</v>
      </c>
      <c r="GV58" s="17">
        <f>GU58*VLOOKUP('Données projet'!$B$18,Paramètres!$A$1:$I$89,3,0)*VLOOKUP('Données projet'!$B$18,Paramètres!$A$1:$I$89,5,0)</f>
        <v>-3.0061073630349716E-14</v>
      </c>
      <c r="GW58" s="13" t="e">
        <f t="shared" si="51"/>
        <v>#NUM!</v>
      </c>
      <c r="GX58" s="20" t="e">
        <f t="shared" si="28"/>
        <v>#NUM!</v>
      </c>
      <c r="GY58" s="59" t="e">
        <f t="shared" si="29"/>
        <v>#NUM!</v>
      </c>
      <c r="GZ58" s="59">
        <f ca="1">AVERAGE(OFFSET($GY$3,0,0,'Données projet'!$E$18+1,1))-AVERAGE(OFFSET($H$3,0,0,'Données projet'!$E$18+1,1))</f>
        <v>212.75657290802619</v>
      </c>
      <c r="HA58" s="59">
        <f t="shared" si="52"/>
        <v>411.47446316045978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46.852440831402674</v>
      </c>
      <c r="HH58" s="21">
        <f>EXP(-LN(2)/25)*HH57+(1-EXP(-LN(2)/25))/(LN(2)/25)*Calculateur!HC58*Calculateur!HE58*VLOOKUP('Données projet'!$B$18,Paramètres!$A$1:$I$89,3,0)*0.475*44/12</f>
        <v>9.9562732029198777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56.808714034322549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4.60745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16.893983333333335</v>
      </c>
      <c r="H59" s="66">
        <f t="shared" si="1"/>
        <v>189.09073333333333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231.07500000000016</v>
      </c>
      <c r="O59" s="13">
        <f>N59*VLOOKUP('Données projet'!$B$9,Paramètres!$A$1:$I$89,3,0)*VLOOKUP('Données projet'!$B$9,Paramètres!$A$1:$I$89,5,0)</f>
        <v>209.07666000000012</v>
      </c>
      <c r="P59" s="13">
        <f t="shared" si="33"/>
        <v>51.733760959596957</v>
      </c>
      <c r="Q59" s="20">
        <f t="shared" si="53"/>
        <v>454.24481650463161</v>
      </c>
      <c r="R59" s="59">
        <f t="shared" si="0"/>
        <v>715.87565259391215</v>
      </c>
      <c r="S59" s="59">
        <f ca="1">AVERAGE(OFFSET($R$3,0,0,'Données projet'!$E$9+1,1))-AVERAGE(OFFSET($H$3,0,0,'Données projet'!$E$9+1,1))</f>
        <v>564.49981446852132</v>
      </c>
      <c r="T59" s="59">
        <f t="shared" si="34"/>
        <v>297.54722913785406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11.644999999999996</v>
      </c>
      <c r="AI59" s="13">
        <f>IF('Données projet'!$A$62&gt;35,AI58+AH59-AQ58,IF(A59&lt;'Données projet'!$A$62,$AF$205^A59,IF(A59='Données projet'!$A$62,'Données projet'!$B$62,AI58+AH59-AQ58)))</f>
        <v>231.0750000000001</v>
      </c>
      <c r="AJ59" s="13">
        <f>AI59*VLOOKUP('Données projet'!$B$10,Paramètres!$A$1:$I$89,3,0)*VLOOKUP('Données projet'!$B$10,Paramètres!$A$1:$I$89,5,0)</f>
        <v>234.31005000000013</v>
      </c>
      <c r="AK59" s="13">
        <f t="shared" si="35"/>
        <v>57.21360573376716</v>
      </c>
      <c r="AL59" s="20">
        <f t="shared" si="4"/>
        <v>507.73703373631133</v>
      </c>
      <c r="AM59" s="59">
        <f t="shared" si="5"/>
        <v>769.36786982559192</v>
      </c>
      <c r="AN59" s="59">
        <f ca="1">AVERAGE(OFFSET($AM$3,0,0,'Données projet'!$E$10+1,1))-AVERAGE(OFFSET($H$3,0,0,'Données projet'!$E$10+1,1))</f>
        <v>623.16549611107564</v>
      </c>
      <c r="AO59" s="59">
        <f t="shared" si="36"/>
        <v>326.15178903425885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91.771180003770993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91.771180003770993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181.87103999999991</v>
      </c>
      <c r="BF59" s="13">
        <f t="shared" si="37"/>
        <v>45.738207231648985</v>
      </c>
      <c r="BG59" s="20">
        <f t="shared" si="7"/>
        <v>396.41943892845512</v>
      </c>
      <c r="BH59" s="59">
        <f t="shared" si="8"/>
        <v>658.05027501773566</v>
      </c>
      <c r="BI59" s="59">
        <f ca="1">AVERAGE(OFFSET($BH$3,0,0,'Données projet'!$E$11+1,1))-AVERAGE(OFFSET($H$3,0,0,'Données projet'!$E$11+1,1))</f>
        <v>326.2912419133811</v>
      </c>
      <c r="BJ59" s="59">
        <f t="shared" si="38"/>
        <v>315.07976787459938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40.115188825199013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40.115188825199013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</v>
      </c>
      <c r="BY59" s="12">
        <f>IF('Données projet'!$A$114&gt;35,BY58+BX59-CG58,IF(A59&lt;'Données projet'!$A$114,$BV$205^A59,IF(A59='Données projet'!$A$114,'Données projet'!$B$114,BY58+BX59-CG58)))</f>
        <v>201.00000000000003</v>
      </c>
      <c r="BZ59" s="13">
        <f>BY59*VLOOKUP('Données projet'!$B$12,Paramètres!$A$1:$I$89,3,0)*VLOOKUP('Données projet'!$B$12,Paramètres!$A$1:$I$89,5,0)</f>
        <v>128.55960000000002</v>
      </c>
      <c r="CA59" s="13">
        <f t="shared" si="39"/>
        <v>33.663309663241684</v>
      </c>
      <c r="CB59" s="20">
        <f t="shared" si="10"/>
        <v>282.53823433014594</v>
      </c>
      <c r="CC59" s="59">
        <f t="shared" si="11"/>
        <v>544.16907041942648</v>
      </c>
      <c r="CD59" s="59">
        <f ca="1">AVERAGE(OFFSET($CC$3,0,0,'Données projet'!$E$12+1,1))-AVERAGE(OFFSET($H$3,0,0,'Données projet'!$E$12+1,1))</f>
        <v>297.03992602744393</v>
      </c>
      <c r="CE59" s="59">
        <f t="shared" si="40"/>
        <v>265.2588848922893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31.088056751545025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31.088056751545025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313.39999999999981</v>
      </c>
      <c r="CU59" s="17">
        <f>CT59*VLOOKUP('Données projet'!$B$13,Paramètres!$A$1:$I$89,3,0)*VLOOKUP('Données projet'!$B$13,Paramètres!$A$1:$I$89,5,0)</f>
        <v>249.34103999999988</v>
      </c>
      <c r="CV59" s="13">
        <f t="shared" si="41"/>
        <v>60.444812818312201</v>
      </c>
      <c r="CW59" s="20">
        <f t="shared" si="13"/>
        <v>539.54369365856019</v>
      </c>
      <c r="CX59" s="59">
        <f t="shared" si="14"/>
        <v>801.17452974784078</v>
      </c>
      <c r="CY59" s="59">
        <f ca="1">AVERAGE(OFFSET($CX$3,0,0,'Données projet'!$E$13+1,1))-AVERAGE(OFFSET($H$3,0,0,'Données projet'!$E$13+1,1))</f>
        <v>427.42918901489531</v>
      </c>
      <c r="CZ59" s="59">
        <f t="shared" si="42"/>
        <v>410.68601510655412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53.164132023990639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53.164132023990639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11.644999999999996</v>
      </c>
      <c r="DO59" s="12">
        <f>IF('Données projet'!$A$166&gt;35,DO58+DN59-DW58,IF(A59&lt;'Données projet'!$A$166,$DL$205^A59,IF(A59='Données projet'!$A$166,'Données projet'!$B$166,DO58+DN59-DW58)))</f>
        <v>231.0750000000001</v>
      </c>
      <c r="DP59" s="17">
        <f>DO59*VLOOKUP('Données projet'!$B$14,Paramètres!$A$1:$I$89,3,0)*VLOOKUP('Données projet'!$B$14,Paramètres!$A$1:$I$89,5,0)</f>
        <v>223.4957400000001</v>
      </c>
      <c r="DQ59" s="13">
        <f t="shared" si="43"/>
        <v>54.873969025325692</v>
      </c>
      <c r="DR59" s="20">
        <f t="shared" si="16"/>
        <v>484.82724321910905</v>
      </c>
      <c r="DS59" s="59">
        <f t="shared" si="17"/>
        <v>746.45807930838964</v>
      </c>
      <c r="DT59" s="59">
        <f ca="1">AVERAGE(OFFSET($DS$3,0,0,'Données projet'!$E$14+1,1))-AVERAGE(OFFSET($H$3,0,0,'Données projet'!$E$14+1,1))</f>
        <v>598.03945725240396</v>
      </c>
      <c r="DU59" s="59">
        <f t="shared" si="44"/>
        <v>313.9014686755695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87.535587080520045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87.535587080520045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11.644999999999996</v>
      </c>
      <c r="EJ59" s="12">
        <f>IF('Données projet'!$A$192&gt;35,EJ58+EI59-ER58,IF(A59&lt;'Données projet'!$A$192,$EG$205^A59,IF(A59='Données projet'!$A$192,'Données projet'!$B$192,EJ58+EI59-ER58)))</f>
        <v>231.07500000000016</v>
      </c>
      <c r="EK59" s="17">
        <f>EJ59*VLOOKUP('Données projet'!$B$15,Paramètres!$A$1:$I$89,3,0)*VLOOKUP('Données projet'!$B$15,Paramètres!$A$1:$I$89,5,0)</f>
        <v>155.00511000000009</v>
      </c>
      <c r="EL59" s="13">
        <f t="shared" si="45"/>
        <v>39.71383291408609</v>
      </c>
      <c r="EM59" s="20">
        <f t="shared" si="19"/>
        <v>339.13549224203337</v>
      </c>
      <c r="EN59" s="59">
        <f t="shared" si="20"/>
        <v>600.76632833131384</v>
      </c>
      <c r="EO59" s="59">
        <f ca="1">AVERAGE(OFFSET($EN$3,0,0,'Données projet'!$E$15+1,1))-AVERAGE(OFFSET($H$3,0,0,'Données projet'!$E$15+1,1))</f>
        <v>438.27475674276604</v>
      </c>
      <c r="EP59" s="59">
        <f t="shared" si="46"/>
        <v>235.97720136798864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74.828808310767116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74.828808310767116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16.366250000000001</v>
      </c>
      <c r="FE59" s="12">
        <f>IF('Données projet'!$A$218&gt;35,FE58+FD59-FM58,IF(A59&lt;'Données projet'!$A$218,$FB$205^A59,IF(A59='Données projet'!$A$218,'Données projet'!$B$218,FE58+FD59-FM58)))</f>
        <v>367.37749999999966</v>
      </c>
      <c r="FF59" s="17">
        <f>FE59*VLOOKUP('Données projet'!$B$16,Paramètres!$A$1:$I$89,3,0)*VLOOKUP('Données projet'!$B$16,Paramètres!$A$1:$I$89,5,0)</f>
        <v>171.93266999999986</v>
      </c>
      <c r="FG59" s="13">
        <f t="shared" si="47"/>
        <v>43.522592178230106</v>
      </c>
      <c r="FH59" s="20">
        <f t="shared" si="22"/>
        <v>375.25124829375051</v>
      </c>
      <c r="FI59" s="59">
        <f t="shared" si="23"/>
        <v>636.88208438303104</v>
      </c>
      <c r="FJ59" s="59">
        <f ca="1">AVERAGE(OFFSET($FI$3,0,0,'Données projet'!$E$16+1,1))-AVERAGE(OFFSET($H$3,0,0,'Données projet'!$E$16+1,1))</f>
        <v>329.49463758169588</v>
      </c>
      <c r="FK59" s="59">
        <f t="shared" si="48"/>
        <v>207.1447698203379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59.571657371048062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59.571657371048062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18.600000000000001</v>
      </c>
      <c r="FZ59" s="12">
        <f>IF('Données projet'!$A$244&gt;35,FZ58+FY59-GH58,IF(A59&lt;'Données projet'!$A$244,$FW$205^A59,IF(A59='Données projet'!$A$244,'Données projet'!$B$244,FZ58+FY59-GH58)))</f>
        <v>578.60000000000036</v>
      </c>
      <c r="GA59" s="17">
        <f>FZ59*VLOOKUP('Données projet'!$B$17,Paramètres!$A$1:$I$89,3,0)*VLOOKUP('Données projet'!$B$17,Paramètres!$A$1:$I$89,5,0)</f>
        <v>346.00280000000026</v>
      </c>
      <c r="GB59" s="13">
        <f t="shared" si="49"/>
        <v>80.738896833300814</v>
      </c>
      <c r="GC59" s="20">
        <f t="shared" si="25"/>
        <v>743.24178865133274</v>
      </c>
      <c r="GD59" s="59">
        <f t="shared" si="26"/>
        <v>1004.8726247406132</v>
      </c>
      <c r="GE59" s="59">
        <f ca="1">AVERAGE(OFFSET($GD$3,0,0,'Données projet'!$E$17+1,1))-AVERAGE(OFFSET($H$3,0,0,'Données projet'!$E$17+1,1))</f>
        <v>577.07444926285291</v>
      </c>
      <c r="GF59" s="59">
        <f t="shared" si="50"/>
        <v>501.3762209070419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87.612986978613606</v>
      </c>
      <c r="GM59" s="21">
        <f>EXP(-LN(2)/25)*GM58+(1-EXP(-LN(2)/25))/(LN(2)/25)*Calculateur!GH59*Calculateur!GJ59*VLOOKUP('Données projet'!$B$17,Paramètres!$A$1:$I$89,3,0)*0.475*44/12</f>
        <v>31.816211195417612</v>
      </c>
      <c r="GN59" s="21">
        <f>EXP(-LN(2)/2)*GN58+(1-EXP(-LN(2)/2))/(LN(2)/2)*GH59*GK59*VLOOKUP('Données projet'!$B$17,Paramètres!$A$1:$I$89,3,0)*0.475*44/12</f>
        <v>9.5882888060560393E-6</v>
      </c>
      <c r="GO59" s="21">
        <f t="shared" si="27"/>
        <v>119.42920776232002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61.353864387985595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-5.6843418860808015E-14</v>
      </c>
      <c r="GV59" s="17">
        <f>GU59*VLOOKUP('Données projet'!$B$18,Paramètres!$A$1:$I$89,3,0)*VLOOKUP('Données projet'!$B$18,Paramètres!$A$1:$I$89,5,0)</f>
        <v>-3.0061073630349716E-14</v>
      </c>
      <c r="GW59" s="13" t="e">
        <f t="shared" si="51"/>
        <v>#NUM!</v>
      </c>
      <c r="GX59" s="20" t="e">
        <f t="shared" si="28"/>
        <v>#NUM!</v>
      </c>
      <c r="GY59" s="59" t="e">
        <f t="shared" si="29"/>
        <v>#NUM!</v>
      </c>
      <c r="GZ59" s="59">
        <f ca="1">AVERAGE(OFFSET($GY$3,0,0,'Données projet'!$E$18+1,1))-AVERAGE(OFFSET($H$3,0,0,'Données projet'!$E$18+1,1))</f>
        <v>212.75657290802619</v>
      </c>
      <c r="HA59" s="59">
        <f t="shared" si="52"/>
        <v>411.47446316045978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45.933693043866015</v>
      </c>
      <c r="HH59" s="21">
        <f>EXP(-LN(2)/25)*HH58+(1-EXP(-LN(2)/25))/(LN(2)/25)*Calculateur!HC59*Calculateur!HE59*VLOOKUP('Données projet'!$B$18,Paramètres!$A$1:$I$89,3,0)*0.475*44/12</f>
        <v>9.684018388608381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55.617711432474394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4.60745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16.893983333333335</v>
      </c>
      <c r="H60" s="66">
        <f t="shared" si="1"/>
        <v>189.09073333333333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242.72000000000014</v>
      </c>
      <c r="O60" s="13">
        <f>N60*VLOOKUP('Données projet'!$B$9,Paramètres!$A$1:$I$89,3,0)*VLOOKUP('Données projet'!$B$9,Paramètres!$A$1:$I$89,5,0)</f>
        <v>219.61305600000011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738.77714556159162</v>
      </c>
      <c r="S60" s="59">
        <f ca="1">AVERAGE(OFFSET($R$3,0,0,'Données projet'!$E$9+1,1))-AVERAGE(OFFSET($H$3,0,0,'Données projet'!$E$9+1,1))</f>
        <v>564.49981446852132</v>
      </c>
      <c r="T60" s="59">
        <f t="shared" si="34"/>
        <v>297.54722913785406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11.644999999999996</v>
      </c>
      <c r="AI60" s="13">
        <f>IF('Données projet'!$A$62&gt;35,AI59+AH60-AQ59,IF(A60&lt;'Données projet'!$A$62,$AF$205^A60,IF(A60='Données projet'!$A$62,'Données projet'!$B$62,AI59+AH60-AQ59)))</f>
        <v>242.72000000000008</v>
      </c>
      <c r="AJ60" s="13">
        <f>AI60*VLOOKUP('Données projet'!$B$10,Paramètres!$A$1:$I$89,3,0)*VLOOKUP('Données projet'!$B$10,Paramètres!$A$1:$I$89,5,0)</f>
        <v>246.11808000000011</v>
      </c>
      <c r="AK60" s="13">
        <f t="shared" si="35"/>
        <v>59.753930518932897</v>
      </c>
      <c r="AL60" s="20">
        <f t="shared" si="4"/>
        <v>532.72708498714167</v>
      </c>
      <c r="AM60" s="59">
        <f t="shared" si="5"/>
        <v>794.90788852744072</v>
      </c>
      <c r="AN60" s="59">
        <f ca="1">AVERAGE(OFFSET($AM$3,0,0,'Données projet'!$E$10+1,1))-AVERAGE(OFFSET($H$3,0,0,'Données projet'!$E$10+1,1))</f>
        <v>623.16549611107564</v>
      </c>
      <c r="AO60" s="59">
        <f t="shared" si="36"/>
        <v>326.15178903425885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89.971603138789789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89.971603138789789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186.08927999999992</v>
      </c>
      <c r="BF60" s="13">
        <f t="shared" si="37"/>
        <v>46.674304440658766</v>
      </c>
      <c r="BG60" s="20">
        <f t="shared" si="7"/>
        <v>405.39657623414723</v>
      </c>
      <c r="BH60" s="59">
        <f t="shared" si="8"/>
        <v>667.57737977444617</v>
      </c>
      <c r="BI60" s="59">
        <f ca="1">AVERAGE(OFFSET($BH$3,0,0,'Données projet'!$E$11+1,1))-AVERAGE(OFFSET($H$3,0,0,'Données projet'!$E$11+1,1))</f>
        <v>326.2912419133811</v>
      </c>
      <c r="BJ60" s="59">
        <f t="shared" si="38"/>
        <v>315.07976787459938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39.328554440186046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39.328554440186046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</v>
      </c>
      <c r="BY60" s="12">
        <f>IF('Données projet'!$A$114&gt;35,BY59+BX60-CG59,IF(A60&lt;'Données projet'!$A$114,$BV$205^A60,IF(A60='Données projet'!$A$114,'Données projet'!$B$114,BY59+BX60-CG59)))</f>
        <v>207.00000000000003</v>
      </c>
      <c r="BZ60" s="13">
        <f>BY60*VLOOKUP('Données projet'!$B$12,Paramètres!$A$1:$I$89,3,0)*VLOOKUP('Données projet'!$B$12,Paramètres!$A$1:$I$89,5,0)</f>
        <v>132.3972</v>
      </c>
      <c r="CA60" s="13">
        <f t="shared" si="39"/>
        <v>34.549691434742741</v>
      </c>
      <c r="CB60" s="20">
        <f t="shared" si="10"/>
        <v>290.76583591551019</v>
      </c>
      <c r="CC60" s="59">
        <f t="shared" si="11"/>
        <v>552.94663945580919</v>
      </c>
      <c r="CD60" s="59">
        <f ca="1">AVERAGE(OFFSET($CC$3,0,0,'Données projet'!$E$12+1,1))-AVERAGE(OFFSET($H$3,0,0,'Données projet'!$E$12+1,1))</f>
        <v>297.03992602744393</v>
      </c>
      <c r="CE60" s="59">
        <f t="shared" si="40"/>
        <v>265.2588848922893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30.47843892048952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30.47843892048952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320.79999999999978</v>
      </c>
      <c r="CU60" s="17">
        <f>CT60*VLOOKUP('Données projet'!$B$13,Paramètres!$A$1:$I$89,3,0)*VLOOKUP('Données projet'!$B$13,Paramètres!$A$1:$I$89,5,0)</f>
        <v>255.22847999999985</v>
      </c>
      <c r="CV60" s="13">
        <f t="shared" si="41"/>
        <v>61.704188876103551</v>
      </c>
      <c r="CW60" s="20">
        <f t="shared" si="13"/>
        <v>551.99106495921342</v>
      </c>
      <c r="CX60" s="59">
        <f t="shared" si="14"/>
        <v>814.17186849951236</v>
      </c>
      <c r="CY60" s="59">
        <f ca="1">AVERAGE(OFFSET($CX$3,0,0,'Données projet'!$E$13+1,1))-AVERAGE(OFFSET($H$3,0,0,'Données projet'!$E$13+1,1))</f>
        <v>427.42918901489531</v>
      </c>
      <c r="CZ60" s="59">
        <f t="shared" si="42"/>
        <v>410.68601510655412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52.121615821918823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52.121615821918823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11.644999999999996</v>
      </c>
      <c r="DO60" s="12">
        <f>IF('Données projet'!$A$166&gt;35,DO59+DN60-DW59,IF(A60&lt;'Données projet'!$A$166,$DL$205^A60,IF(A60='Données projet'!$A$166,'Données projet'!$B$166,DO59+DN60-DW59)))</f>
        <v>242.72000000000008</v>
      </c>
      <c r="DP60" s="17">
        <f>DO60*VLOOKUP('Données projet'!$B$14,Paramètres!$A$1:$I$89,3,0)*VLOOKUP('Données projet'!$B$14,Paramètres!$A$1:$I$89,5,0)</f>
        <v>234.75878400000011</v>
      </c>
      <c r="DQ60" s="13">
        <f t="shared" si="43"/>
        <v>57.310412276676004</v>
      </c>
      <c r="DR60" s="20">
        <f t="shared" si="16"/>
        <v>508.68718351521085</v>
      </c>
      <c r="DS60" s="59">
        <f t="shared" si="17"/>
        <v>770.86798705550984</v>
      </c>
      <c r="DT60" s="59">
        <f ca="1">AVERAGE(OFFSET($DS$3,0,0,'Données projet'!$E$14+1,1))-AVERAGE(OFFSET($H$3,0,0,'Données projet'!$E$14+1,1))</f>
        <v>598.03945725240396</v>
      </c>
      <c r="DU60" s="59">
        <f t="shared" si="44"/>
        <v>313.9014686755695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85.819067609307197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85.819067609307197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11.644999999999996</v>
      </c>
      <c r="EJ60" s="12">
        <f>IF('Données projet'!$A$192&gt;35,EJ59+EI60-ER59,IF(A60&lt;'Données projet'!$A$192,$EG$205^A60,IF(A60='Données projet'!$A$192,'Données projet'!$B$192,EJ59+EI60-ER59)))</f>
        <v>242.72000000000014</v>
      </c>
      <c r="EK60" s="17">
        <f>EJ60*VLOOKUP('Données projet'!$B$15,Paramètres!$A$1:$I$89,3,0)*VLOOKUP('Données projet'!$B$15,Paramètres!$A$1:$I$89,5,0)</f>
        <v>162.81657600000011</v>
      </c>
      <c r="EL60" s="13">
        <f t="shared" si="45"/>
        <v>41.477155340137017</v>
      </c>
      <c r="EM60" s="20">
        <f t="shared" si="19"/>
        <v>355.81158208407214</v>
      </c>
      <c r="EN60" s="59">
        <f t="shared" si="20"/>
        <v>617.99238562437108</v>
      </c>
      <c r="EO60" s="59">
        <f ca="1">AVERAGE(OFFSET($EN$3,0,0,'Données projet'!$E$15+1,1))-AVERAGE(OFFSET($H$3,0,0,'Données projet'!$E$15+1,1))</f>
        <v>438.27475674276604</v>
      </c>
      <c r="EP60" s="59">
        <f t="shared" si="46"/>
        <v>235.97720136798864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73.361461020859366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73.361461020859366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16.366250000000001</v>
      </c>
      <c r="FE60" s="12">
        <f>IF('Données projet'!$A$218&gt;35,FE59+FD60-FM59,IF(A60&lt;'Données projet'!$A$218,$FB$205^A60,IF(A60='Données projet'!$A$218,'Données projet'!$B$218,FE59+FD60-FM59)))</f>
        <v>383.74374999999964</v>
      </c>
      <c r="FF60" s="17">
        <f>FE60*VLOOKUP('Données projet'!$B$16,Paramètres!$A$1:$I$89,3,0)*VLOOKUP('Données projet'!$B$16,Paramètres!$A$1:$I$89,5,0)</f>
        <v>179.59207499999982</v>
      </c>
      <c r="FG60" s="13">
        <f t="shared" si="47"/>
        <v>45.231418389225027</v>
      </c>
      <c r="FH60" s="20">
        <f t="shared" si="22"/>
        <v>391.56758431956655</v>
      </c>
      <c r="FI60" s="59">
        <f t="shared" si="23"/>
        <v>653.74838785986549</v>
      </c>
      <c r="FJ60" s="59">
        <f ca="1">AVERAGE(OFFSET($FI$3,0,0,'Données projet'!$E$16+1,1))-AVERAGE(OFFSET($H$3,0,0,'Données projet'!$E$16+1,1))</f>
        <v>329.49463758169588</v>
      </c>
      <c r="FK60" s="59">
        <f t="shared" si="48"/>
        <v>207.1447698203379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58.403493505125013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58.403493505125013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18.600000000000001</v>
      </c>
      <c r="FZ60" s="12">
        <f>IF('Données projet'!$A$244&gt;35,FZ59+FY60-GH59,IF(A60&lt;'Données projet'!$A$244,$FW$205^A60,IF(A60='Données projet'!$A$244,'Données projet'!$B$244,FZ59+FY60-GH59)))</f>
        <v>597.20000000000039</v>
      </c>
      <c r="GA60" s="17">
        <f>FZ60*VLOOKUP('Données projet'!$B$17,Paramètres!$A$1:$I$89,3,0)*VLOOKUP('Données projet'!$B$17,Paramètres!$A$1:$I$89,5,0)</f>
        <v>357.1256000000003</v>
      </c>
      <c r="GB60" s="13">
        <f t="shared" si="49"/>
        <v>83.028020806745801</v>
      </c>
      <c r="GC60" s="20">
        <f t="shared" si="25"/>
        <v>766.60088957174946</v>
      </c>
      <c r="GD60" s="59">
        <f t="shared" si="26"/>
        <v>1028.7816931120485</v>
      </c>
      <c r="GE60" s="59">
        <f ca="1">AVERAGE(OFFSET($GD$3,0,0,'Données projet'!$E$17+1,1))-AVERAGE(OFFSET($H$3,0,0,'Données projet'!$E$17+1,1))</f>
        <v>577.07444926285291</v>
      </c>
      <c r="GF60" s="59">
        <f t="shared" si="50"/>
        <v>501.3762209070419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85.894949742608418</v>
      </c>
      <c r="GM60" s="21">
        <f>EXP(-LN(2)/25)*GM59+(1-EXP(-LN(2)/25))/(LN(2)/25)*Calculateur!GH60*Calculateur!GJ60*VLOOKUP('Données projet'!$B$17,Paramètres!$A$1:$I$89,3,0)*0.475*44/12</f>
        <v>30.946195227137089</v>
      </c>
      <c r="GN60" s="21">
        <f>EXP(-LN(2)/2)*GN59+(1-EXP(-LN(2)/2))/(LN(2)/2)*GH60*GK60*VLOOKUP('Données projet'!$B$17,Paramètres!$A$1:$I$89,3,0)*0.475*44/12</f>
        <v>6.7799440347372909E-6</v>
      </c>
      <c r="GO60" s="21">
        <f t="shared" si="27"/>
        <v>116.84115174968953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61.50385551099064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-5.6843418860808015E-14</v>
      </c>
      <c r="GV60" s="17">
        <f>GU60*VLOOKUP('Données projet'!$B$18,Paramètres!$A$1:$I$89,3,0)*VLOOKUP('Données projet'!$B$18,Paramètres!$A$1:$I$89,5,0)</f>
        <v>-3.0061073630349716E-14</v>
      </c>
      <c r="GW60" s="13" t="e">
        <f t="shared" si="51"/>
        <v>#NUM!</v>
      </c>
      <c r="GX60" s="20" t="e">
        <f t="shared" si="28"/>
        <v>#NUM!</v>
      </c>
      <c r="GY60" s="59" t="e">
        <f t="shared" si="29"/>
        <v>#NUM!</v>
      </c>
      <c r="GZ60" s="59">
        <f ca="1">AVERAGE(OFFSET($GY$3,0,0,'Données projet'!$E$18+1,1))-AVERAGE(OFFSET($H$3,0,0,'Données projet'!$E$18+1,1))</f>
        <v>212.75657290802619</v>
      </c>
      <c r="HA60" s="59">
        <f t="shared" si="52"/>
        <v>411.47446316045978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45.03296134006213</v>
      </c>
      <c r="HH60" s="21">
        <f>EXP(-LN(2)/25)*HH59+(1-EXP(-LN(2)/25))/(LN(2)/25)*Calculateur!HC60*Calculateur!HE60*VLOOKUP('Données projet'!$B$18,Paramètres!$A$1:$I$89,3,0)*0.475*44/12</f>
        <v>9.4192083965114914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54.452169736573623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4.60745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16.893983333333335</v>
      </c>
      <c r="H61" s="66">
        <f t="shared" si="1"/>
        <v>189.09073333333333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254.36500000000012</v>
      </c>
      <c r="O61" s="13">
        <f>N61*VLOOKUP('Données projet'!$B$9,Paramètres!$A$1:$I$89,3,0)*VLOOKUP('Données projet'!$B$9,Paramètres!$A$1:$I$89,5,0)</f>
        <v>230.14945200000011</v>
      </c>
      <c r="P61" s="13">
        <f t="shared" si="33"/>
        <v>56.314995325940238</v>
      </c>
      <c r="Q61" s="20">
        <f t="shared" si="53"/>
        <v>498.92557909267936</v>
      </c>
      <c r="R61" s="59">
        <f t="shared" si="0"/>
        <v>761.64680937826472</v>
      </c>
      <c r="S61" s="59">
        <f ca="1">AVERAGE(OFFSET($R$3,0,0,'Données projet'!$E$9+1,1))-AVERAGE(OFFSET($H$3,0,0,'Données projet'!$E$9+1,1))</f>
        <v>564.49981446852132</v>
      </c>
      <c r="T61" s="59">
        <f t="shared" si="34"/>
        <v>297.54722913785406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11.644999999999996</v>
      </c>
      <c r="AI61" s="13">
        <f>IF('Données projet'!$A$62&gt;35,AI60+AH61-AQ60,IF(A61&lt;'Données projet'!$A$62,$AF$205^A61,IF(A61='Données projet'!$A$62,'Données projet'!$B$62,AI60+AH61-AQ60)))</f>
        <v>254.36500000000007</v>
      </c>
      <c r="AJ61" s="13">
        <f>AI61*VLOOKUP('Données projet'!$B$10,Paramètres!$A$1:$I$89,3,0)*VLOOKUP('Données projet'!$B$10,Paramètres!$A$1:$I$89,5,0)</f>
        <v>257.92611000000005</v>
      </c>
      <c r="AK61" s="13">
        <f t="shared" si="35"/>
        <v>62.280102581244591</v>
      </c>
      <c r="AL61" s="20">
        <f t="shared" si="4"/>
        <v>557.6924869123344</v>
      </c>
      <c r="AM61" s="59">
        <f t="shared" si="5"/>
        <v>820.41371719791982</v>
      </c>
      <c r="AN61" s="59">
        <f ca="1">AVERAGE(OFFSET($AM$3,0,0,'Données projet'!$E$10+1,1))-AVERAGE(OFFSET($H$3,0,0,'Données projet'!$E$10+1,1))</f>
        <v>623.16549611107564</v>
      </c>
      <c r="AO61" s="59">
        <f t="shared" si="36"/>
        <v>326.15178903425885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88.207314878497357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88.207314878497357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190.3075199999999</v>
      </c>
      <c r="BF61" s="13">
        <f t="shared" si="37"/>
        <v>47.607934756469184</v>
      </c>
      <c r="BG61" s="20">
        <f t="shared" si="7"/>
        <v>414.36941703418364</v>
      </c>
      <c r="BH61" s="59">
        <f t="shared" si="8"/>
        <v>677.090647319769</v>
      </c>
      <c r="BI61" s="59">
        <f ca="1">AVERAGE(OFFSET($BH$3,0,0,'Données projet'!$E$11+1,1))-AVERAGE(OFFSET($H$3,0,0,'Données projet'!$E$11+1,1))</f>
        <v>326.2912419133811</v>
      </c>
      <c r="BJ61" s="59">
        <f t="shared" si="38"/>
        <v>315.07976787459938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38.557345475663581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38.557345475663581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</v>
      </c>
      <c r="BY61" s="12">
        <f>IF('Données projet'!$A$114&gt;35,BY60+BX61-CG60,IF(A61&lt;'Données projet'!$A$114,$BV$205^A61,IF(A61='Données projet'!$A$114,'Données projet'!$B$114,BY60+BX61-CG60)))</f>
        <v>213.00000000000003</v>
      </c>
      <c r="BZ61" s="13">
        <f>BY61*VLOOKUP('Données projet'!$B$12,Paramètres!$A$1:$I$89,3,0)*VLOOKUP('Données projet'!$B$12,Paramètres!$A$1:$I$89,5,0)</f>
        <v>136.23480000000004</v>
      </c>
      <c r="CA61" s="13">
        <f t="shared" si="39"/>
        <v>35.433087228729853</v>
      </c>
      <c r="CB61" s="20">
        <f t="shared" si="10"/>
        <v>298.98823692337123</v>
      </c>
      <c r="CC61" s="59">
        <f t="shared" si="11"/>
        <v>561.70946720895654</v>
      </c>
      <c r="CD61" s="59">
        <f ca="1">AVERAGE(OFFSET($CC$3,0,0,'Données projet'!$E$12+1,1))-AVERAGE(OFFSET($H$3,0,0,'Données projet'!$E$12+1,1))</f>
        <v>297.03992602744393</v>
      </c>
      <c r="CE61" s="59">
        <f t="shared" si="40"/>
        <v>265.2588848922893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29.88077532327085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29.88077532327085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328.19999999999976</v>
      </c>
      <c r="CU61" s="17">
        <f>CT61*VLOOKUP('Données projet'!$B$13,Paramètres!$A$1:$I$89,3,0)*VLOOKUP('Données projet'!$B$13,Paramètres!$A$1:$I$89,5,0)</f>
        <v>261.11591999999985</v>
      </c>
      <c r="CV61" s="13">
        <f t="shared" si="41"/>
        <v>62.960187681145797</v>
      </c>
      <c r="CW61" s="20">
        <f t="shared" si="13"/>
        <v>564.43255421132858</v>
      </c>
      <c r="CX61" s="59">
        <f t="shared" si="14"/>
        <v>827.15378449691389</v>
      </c>
      <c r="CY61" s="59">
        <f ca="1">AVERAGE(OFFSET($CX$3,0,0,'Données projet'!$E$13+1,1))-AVERAGE(OFFSET($H$3,0,0,'Données projet'!$E$13+1,1))</f>
        <v>427.42918901489531</v>
      </c>
      <c r="CZ61" s="59">
        <f t="shared" si="42"/>
        <v>410.68601510655412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51.099542726697543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51.099542726697543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11.644999999999996</v>
      </c>
      <c r="DO61" s="12">
        <f>IF('Données projet'!$A$166&gt;35,DO60+DN61-DW60,IF(A61&lt;'Données projet'!$A$166,$DL$205^A61,IF(A61='Données projet'!$A$166,'Données projet'!$B$166,DO60+DN61-DW60)))</f>
        <v>254.36500000000007</v>
      </c>
      <c r="DP61" s="17">
        <f>DO61*VLOOKUP('Données projet'!$B$14,Paramètres!$A$1:$I$89,3,0)*VLOOKUP('Données projet'!$B$14,Paramètres!$A$1:$I$89,5,0)</f>
        <v>246.02182800000006</v>
      </c>
      <c r="DQ61" s="13">
        <f t="shared" si="43"/>
        <v>59.733281552648165</v>
      </c>
      <c r="DR61" s="20">
        <f t="shared" si="16"/>
        <v>532.52348247086229</v>
      </c>
      <c r="DS61" s="59">
        <f t="shared" si="17"/>
        <v>795.2447127564476</v>
      </c>
      <c r="DT61" s="59">
        <f ca="1">AVERAGE(OFFSET($DS$3,0,0,'Données projet'!$E$14+1,1))-AVERAGE(OFFSET($H$3,0,0,'Données projet'!$E$14+1,1))</f>
        <v>598.03945725240396</v>
      </c>
      <c r="DU61" s="59">
        <f t="shared" si="44"/>
        <v>313.9014686755695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84.136208037951334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84.136208037951334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11.644999999999996</v>
      </c>
      <c r="EJ61" s="12">
        <f>IF('Données projet'!$A$192&gt;35,EJ60+EI61-ER60,IF(A61&lt;'Données projet'!$A$192,$EG$205^A61,IF(A61='Données projet'!$A$192,'Données projet'!$B$192,EJ60+EI61-ER60)))</f>
        <v>254.36500000000012</v>
      </c>
      <c r="EK61" s="17">
        <f>EJ61*VLOOKUP('Données projet'!$B$15,Paramètres!$A$1:$I$89,3,0)*VLOOKUP('Données projet'!$B$15,Paramètres!$A$1:$I$89,5,0)</f>
        <v>170.62804200000008</v>
      </c>
      <c r="EL61" s="13">
        <f t="shared" si="45"/>
        <v>43.230653898883929</v>
      </c>
      <c r="EM61" s="20">
        <f t="shared" si="19"/>
        <v>372.47056202388961</v>
      </c>
      <c r="EN61" s="59">
        <f t="shared" si="20"/>
        <v>635.19179230947498</v>
      </c>
      <c r="EO61" s="59">
        <f ca="1">AVERAGE(OFFSET($EN$3,0,0,'Données projet'!$E$15+1,1))-AVERAGE(OFFSET($H$3,0,0,'Données projet'!$E$15+1,1))</f>
        <v>438.27475674276604</v>
      </c>
      <c r="EP61" s="59">
        <f t="shared" si="46"/>
        <v>235.97720136798864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71.922887516313224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71.922887516313224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>
        <f>VLOOKUP(A61,'Données projet'!$A$217:$I$237,2,0)</f>
        <v>400.11</v>
      </c>
      <c r="FC61" s="12">
        <f>VLOOKUP(A61,'Données projet'!$A$217:$I$237,9,0)</f>
        <v>16.366250000000001</v>
      </c>
      <c r="FD61" s="12">
        <f t="array" ref="FD61">INDEX(FC:FC,MIN(IF(ISNUMBER(FC61:FC257),ROW(FC61:FC257),"")))</f>
        <v>16.366250000000001</v>
      </c>
      <c r="FE61" s="12">
        <f>IF('Données projet'!$A$218&gt;35,FE60+FD61-FM60,IF(A61&lt;'Données projet'!$A$218,$FB$205^A61,IF(A61='Données projet'!$A$218,'Données projet'!$B$218,FE60+FD61-FM60)))</f>
        <v>400.10999999999962</v>
      </c>
      <c r="FF61" s="17">
        <f>FE61*VLOOKUP('Données projet'!$B$16,Paramètres!$A$1:$I$89,3,0)*VLOOKUP('Données projet'!$B$16,Paramètres!$A$1:$I$89,5,0)</f>
        <v>187.25147999999984</v>
      </c>
      <c r="FG61" s="13">
        <f t="shared" si="47"/>
        <v>46.931779730921761</v>
      </c>
      <c r="FH61" s="20">
        <f t="shared" si="22"/>
        <v>407.86917736468848</v>
      </c>
      <c r="FI61" s="59">
        <f t="shared" si="23"/>
        <v>670.59040765027385</v>
      </c>
      <c r="FJ61" s="59">
        <f ca="1">AVERAGE(OFFSET($FI$3,0,0,'Données projet'!$E$16+1,1))-AVERAGE(OFFSET($H$3,0,0,'Données projet'!$E$16+1,1))</f>
        <v>329.49463758169588</v>
      </c>
      <c r="FK61" s="59">
        <f t="shared" si="48"/>
        <v>207.1447698203379</v>
      </c>
      <c r="FL61" s="15">
        <f>IF(ISNA(VLOOKUP(A61,'Données projet'!$A$217:$I$237,3,0)),0,VLOOKUP(A61,'Données projet'!$A$217:$I$237,3,0))</f>
        <v>3</v>
      </c>
      <c r="FM61" s="15">
        <f>IF(ISNA(VLOOKUP(A61,'Données projet'!$A$217:$I$237,4,0)),0,VLOOKUP(A61,'Données projet'!$A$217:$I$237,4,0))</f>
        <v>87.34</v>
      </c>
      <c r="FN61" s="16">
        <f>IF(ISNA(VLOOKUP(A61,'Données projet'!$A$217:$I$237,5,0)),0%,VLOOKUP(A61,'Données projet'!$A$217:$I$237,5,0)*VLOOKUP('Données projet'!$B$16,Paramètres!$A$1:$I$89,7,0))</f>
        <v>0.55000000000000004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87.081151337207331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87.081151337207331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18.600000000000001</v>
      </c>
      <c r="FZ61" s="12">
        <f>IF('Données projet'!$A$244&gt;35,FZ60+FY61-GH60,IF(A61&lt;'Données projet'!$A$244,$FW$205^A61,IF(A61='Données projet'!$A$244,'Données projet'!$B$244,FZ60+FY61-GH60)))</f>
        <v>615.80000000000041</v>
      </c>
      <c r="GA61" s="17">
        <f>FZ61*VLOOKUP('Données projet'!$B$17,Paramètres!$A$1:$I$89,3,0)*VLOOKUP('Données projet'!$B$17,Paramètres!$A$1:$I$89,5,0)</f>
        <v>368.24840000000029</v>
      </c>
      <c r="GB61" s="13">
        <f t="shared" si="49"/>
        <v>85.308859587029715</v>
      </c>
      <c r="GC61" s="20">
        <f t="shared" si="25"/>
        <v>789.94556044741057</v>
      </c>
      <c r="GD61" s="59">
        <f t="shared" si="26"/>
        <v>1052.6667907329959</v>
      </c>
      <c r="GE61" s="59">
        <f ca="1">AVERAGE(OFFSET($GD$3,0,0,'Données projet'!$E$17+1,1))-AVERAGE(OFFSET($H$3,0,0,'Données projet'!$E$17+1,1))</f>
        <v>577.07444926285291</v>
      </c>
      <c r="GF61" s="59">
        <f t="shared" si="50"/>
        <v>501.3762209070419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84.210602168902057</v>
      </c>
      <c r="GM61" s="21">
        <f>EXP(-LN(2)/25)*GM60+(1-EXP(-LN(2)/25))/(LN(2)/25)*Calculateur!GH61*Calculateur!GJ61*VLOOKUP('Données projet'!$B$17,Paramètres!$A$1:$I$89,3,0)*0.475*44/12</f>
        <v>30.099969891261345</v>
      </c>
      <c r="GN61" s="21">
        <f>EXP(-LN(2)/2)*GN60+(1-EXP(-LN(2)/2))/(LN(2)/2)*GH61*GK61*VLOOKUP('Données projet'!$B$17,Paramètres!$A$1:$I$89,3,0)*0.475*44/12</f>
        <v>4.7941444030280196E-6</v>
      </c>
      <c r="GO61" s="21">
        <f t="shared" si="27"/>
        <v>114.3105768543078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61.651244623341462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-5.6843418860808015E-14</v>
      </c>
      <c r="GV61" s="17">
        <f>GU61*VLOOKUP('Données projet'!$B$18,Paramètres!$A$1:$I$89,3,0)*VLOOKUP('Données projet'!$B$18,Paramètres!$A$1:$I$89,5,0)</f>
        <v>-3.0061073630349716E-14</v>
      </c>
      <c r="GW61" s="13" t="e">
        <f t="shared" si="51"/>
        <v>#NUM!</v>
      </c>
      <c r="GX61" s="20" t="e">
        <f t="shared" si="28"/>
        <v>#NUM!</v>
      </c>
      <c r="GY61" s="59" t="e">
        <f t="shared" si="29"/>
        <v>#NUM!</v>
      </c>
      <c r="GZ61" s="59">
        <f ca="1">AVERAGE(OFFSET($GY$3,0,0,'Données projet'!$E$18+1,1))-AVERAGE(OFFSET($H$3,0,0,'Données projet'!$E$18+1,1))</f>
        <v>212.75657290802619</v>
      </c>
      <c r="HA61" s="59">
        <f t="shared" si="52"/>
        <v>411.47446316045978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44.149892435577748</v>
      </c>
      <c r="HH61" s="21">
        <f>EXP(-LN(2)/25)*HH60+(1-EXP(-LN(2)/25))/(LN(2)/25)*Calculateur!HC61*Calculateur!HE61*VLOOKUP('Données projet'!$B$18,Paramètres!$A$1:$I$89,3,0)*0.475*44/12</f>
        <v>9.1616396475742423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53.311532083151988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4.60745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16.893983333333335</v>
      </c>
      <c r="H62" s="66">
        <f t="shared" si="1"/>
        <v>189.09073333333333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266.0100000000001</v>
      </c>
      <c r="O62" s="13">
        <f>N62*VLOOKUP('Données projet'!$B$9,Paramètres!$A$1:$I$89,3,0)*VLOOKUP('Données projet'!$B$9,Paramètres!$A$1:$I$89,5,0)</f>
        <v>240.68584800000008</v>
      </c>
      <c r="P62" s="13">
        <f t="shared" si="33"/>
        <v>58.587069504016014</v>
      </c>
      <c r="Q62" s="20">
        <f t="shared" si="53"/>
        <v>521.233664652828</v>
      </c>
      <c r="R62" s="59">
        <f t="shared" si="0"/>
        <v>784.48594648788219</v>
      </c>
      <c r="S62" s="59">
        <f ca="1">AVERAGE(OFFSET($R$3,0,0,'Données projet'!$E$9+1,1))-AVERAGE(OFFSET($H$3,0,0,'Données projet'!$E$9+1,1))</f>
        <v>564.49981446852132</v>
      </c>
      <c r="T62" s="59">
        <f t="shared" si="34"/>
        <v>297.54722913785406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11.644999999999996</v>
      </c>
      <c r="AI62" s="13">
        <f>IF('Données projet'!$A$62&gt;35,AI61+AH62-AQ61,IF(A62&lt;'Données projet'!$A$62,$AF$205^A62,IF(A62='Données projet'!$A$62,'Données projet'!$B$62,AI61+AH62-AQ61)))</f>
        <v>266.01000000000005</v>
      </c>
      <c r="AJ62" s="13">
        <f>AI62*VLOOKUP('Données projet'!$B$10,Paramètres!$A$1:$I$89,3,0)*VLOOKUP('Données projet'!$B$10,Paramètres!$A$1:$I$89,5,0)</f>
        <v>269.73414000000008</v>
      </c>
      <c r="AK62" s="13">
        <f t="shared" si="35"/>
        <v>64.792843851376162</v>
      </c>
      <c r="AL62" s="20">
        <f t="shared" si="4"/>
        <v>582.63449687448031</v>
      </c>
      <c r="AM62" s="59">
        <f t="shared" si="5"/>
        <v>845.8867787095345</v>
      </c>
      <c r="AN62" s="59">
        <f ca="1">AVERAGE(OFFSET($AM$3,0,0,'Données projet'!$E$10+1,1))-AVERAGE(OFFSET($H$3,0,0,'Données projet'!$E$10+1,1))</f>
        <v>623.16549611107564</v>
      </c>
      <c r="AO62" s="59">
        <f t="shared" si="36"/>
        <v>326.15178903425885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86.477623234879673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86.477623234879673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194.52575999999991</v>
      </c>
      <c r="BF62" s="13">
        <f t="shared" si="37"/>
        <v>48.539159154841606</v>
      </c>
      <c r="BG62" s="20">
        <f t="shared" si="7"/>
        <v>423.33806752801564</v>
      </c>
      <c r="BH62" s="59">
        <f t="shared" si="8"/>
        <v>686.59034936306989</v>
      </c>
      <c r="BI62" s="59">
        <f ca="1">AVERAGE(OFFSET($BH$3,0,0,'Données projet'!$E$11+1,1))-AVERAGE(OFFSET($H$3,0,0,'Données projet'!$E$11+1,1))</f>
        <v>326.2912419133811</v>
      </c>
      <c r="BJ62" s="59">
        <f t="shared" si="38"/>
        <v>315.07976787459938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37.801259448544386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37.801259448544386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</v>
      </c>
      <c r="BY62" s="12">
        <f>IF('Données projet'!$A$114&gt;35,BY61+BX62-CG61,IF(A62&lt;'Données projet'!$A$114,$BV$205^A62,IF(A62='Données projet'!$A$114,'Données projet'!$B$114,BY61+BX62-CG61)))</f>
        <v>219.00000000000003</v>
      </c>
      <c r="BZ62" s="13">
        <f>BY62*VLOOKUP('Données projet'!$B$12,Paramètres!$A$1:$I$89,3,0)*VLOOKUP('Données projet'!$B$12,Paramètres!$A$1:$I$89,5,0)</f>
        <v>140.07240000000002</v>
      </c>
      <c r="CA62" s="13">
        <f t="shared" si="39"/>
        <v>36.313590819234449</v>
      </c>
      <c r="CB62" s="20">
        <f t="shared" si="10"/>
        <v>307.20560067683328</v>
      </c>
      <c r="CC62" s="59">
        <f t="shared" si="11"/>
        <v>570.45788251188742</v>
      </c>
      <c r="CD62" s="59">
        <f ca="1">AVERAGE(OFFSET($CC$3,0,0,'Données projet'!$E$12+1,1))-AVERAGE(OFFSET($H$3,0,0,'Données projet'!$E$12+1,1))</f>
        <v>297.03992602744393</v>
      </c>
      <c r="CE62" s="59">
        <f t="shared" si="40"/>
        <v>265.2588848922893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29.294831544654841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29.294831544654841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335.59999999999974</v>
      </c>
      <c r="CU62" s="17">
        <f>CT62*VLOOKUP('Données projet'!$B$13,Paramètres!$A$1:$I$89,3,0)*VLOOKUP('Données projet'!$B$13,Paramètres!$A$1:$I$89,5,0)</f>
        <v>267.00335999999982</v>
      </c>
      <c r="CV62" s="13">
        <f t="shared" si="41"/>
        <v>64.212894147794728</v>
      </c>
      <c r="CW62" s="20">
        <f t="shared" si="13"/>
        <v>576.86830930740882</v>
      </c>
      <c r="CX62" s="59">
        <f t="shared" si="14"/>
        <v>840.12059114246301</v>
      </c>
      <c r="CY62" s="59">
        <f ca="1">AVERAGE(OFFSET($CX$3,0,0,'Données projet'!$E$13+1,1))-AVERAGE(OFFSET($H$3,0,0,'Données projet'!$E$13+1,1))</f>
        <v>427.42918901489531</v>
      </c>
      <c r="CZ62" s="59">
        <f t="shared" si="42"/>
        <v>410.68601510655412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50.097511861470515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50.097511861470515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11.644999999999996</v>
      </c>
      <c r="DO62" s="12">
        <f>IF('Données projet'!$A$166&gt;35,DO61+DN62-DW61,IF(A62&lt;'Données projet'!$A$166,$DL$205^A62,IF(A62='Données projet'!$A$166,'Données projet'!$B$166,DO61+DN62-DW61)))</f>
        <v>266.01000000000005</v>
      </c>
      <c r="DP62" s="17">
        <f>DO62*VLOOKUP('Données projet'!$B$14,Paramètres!$A$1:$I$89,3,0)*VLOOKUP('Données projet'!$B$14,Paramètres!$A$1:$I$89,5,0)</f>
        <v>257.28487200000006</v>
      </c>
      <c r="DQ62" s="13">
        <f t="shared" si="43"/>
        <v>62.14326926199616</v>
      </c>
      <c r="DR62" s="20">
        <f t="shared" si="16"/>
        <v>556.33734603131006</v>
      </c>
      <c r="DS62" s="59">
        <f t="shared" si="17"/>
        <v>819.58962786636425</v>
      </c>
      <c r="DT62" s="59">
        <f ca="1">AVERAGE(OFFSET($DS$3,0,0,'Données projet'!$E$14+1,1))-AVERAGE(OFFSET($H$3,0,0,'Données projet'!$E$14+1,1))</f>
        <v>598.03945725240396</v>
      </c>
      <c r="DU62" s="59">
        <f t="shared" si="44"/>
        <v>313.9014686755695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82.486348316346778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82.486348316346778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11.644999999999996</v>
      </c>
      <c r="EJ62" s="12">
        <f>IF('Données projet'!$A$192&gt;35,EJ61+EI62-ER61,IF(A62&lt;'Données projet'!$A$192,$EG$205^A62,IF(A62='Données projet'!$A$192,'Données projet'!$B$192,EJ61+EI62-ER61)))</f>
        <v>266.0100000000001</v>
      </c>
      <c r="EK62" s="17">
        <f>EJ62*VLOOKUP('Données projet'!$B$15,Paramètres!$A$1:$I$89,3,0)*VLOOKUP('Données projet'!$B$15,Paramètres!$A$1:$I$89,5,0)</f>
        <v>178.43950800000007</v>
      </c>
      <c r="EL62" s="13">
        <f t="shared" si="45"/>
        <v>44.974829705993358</v>
      </c>
      <c r="EM62" s="20">
        <f t="shared" si="19"/>
        <v>389.11330483793859</v>
      </c>
      <c r="EN62" s="59">
        <f t="shared" si="20"/>
        <v>652.36558667299278</v>
      </c>
      <c r="EO62" s="59">
        <f ca="1">AVERAGE(OFFSET($EN$3,0,0,'Données projet'!$E$15+1,1))-AVERAGE(OFFSET($H$3,0,0,'Données projet'!$E$15+1,1))</f>
        <v>438.27475674276604</v>
      </c>
      <c r="EP62" s="59">
        <f t="shared" si="46"/>
        <v>235.97720136798864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70.512523560748036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70.512523560748036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15.928750000000001</v>
      </c>
      <c r="FE62" s="12">
        <f>IF('Données projet'!$A$218&gt;35,FE61+FD62-FM61,IF(A62&lt;'Données projet'!$A$218,$FB$205^A62,IF(A62='Données projet'!$A$218,'Données projet'!$B$218,FE61+FD62-FM61)))</f>
        <v>328.69874999999956</v>
      </c>
      <c r="FF62" s="17">
        <f>FE62*VLOOKUP('Données projet'!$B$16,Paramètres!$A$1:$I$89,3,0)*VLOOKUP('Données projet'!$B$16,Paramètres!$A$1:$I$89,5,0)</f>
        <v>153.83101499999978</v>
      </c>
      <c r="FG62" s="13">
        <f t="shared" si="47"/>
        <v>39.447915555701208</v>
      </c>
      <c r="FH62" s="20">
        <f t="shared" si="22"/>
        <v>336.62747071784582</v>
      </c>
      <c r="FI62" s="59">
        <f t="shared" si="23"/>
        <v>599.87975255290007</v>
      </c>
      <c r="FJ62" s="59">
        <f ca="1">AVERAGE(OFFSET($FI$3,0,0,'Données projet'!$E$16+1,1))-AVERAGE(OFFSET($H$3,0,0,'Données projet'!$E$16+1,1))</f>
        <v>329.49463758169588</v>
      </c>
      <c r="FK62" s="59">
        <f t="shared" si="48"/>
        <v>207.1447698203379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85.373543073742411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85.373543073742411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18.600000000000001</v>
      </c>
      <c r="FZ62" s="12">
        <f>IF('Données projet'!$A$244&gt;35,FZ61+FY62-GH61,IF(A62&lt;'Données projet'!$A$244,$FW$205^A62,IF(A62='Données projet'!$A$244,'Données projet'!$B$244,FZ61+FY62-GH61)))</f>
        <v>634.40000000000043</v>
      </c>
      <c r="GA62" s="17">
        <f>FZ62*VLOOKUP('Données projet'!$B$17,Paramètres!$A$1:$I$89,3,0)*VLOOKUP('Données projet'!$B$17,Paramètres!$A$1:$I$89,5,0)</f>
        <v>379.37120000000033</v>
      </c>
      <c r="GB62" s="13">
        <f t="shared" si="49"/>
        <v>87.58169214989708</v>
      </c>
      <c r="GC62" s="20">
        <f t="shared" si="25"/>
        <v>813.27628716107131</v>
      </c>
      <c r="GD62" s="59">
        <f t="shared" si="26"/>
        <v>1076.5285689961256</v>
      </c>
      <c r="GE62" s="59">
        <f ca="1">AVERAGE(OFFSET($GD$3,0,0,'Données projet'!$E$17+1,1))-AVERAGE(OFFSET($H$3,0,0,'Données projet'!$E$17+1,1))</f>
        <v>577.07444926285291</v>
      </c>
      <c r="GF62" s="59">
        <f t="shared" si="50"/>
        <v>501.3762209070419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82.559283623765495</v>
      </c>
      <c r="GM62" s="21">
        <f>EXP(-LN(2)/25)*GM61+(1-EXP(-LN(2)/25))/(LN(2)/25)*Calculateur!GH62*Calculateur!GJ62*VLOOKUP('Données projet'!$B$17,Paramètres!$A$1:$I$89,3,0)*0.475*44/12</f>
        <v>29.276884631696181</v>
      </c>
      <c r="GN62" s="21">
        <f>EXP(-LN(2)/2)*GN61+(1-EXP(-LN(2)/2))/(LN(2)/2)*GH62*GK62*VLOOKUP('Données projet'!$B$17,Paramètres!$A$1:$I$89,3,0)*0.475*44/12</f>
        <v>3.3899720173686454E-6</v>
      </c>
      <c r="GO62" s="21">
        <f t="shared" si="27"/>
        <v>111.83617164543369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61.796076864105686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-5.6843418860808015E-14</v>
      </c>
      <c r="GV62" s="17">
        <f>GU62*VLOOKUP('Données projet'!$B$18,Paramètres!$A$1:$I$89,3,0)*VLOOKUP('Données projet'!$B$18,Paramètres!$A$1:$I$89,5,0)</f>
        <v>-3.0061073630349716E-14</v>
      </c>
      <c r="GW62" s="13" t="e">
        <f t="shared" si="51"/>
        <v>#NUM!</v>
      </c>
      <c r="GX62" s="20" t="e">
        <f t="shared" si="28"/>
        <v>#NUM!</v>
      </c>
      <c r="GY62" s="59" t="e">
        <f t="shared" si="29"/>
        <v>#NUM!</v>
      </c>
      <c r="GZ62" s="59">
        <f ca="1">AVERAGE(OFFSET($GY$3,0,0,'Données projet'!$E$18+1,1))-AVERAGE(OFFSET($H$3,0,0,'Données projet'!$E$18+1,1))</f>
        <v>212.75657290802619</v>
      </c>
      <c r="HA62" s="59">
        <f t="shared" si="52"/>
        <v>411.47446316045978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43.28413997369146</v>
      </c>
      <c r="HH62" s="21">
        <f>EXP(-LN(2)/25)*HH61+(1-EXP(-LN(2)/25))/(LN(2)/25)*Calculateur!HC62*Calculateur!HE62*VLOOKUP('Données projet'!$B$18,Paramètres!$A$1:$I$89,3,0)*0.475*44/12</f>
        <v>8.9111141296216356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52.195254103313097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4.60745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16.893983333333335</v>
      </c>
      <c r="H63" s="66">
        <f t="shared" si="1"/>
        <v>189.09073333333333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277.65500000000009</v>
      </c>
      <c r="O63" s="13">
        <f>N63*VLOOKUP('Données projet'!$B$9,Paramètres!$A$1:$I$89,3,0)*VLOOKUP('Données projet'!$B$9,Paramètres!$A$1:$I$89,5,0)</f>
        <v>251.22224400000007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807.29575129234627</v>
      </c>
      <c r="S63" s="59">
        <f ca="1">AVERAGE(OFFSET($R$3,0,0,'Données projet'!$E$9+1,1))-AVERAGE(OFFSET($H$3,0,0,'Données projet'!$E$9+1,1))</f>
        <v>564.49981446852132</v>
      </c>
      <c r="T63" s="59">
        <f t="shared" si="34"/>
        <v>297.54722913785406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11.644999999999996</v>
      </c>
      <c r="AI63" s="13">
        <f>IF('Données projet'!$A$62&gt;35,AI62+AH63-AQ62,IF(A63&lt;'Données projet'!$A$62,$AF$205^A63,IF(A63='Données projet'!$A$62,'Données projet'!$B$62,AI62+AH63-AQ62)))</f>
        <v>277.65500000000003</v>
      </c>
      <c r="AJ63" s="13">
        <f>AI63*VLOOKUP('Données projet'!$B$10,Paramètres!$A$1:$I$89,3,0)*VLOOKUP('Données projet'!$B$10,Paramètres!$A$1:$I$89,5,0)</f>
        <v>281.54217000000006</v>
      </c>
      <c r="AK63" s="13">
        <f t="shared" si="35"/>
        <v>67.292809478605577</v>
      </c>
      <c r="AL63" s="20">
        <f t="shared" si="4"/>
        <v>607.55425592523807</v>
      </c>
      <c r="AM63" s="59">
        <f t="shared" si="5"/>
        <v>871.32837675263113</v>
      </c>
      <c r="AN63" s="59">
        <f ca="1">AVERAGE(OFFSET($AM$3,0,0,'Données projet'!$E$10+1,1))-AVERAGE(OFFSET($H$3,0,0,'Données projet'!$E$10+1,1))</f>
        <v>623.16549611107564</v>
      </c>
      <c r="AO63" s="59">
        <f t="shared" si="36"/>
        <v>326.15178903425885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84.781849789385603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84.781849789385603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198.74399999999989</v>
      </c>
      <c r="BF63" s="13">
        <f t="shared" si="37"/>
        <v>49.468035816012154</v>
      </c>
      <c r="BG63" s="20">
        <f t="shared" si="7"/>
        <v>432.30262904622094</v>
      </c>
      <c r="BH63" s="59">
        <f t="shared" si="8"/>
        <v>696.07674987361406</v>
      </c>
      <c r="BI63" s="59">
        <f ca="1">AVERAGE(OFFSET($BH$3,0,0,'Données projet'!$E$11+1,1))-AVERAGE(OFFSET($H$3,0,0,'Données projet'!$E$11+1,1))</f>
        <v>326.2912419133811</v>
      </c>
      <c r="BJ63" s="59">
        <f t="shared" si="38"/>
        <v>315.07976787459938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42.763377964388596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42.763377964388596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225</v>
      </c>
      <c r="BW63" s="12">
        <f>VLOOKUP(A63,'Données projet'!$A$113:$I$133,9,0)</f>
        <v>6</v>
      </c>
      <c r="BX63" s="12">
        <f t="array" ref="BX63">INDEX(BW:BW,MIN(IF(ISNUMBER(BW63:BW259),ROW(BW63:BW259),"")))</f>
        <v>6</v>
      </c>
      <c r="BY63" s="12">
        <f>IF('Données projet'!$A$114&gt;35,BY62+BX63-CG62,IF(A63&lt;'Données projet'!$A$114,$BV$205^A63,IF(A63='Données projet'!$A$114,'Données projet'!$B$114,BY62+BX63-CG62)))</f>
        <v>225.00000000000003</v>
      </c>
      <c r="BZ63" s="13">
        <f>BY63*VLOOKUP('Données projet'!$B$12,Paramètres!$A$1:$I$89,3,0)*VLOOKUP('Données projet'!$B$12,Paramètres!$A$1:$I$89,5,0)</f>
        <v>143.91</v>
      </c>
      <c r="CA63" s="13">
        <f t="shared" si="39"/>
        <v>37.191290549543432</v>
      </c>
      <c r="CB63" s="20">
        <f t="shared" si="10"/>
        <v>315.41808104045475</v>
      </c>
      <c r="CC63" s="59">
        <f t="shared" si="11"/>
        <v>579.19220186784787</v>
      </c>
      <c r="CD63" s="59">
        <f ca="1">AVERAGE(OFFSET($CC$3,0,0,'Données projet'!$E$12+1,1))-AVERAGE(OFFSET($H$3,0,0,'Données projet'!$E$12+1,1))</f>
        <v>297.03992602744393</v>
      </c>
      <c r="CE63" s="59">
        <f t="shared" si="40"/>
        <v>265.2588848922893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35.105119224533027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35.105119224533027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342.99999999999972</v>
      </c>
      <c r="CU63" s="17">
        <f>CT63*VLOOKUP('Données projet'!$B$13,Paramètres!$A$1:$I$89,3,0)*VLOOKUP('Données projet'!$B$13,Paramètres!$A$1:$I$89,5,0)</f>
        <v>272.89079999999979</v>
      </c>
      <c r="CV63" s="13">
        <f t="shared" si="41"/>
        <v>65.462389231846373</v>
      </c>
      <c r="CW63" s="20">
        <f t="shared" si="13"/>
        <v>589.29847124546529</v>
      </c>
      <c r="CX63" s="59">
        <f t="shared" si="14"/>
        <v>853.07259207285847</v>
      </c>
      <c r="CY63" s="59">
        <f ca="1">AVERAGE(OFFSET($CX$3,0,0,'Données projet'!$E$13+1,1))-AVERAGE(OFFSET($H$3,0,0,'Données projet'!$E$13+1,1))</f>
        <v>427.42918901489531</v>
      </c>
      <c r="CZ63" s="59">
        <f t="shared" si="42"/>
        <v>410.68601510655412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0.53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57.039535438279415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57.039535438279415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11.644999999999996</v>
      </c>
      <c r="DO63" s="12">
        <f>IF('Données projet'!$A$166&gt;35,DO62+DN63-DW62,IF(A63&lt;'Données projet'!$A$166,$DL$205^A63,IF(A63='Données projet'!$A$166,'Données projet'!$B$166,DO62+DN63-DW62)))</f>
        <v>277.65500000000003</v>
      </c>
      <c r="DP63" s="17">
        <f>DO63*VLOOKUP('Données projet'!$B$14,Paramètres!$A$1:$I$89,3,0)*VLOOKUP('Données projet'!$B$14,Paramètres!$A$1:$I$89,5,0)</f>
        <v>268.54791600000004</v>
      </c>
      <c r="DQ63" s="13">
        <f t="shared" si="43"/>
        <v>64.54100376296995</v>
      </c>
      <c r="DR63" s="20">
        <f t="shared" si="16"/>
        <v>580.12986858717284</v>
      </c>
      <c r="DS63" s="59">
        <f t="shared" si="17"/>
        <v>843.90398941456601</v>
      </c>
      <c r="DT63" s="59">
        <f ca="1">AVERAGE(OFFSET($DS$3,0,0,'Données projet'!$E$14+1,1))-AVERAGE(OFFSET($H$3,0,0,'Données projet'!$E$14+1,1))</f>
        <v>598.03945725240396</v>
      </c>
      <c r="DU63" s="59">
        <f t="shared" si="44"/>
        <v>313.9014686755695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80.868841337567815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80.868841337567815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11.644999999999996</v>
      </c>
      <c r="EJ63" s="12">
        <f>IF('Données projet'!$A$192&gt;35,EJ62+EI63-ER62,IF(A63&lt;'Données projet'!$A$192,$EG$205^A63,IF(A63='Données projet'!$A$192,'Données projet'!$B$192,EJ62+EI63-ER62)))</f>
        <v>277.65500000000009</v>
      </c>
      <c r="EK63" s="17">
        <f>EJ63*VLOOKUP('Données projet'!$B$15,Paramètres!$A$1:$I$89,3,0)*VLOOKUP('Données projet'!$B$15,Paramètres!$A$1:$I$89,5,0)</f>
        <v>186.25097400000007</v>
      </c>
      <c r="EL63" s="13">
        <f t="shared" si="45"/>
        <v>46.710137521982844</v>
      </c>
      <c r="EM63" s="20">
        <f t="shared" si="19"/>
        <v>405.74060256745355</v>
      </c>
      <c r="EN63" s="59">
        <f t="shared" si="20"/>
        <v>669.51472339484667</v>
      </c>
      <c r="EO63" s="59">
        <f ca="1">AVERAGE(OFFSET($EN$3,0,0,'Données projet'!$E$15+1,1))-AVERAGE(OFFSET($H$3,0,0,'Données projet'!$E$15+1,1))</f>
        <v>438.27475674276604</v>
      </c>
      <c r="EP63" s="59">
        <f t="shared" si="46"/>
        <v>235.97720136798864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69.129815982114408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69.129815982114408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15.928750000000001</v>
      </c>
      <c r="FE63" s="12">
        <f>IF('Données projet'!$A$218&gt;35,FE62+FD63-FM62,IF(A63&lt;'Données projet'!$A$218,$FB$205^A63,IF(A63='Données projet'!$A$218,'Données projet'!$B$218,FE62+FD63-FM62)))</f>
        <v>344.62749999999954</v>
      </c>
      <c r="FF63" s="17">
        <f>FE63*VLOOKUP('Données projet'!$B$16,Paramètres!$A$1:$I$89,3,0)*VLOOKUP('Données projet'!$B$16,Paramètres!$A$1:$I$89,5,0)</f>
        <v>161.28566999999978</v>
      </c>
      <c r="FG63" s="13">
        <f t="shared" si="47"/>
        <v>41.132366651958954</v>
      </c>
      <c r="FH63" s="20">
        <f t="shared" si="22"/>
        <v>352.54474716882811</v>
      </c>
      <c r="FI63" s="59">
        <f t="shared" si="23"/>
        <v>616.31886799622123</v>
      </c>
      <c r="FJ63" s="59">
        <f ca="1">AVERAGE(OFFSET($FI$3,0,0,'Données projet'!$E$16+1,1))-AVERAGE(OFFSET($H$3,0,0,'Données projet'!$E$16+1,1))</f>
        <v>329.49463758169588</v>
      </c>
      <c r="FK63" s="59">
        <f t="shared" si="48"/>
        <v>207.1447698203379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83.69941996678584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83.69941996678584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653</v>
      </c>
      <c r="FX63" s="12">
        <f>VLOOKUP(A63,'Données projet'!$A$243:$I$263,9,0)</f>
        <v>18.600000000000001</v>
      </c>
      <c r="FY63" s="12">
        <f t="array" ref="FY63">INDEX(FX:FX,MIN(IF(ISNUMBER(FX63:FX259),ROW(FX63:FX259),"")))</f>
        <v>18.600000000000001</v>
      </c>
      <c r="FZ63" s="12">
        <f>IF('Données projet'!$A$244&gt;35,FZ62+FY63-GH62,IF(A63&lt;'Données projet'!$A$244,$FW$205^A63,IF(A63='Données projet'!$A$244,'Données projet'!$B$244,FZ62+FY63-GH62)))</f>
        <v>653.00000000000045</v>
      </c>
      <c r="GA63" s="17">
        <f>FZ63*VLOOKUP('Données projet'!$B$17,Paramètres!$A$1:$I$89,3,0)*VLOOKUP('Données projet'!$B$17,Paramètres!$A$1:$I$89,5,0)</f>
        <v>390.49400000000031</v>
      </c>
      <c r="GB63" s="13">
        <f t="shared" si="49"/>
        <v>89.846780182423473</v>
      </c>
      <c r="GC63" s="20">
        <f t="shared" si="25"/>
        <v>836.59352548438801</v>
      </c>
      <c r="GD63" s="59">
        <f t="shared" si="26"/>
        <v>1100.3676463117811</v>
      </c>
      <c r="GE63" s="59">
        <f ca="1">AVERAGE(OFFSET($GD$3,0,0,'Données projet'!$E$17+1,1))-AVERAGE(OFFSET($H$3,0,0,'Données projet'!$E$17+1,1))</f>
        <v>577.07444926285291</v>
      </c>
      <c r="GF63" s="59">
        <f t="shared" si="50"/>
        <v>501.3762209070419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42</v>
      </c>
      <c r="GI63" s="16">
        <f>IF(ISNA(VLOOKUP(A63,'Données projet'!$A$243:$I$263,5,0)),0%,VLOOKUP(A63,'Données projet'!$A$243:$I$263,5,0)*VLOOKUP('Données projet'!$B$17,Paramètres!$A$1:$I$89,7,0))</f>
        <v>0.45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95.933443216362974</v>
      </c>
      <c r="GM63" s="21">
        <f>EXP(-LN(2)/25)*GM62+(1-EXP(-LN(2)/25))/(LN(2)/25)*Calculateur!GH63*Calculateur!GJ63*VLOOKUP('Données projet'!$B$17,Paramètres!$A$1:$I$89,3,0)*0.475*44/12</f>
        <v>28.476306681838</v>
      </c>
      <c r="GN63" s="21">
        <f>EXP(-LN(2)/2)*GN62+(1-EXP(-LN(2)/2))/(LN(2)/2)*GH63*GK63*VLOOKUP('Données projet'!$B$17,Paramètres!$A$1:$I$89,3,0)*0.475*44/12</f>
        <v>2.3970722015140098E-6</v>
      </c>
      <c r="GO63" s="21">
        <f t="shared" si="27"/>
        <v>124.40975229527318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61.938396589289042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-5.6843418860808015E-14</v>
      </c>
      <c r="GV63" s="17">
        <f>GU63*VLOOKUP('Données projet'!$B$18,Paramètres!$A$1:$I$89,3,0)*VLOOKUP('Données projet'!$B$18,Paramètres!$A$1:$I$89,5,0)</f>
        <v>-3.0061073630349716E-14</v>
      </c>
      <c r="GW63" s="13" t="e">
        <f t="shared" si="51"/>
        <v>#NUM!</v>
      </c>
      <c r="GX63" s="20" t="e">
        <f t="shared" si="28"/>
        <v>#NUM!</v>
      </c>
      <c r="GY63" s="59" t="e">
        <f t="shared" si="29"/>
        <v>#NUM!</v>
      </c>
      <c r="GZ63" s="59">
        <f ca="1">AVERAGE(OFFSET($GY$3,0,0,'Données projet'!$E$18+1,1))-AVERAGE(OFFSET($H$3,0,0,'Données projet'!$E$18+1,1))</f>
        <v>212.75657290802619</v>
      </c>
      <c r="HA63" s="59">
        <f t="shared" si="52"/>
        <v>411.47446316045978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42.435364389525901</v>
      </c>
      <c r="HH63" s="21">
        <f>EXP(-LN(2)/25)*HH62+(1-EXP(-LN(2)/25))/(LN(2)/25)*Calculateur!HC63*Calculateur!HE63*VLOOKUP('Données projet'!$B$18,Paramètres!$A$1:$I$89,3,0)*0.475*44/12</f>
        <v>8.667439245132007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51.10280363465791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4.60745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16.893983333333335</v>
      </c>
      <c r="H64" s="66">
        <f t="shared" si="1"/>
        <v>189.09073333333333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289.30000000000007</v>
      </c>
      <c r="O64" s="13">
        <f>N64*VLOOKUP('Données projet'!$B$9,Paramètres!$A$1:$I$89,3,0)*VLOOKUP('Données projet'!$B$9,Paramètres!$A$1:$I$89,5,0)</f>
        <v>261.75864000000007</v>
      </c>
      <c r="P64" s="13">
        <f t="shared" si="33"/>
        <v>63.097101732536537</v>
      </c>
      <c r="Q64" s="20">
        <f t="shared" si="53"/>
        <v>565.79041685083462</v>
      </c>
      <c r="R64" s="59">
        <f t="shared" si="0"/>
        <v>830.07732393070683</v>
      </c>
      <c r="S64" s="59">
        <f ca="1">AVERAGE(OFFSET($R$3,0,0,'Données projet'!$E$9+1,1))-AVERAGE(OFFSET($H$3,0,0,'Données projet'!$E$9+1,1))</f>
        <v>564.49981446852132</v>
      </c>
      <c r="T64" s="59">
        <f t="shared" si="34"/>
        <v>297.54722913785406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11.644999999999996</v>
      </c>
      <c r="AI64" s="13">
        <f>IF('Données projet'!$A$62&gt;35,AI63+AH64-AQ63,IF(A64&lt;'Données projet'!$A$62,$AF$205^A64,IF(A64='Données projet'!$A$62,'Données projet'!$B$62,AI63+AH64-AQ63)))</f>
        <v>289.3</v>
      </c>
      <c r="AJ64" s="13">
        <f>AI64*VLOOKUP('Données projet'!$B$10,Paramètres!$A$1:$I$89,3,0)*VLOOKUP('Données projet'!$B$10,Paramètres!$A$1:$I$89,5,0)</f>
        <v>293.35020000000003</v>
      </c>
      <c r="AK64" s="13">
        <f t="shared" si="35"/>
        <v>69.780596548704253</v>
      </c>
      <c r="AL64" s="20">
        <f t="shared" si="4"/>
        <v>632.45280398899331</v>
      </c>
      <c r="AM64" s="59">
        <f t="shared" si="5"/>
        <v>896.73971106886552</v>
      </c>
      <c r="AN64" s="59">
        <f ca="1">AVERAGE(OFFSET($AM$3,0,0,'Données projet'!$E$10+1,1))-AVERAGE(OFFSET($H$3,0,0,'Données projet'!$E$10+1,1))</f>
        <v>623.16549611107564</v>
      </c>
      <c r="AO64" s="59">
        <f t="shared" si="36"/>
        <v>326.15178903425885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83.119329426838007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83.119329426838007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192.57887999999988</v>
      </c>
      <c r="BF64" s="13">
        <f t="shared" si="37"/>
        <v>48.109658468565421</v>
      </c>
      <c r="BG64" s="20">
        <f t="shared" si="7"/>
        <v>419.19920449941787</v>
      </c>
      <c r="BH64" s="59">
        <f t="shared" si="8"/>
        <v>683.48611157929008</v>
      </c>
      <c r="BI64" s="59">
        <f ca="1">AVERAGE(OFFSET($BH$3,0,0,'Données projet'!$E$11+1,1))-AVERAGE(OFFSET($H$3,0,0,'Données projet'!$E$11+1,1))</f>
        <v>326.2912419133811</v>
      </c>
      <c r="BJ64" s="59">
        <f t="shared" si="38"/>
        <v>315.07976787459938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41.924814205592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41.924814205592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</v>
      </c>
      <c r="BY64" s="12">
        <f>IF('Données projet'!$A$114&gt;35,BY63+BX64-CG63,IF(A64&lt;'Données projet'!$A$114,$BV$205^A64,IF(A64='Données projet'!$A$114,'Données projet'!$B$114,BY63+BX64-CG63)))</f>
        <v>209.60000000000002</v>
      </c>
      <c r="BZ64" s="13">
        <f>BY64*VLOOKUP('Données projet'!$B$12,Paramètres!$A$1:$I$89,3,0)*VLOOKUP('Données projet'!$B$12,Paramètres!$A$1:$I$89,5,0)</f>
        <v>134.06016000000002</v>
      </c>
      <c r="CA64" s="13">
        <f t="shared" si="39"/>
        <v>34.93285725919646</v>
      </c>
      <c r="CB64" s="20">
        <f t="shared" si="10"/>
        <v>294.3295050597672</v>
      </c>
      <c r="CC64" s="59">
        <f t="shared" si="11"/>
        <v>558.61641213963946</v>
      </c>
      <c r="CD64" s="59">
        <f ca="1">AVERAGE(OFFSET($CC$3,0,0,'Données projet'!$E$12+1,1))-AVERAGE(OFFSET($H$3,0,0,'Données projet'!$E$12+1,1))</f>
        <v>297.03992602744393</v>
      </c>
      <c r="CE64" s="59">
        <f t="shared" si="40"/>
        <v>265.2588848922893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34.4167292485484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34.4167292485484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331.99999999999972</v>
      </c>
      <c r="CU64" s="17">
        <f>CT64*VLOOKUP('Données projet'!$B$13,Paramètres!$A$1:$I$89,3,0)*VLOOKUP('Données projet'!$B$13,Paramètres!$A$1:$I$89,5,0)</f>
        <v>264.13919999999979</v>
      </c>
      <c r="CV64" s="13">
        <f t="shared" si="41"/>
        <v>63.60387543087441</v>
      </c>
      <c r="CW64" s="20">
        <f t="shared" si="13"/>
        <v>570.81918970877257</v>
      </c>
      <c r="CX64" s="59">
        <f t="shared" si="14"/>
        <v>835.10609678864489</v>
      </c>
      <c r="CY64" s="59">
        <f ca="1">AVERAGE(OFFSET($CX$3,0,0,'Données projet'!$E$13+1,1))-AVERAGE(OFFSET($H$3,0,0,'Données projet'!$E$13+1,1))</f>
        <v>427.42918901489531</v>
      </c>
      <c r="CZ64" s="59">
        <f t="shared" si="42"/>
        <v>410.68601510655412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55.921024939016078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55.921024939016078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11.644999999999996</v>
      </c>
      <c r="DO64" s="12">
        <f>IF('Données projet'!$A$166&gt;35,DO63+DN64-DW63,IF(A64&lt;'Données projet'!$A$166,$DL$205^A64,IF(A64='Données projet'!$A$166,'Données projet'!$B$166,DO63+DN64-DW63)))</f>
        <v>289.3</v>
      </c>
      <c r="DP64" s="17">
        <f>DO64*VLOOKUP('Données projet'!$B$14,Paramètres!$A$1:$I$89,3,0)*VLOOKUP('Données projet'!$B$14,Paramètres!$A$1:$I$89,5,0)</f>
        <v>279.81096000000002</v>
      </c>
      <c r="DQ64" s="13">
        <f t="shared" si="43"/>
        <v>66.927057724705037</v>
      </c>
      <c r="DR64" s="20">
        <f t="shared" si="16"/>
        <v>603.90204753719468</v>
      </c>
      <c r="DS64" s="59">
        <f t="shared" si="17"/>
        <v>868.18895461706688</v>
      </c>
      <c r="DT64" s="59">
        <f ca="1">AVERAGE(OFFSET($DS$3,0,0,'Données projet'!$E$14+1,1))-AVERAGE(OFFSET($H$3,0,0,'Données projet'!$E$14+1,1))</f>
        <v>598.03945725240396</v>
      </c>
      <c r="DU64" s="59">
        <f t="shared" si="44"/>
        <v>313.9014686755695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79.283052684060877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79.283052684060877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11.644999999999996</v>
      </c>
      <c r="EJ64" s="12">
        <f>IF('Données projet'!$A$192&gt;35,EJ63+EI64-ER63,IF(A64&lt;'Données projet'!$A$192,$EG$205^A64,IF(A64='Données projet'!$A$192,'Données projet'!$B$192,EJ63+EI64-ER63)))</f>
        <v>289.30000000000007</v>
      </c>
      <c r="EK64" s="17">
        <f>EJ64*VLOOKUP('Données projet'!$B$15,Paramètres!$A$1:$I$89,3,0)*VLOOKUP('Données projet'!$B$15,Paramètres!$A$1:$I$89,5,0)</f>
        <v>194.06244000000007</v>
      </c>
      <c r="EL64" s="13">
        <f t="shared" si="45"/>
        <v>48.436991803593294</v>
      </c>
      <c r="EM64" s="20">
        <f t="shared" si="19"/>
        <v>422.35317705792505</v>
      </c>
      <c r="EN64" s="59">
        <f t="shared" si="20"/>
        <v>686.64008413779732</v>
      </c>
      <c r="EO64" s="59">
        <f ca="1">AVERAGE(OFFSET($EN$3,0,0,'Données projet'!$E$15+1,1))-AVERAGE(OFFSET($H$3,0,0,'Données projet'!$E$15+1,1))</f>
        <v>438.27475674276604</v>
      </c>
      <c r="EP64" s="59">
        <f t="shared" si="46"/>
        <v>235.97720136798864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67.774222455729443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67.774222455729443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15.928750000000001</v>
      </c>
      <c r="FE64" s="12">
        <f>IF('Données projet'!$A$218&gt;35,FE63+FD64-FM63,IF(A64&lt;'Données projet'!$A$218,$FB$205^A64,IF(A64='Données projet'!$A$218,'Données projet'!$B$218,FE63+FD64-FM63)))</f>
        <v>360.55624999999952</v>
      </c>
      <c r="FF64" s="17">
        <f>FE64*VLOOKUP('Données projet'!$B$16,Paramètres!$A$1:$I$89,3,0)*VLOOKUP('Données projet'!$B$16,Paramètres!$A$1:$I$89,5,0)</f>
        <v>168.74032499999979</v>
      </c>
      <c r="FG64" s="13">
        <f t="shared" si="47"/>
        <v>42.807776284897514</v>
      </c>
      <c r="FH64" s="20">
        <f t="shared" si="22"/>
        <v>368.44627640452944</v>
      </c>
      <c r="FI64" s="59">
        <f t="shared" si="23"/>
        <v>632.73318348440171</v>
      </c>
      <c r="FJ64" s="59">
        <f ca="1">AVERAGE(OFFSET($FI$3,0,0,'Données projet'!$E$16+1,1))-AVERAGE(OFFSET($H$3,0,0,'Données projet'!$E$16+1,1))</f>
        <v>329.49463758169588</v>
      </c>
      <c r="FK64" s="59">
        <f t="shared" si="48"/>
        <v>207.1447698203379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82.058125392842427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82.058125392842427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16.8</v>
      </c>
      <c r="FZ64" s="12">
        <f>IF('Données projet'!$A$244&gt;35,FZ63+FY64-GH63,IF(A64&lt;'Données projet'!$A$244,$FW$205^A64,IF(A64='Données projet'!$A$244,'Données projet'!$B$244,FZ63+FY64-GH63)))</f>
        <v>627.80000000000041</v>
      </c>
      <c r="GA64" s="17">
        <f>FZ64*VLOOKUP('Données projet'!$B$17,Paramètres!$A$1:$I$89,3,0)*VLOOKUP('Données projet'!$B$17,Paramètres!$A$1:$I$89,5,0)</f>
        <v>375.42440000000028</v>
      </c>
      <c r="GB64" s="13">
        <f t="shared" si="49"/>
        <v>86.776102824676897</v>
      </c>
      <c r="GC64" s="20">
        <f t="shared" si="25"/>
        <v>804.99920908631259</v>
      </c>
      <c r="GD64" s="59">
        <f t="shared" si="26"/>
        <v>1069.2861161661849</v>
      </c>
      <c r="GE64" s="59">
        <f ca="1">AVERAGE(OFFSET($GD$3,0,0,'Données projet'!$E$17+1,1))-AVERAGE(OFFSET($H$3,0,0,'Données projet'!$E$17+1,1))</f>
        <v>577.07444926285291</v>
      </c>
      <c r="GF64" s="59">
        <f t="shared" si="50"/>
        <v>501.3762209070419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94.052246908512714</v>
      </c>
      <c r="GM64" s="21">
        <f>EXP(-LN(2)/25)*GM63+(1-EXP(-LN(2)/25))/(LN(2)/25)*Calculateur!GH64*Calculateur!GJ64*VLOOKUP('Données projet'!$B$17,Paramètres!$A$1:$I$89,3,0)*0.475*44/12</f>
        <v>27.697620578119256</v>
      </c>
      <c r="GN64" s="21">
        <f>EXP(-LN(2)/2)*GN63+(1-EXP(-LN(2)/2))/(LN(2)/2)*GH64*GK64*VLOOKUP('Données projet'!$B$17,Paramètres!$A$1:$I$89,3,0)*0.475*44/12</f>
        <v>1.6949860086843227E-6</v>
      </c>
      <c r="GO64" s="21">
        <f t="shared" si="27"/>
        <v>121.74986918161798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62.078247385419701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-5.6843418860808015E-14</v>
      </c>
      <c r="GV64" s="17">
        <f>GU64*VLOOKUP('Données projet'!$B$18,Paramètres!$A$1:$I$89,3,0)*VLOOKUP('Données projet'!$B$18,Paramètres!$A$1:$I$89,5,0)</f>
        <v>-3.0061073630349716E-14</v>
      </c>
      <c r="GW64" s="13" t="e">
        <f t="shared" si="51"/>
        <v>#NUM!</v>
      </c>
      <c r="GX64" s="20" t="e">
        <f t="shared" si="28"/>
        <v>#NUM!</v>
      </c>
      <c r="GY64" s="59" t="e">
        <f t="shared" si="29"/>
        <v>#NUM!</v>
      </c>
      <c r="GZ64" s="59">
        <f ca="1">AVERAGE(OFFSET($GY$3,0,0,'Données projet'!$E$18+1,1))-AVERAGE(OFFSET($H$3,0,0,'Données projet'!$E$18+1,1))</f>
        <v>212.75657290802619</v>
      </c>
      <c r="HA64" s="59">
        <f t="shared" si="52"/>
        <v>411.47446316045978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41.603232776863841</v>
      </c>
      <c r="HH64" s="21">
        <f>EXP(-LN(2)/25)*HH63+(1-EXP(-LN(2)/25))/(LN(2)/25)*Calculateur!HC64*Calculateur!HE64*VLOOKUP('Données projet'!$B$18,Paramètres!$A$1:$I$89,3,0)*0.475*44/12</f>
        <v>8.4304276631730524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50.033660440036897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4.60745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16.893983333333335</v>
      </c>
      <c r="H65" s="66">
        <f t="shared" si="1"/>
        <v>189.09073333333333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300.94500000000005</v>
      </c>
      <c r="O65" s="13">
        <f>N65*VLOOKUP('Données projet'!$B$9,Paramètres!$A$1:$I$89,3,0)*VLOOKUP('Données projet'!$B$9,Paramètres!$A$1:$I$89,5,0)</f>
        <v>272.29503600000004</v>
      </c>
      <c r="P65" s="13">
        <f t="shared" si="33"/>
        <v>65.336093654015855</v>
      </c>
      <c r="Q65" s="20">
        <f t="shared" si="53"/>
        <v>588.04088414741102</v>
      </c>
      <c r="R65" s="59">
        <f t="shared" si="0"/>
        <v>852.83168178470009</v>
      </c>
      <c r="S65" s="59">
        <f ca="1">AVERAGE(OFFSET($R$3,0,0,'Données projet'!$E$9+1,1))-AVERAGE(OFFSET($H$3,0,0,'Données projet'!$E$9+1,1))</f>
        <v>564.49981446852132</v>
      </c>
      <c r="T65" s="59">
        <f t="shared" si="34"/>
        <v>297.54722913785406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11.644999999999996</v>
      </c>
      <c r="AI65" s="13">
        <f>IF('Données projet'!$A$62&gt;35,AI64+AH65-AQ64,IF(A65&lt;'Données projet'!$A$62,$AF$205^A65,IF(A65='Données projet'!$A$62,'Données projet'!$B$62,AI64+AH65-AQ64)))</f>
        <v>300.94499999999999</v>
      </c>
      <c r="AJ65" s="13">
        <f>AI65*VLOOKUP('Données projet'!$B$10,Paramètres!$A$1:$I$89,3,0)*VLOOKUP('Données projet'!$B$10,Paramètres!$A$1:$I$89,5,0)</f>
        <v>305.15823</v>
      </c>
      <c r="AK65" s="13">
        <f t="shared" si="35"/>
        <v>72.256751358648415</v>
      </c>
      <c r="AL65" s="20">
        <f t="shared" si="4"/>
        <v>657.33109253297937</v>
      </c>
      <c r="AM65" s="59">
        <f t="shared" si="5"/>
        <v>922.12189017026844</v>
      </c>
      <c r="AN65" s="59">
        <f ca="1">AVERAGE(OFFSET($AM$3,0,0,'Données projet'!$E$10+1,1))-AVERAGE(OFFSET($H$3,0,0,'Données projet'!$E$10+1,1))</f>
        <v>623.16549611107564</v>
      </c>
      <c r="AO65" s="59">
        <f t="shared" si="36"/>
        <v>326.15178903425885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81.48941007456267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81.48941007456267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196.14815999999988</v>
      </c>
      <c r="BF65" s="13">
        <f t="shared" si="37"/>
        <v>48.896694156917398</v>
      </c>
      <c r="BG65" s="20">
        <f t="shared" si="7"/>
        <v>426.78645432329751</v>
      </c>
      <c r="BH65" s="59">
        <f t="shared" si="8"/>
        <v>691.57725196058664</v>
      </c>
      <c r="BI65" s="59">
        <f ca="1">AVERAGE(OFFSET($BH$3,0,0,'Données projet'!$E$11+1,1))-AVERAGE(OFFSET($H$3,0,0,'Données projet'!$E$11+1,1))</f>
        <v>326.2912419133811</v>
      </c>
      <c r="BJ65" s="59">
        <f t="shared" si="38"/>
        <v>315.07976787459938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41.10269417063202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41.10269417063202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</v>
      </c>
      <c r="BY65" s="12">
        <f>IF('Données projet'!$A$114&gt;35,BY64+BX65-CG64,IF(A65&lt;'Données projet'!$A$114,$BV$205^A65,IF(A65='Données projet'!$A$114,'Données projet'!$B$114,BY64+BX65-CG64)))</f>
        <v>215.20000000000002</v>
      </c>
      <c r="BZ65" s="13">
        <f>BY65*VLOOKUP('Données projet'!$B$12,Paramètres!$A$1:$I$89,3,0)*VLOOKUP('Données projet'!$B$12,Paramètres!$A$1:$I$89,5,0)</f>
        <v>137.64192</v>
      </c>
      <c r="CA65" s="13">
        <f t="shared" si="39"/>
        <v>35.756269576827904</v>
      </c>
      <c r="CB65" s="20">
        <f t="shared" si="10"/>
        <v>302.00184684630864</v>
      </c>
      <c r="CC65" s="59">
        <f t="shared" si="11"/>
        <v>566.79264448359777</v>
      </c>
      <c r="CD65" s="59">
        <f ca="1">AVERAGE(OFFSET($CC$3,0,0,'Données projet'!$E$12+1,1))-AVERAGE(OFFSET($H$3,0,0,'Données projet'!$E$12+1,1))</f>
        <v>297.03992602744393</v>
      </c>
      <c r="CE65" s="59">
        <f t="shared" si="40"/>
        <v>265.2588848922893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33.741838180116403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33.741838180116403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337.99999999999972</v>
      </c>
      <c r="CU65" s="17">
        <f>CT65*VLOOKUP('Données projet'!$B$13,Paramètres!$A$1:$I$89,3,0)*VLOOKUP('Données projet'!$B$13,Paramètres!$A$1:$I$89,5,0)</f>
        <v>268.91279999999978</v>
      </c>
      <c r="CV65" s="13">
        <f t="shared" si="41"/>
        <v>64.618483855217065</v>
      </c>
      <c r="CW65" s="20">
        <f t="shared" si="13"/>
        <v>580.90031938116931</v>
      </c>
      <c r="CX65" s="59">
        <f t="shared" si="14"/>
        <v>845.6911170184585</v>
      </c>
      <c r="CY65" s="59">
        <f ca="1">AVERAGE(OFFSET($CX$3,0,0,'Données projet'!$E$13+1,1))-AVERAGE(OFFSET($H$3,0,0,'Données projet'!$E$13+1,1))</f>
        <v>427.42918901489531</v>
      </c>
      <c r="CZ65" s="59">
        <f t="shared" si="42"/>
        <v>410.68601510655412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54.824447748419253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54.824447748419253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11.644999999999996</v>
      </c>
      <c r="DO65" s="12">
        <f>IF('Données projet'!$A$166&gt;35,DO64+DN65-DW64,IF(A65&lt;'Données projet'!$A$166,$DL$205^A65,IF(A65='Données projet'!$A$166,'Données projet'!$B$166,DO64+DN65-DW64)))</f>
        <v>300.94499999999999</v>
      </c>
      <c r="DP65" s="17">
        <f>DO65*VLOOKUP('Données projet'!$B$14,Paramètres!$A$1:$I$89,3,0)*VLOOKUP('Données projet'!$B$14,Paramètres!$A$1:$I$89,5,0)</f>
        <v>291.074004</v>
      </c>
      <c r="DQ65" s="13">
        <f t="shared" si="43"/>
        <v>69.301955104448211</v>
      </c>
      <c r="DR65" s="20">
        <f t="shared" si="16"/>
        <v>627.6547954402472</v>
      </c>
      <c r="DS65" s="59">
        <f t="shared" si="17"/>
        <v>892.44559307753639</v>
      </c>
      <c r="DT65" s="59">
        <f ca="1">AVERAGE(OFFSET($DS$3,0,0,'Données projet'!$E$14+1,1))-AVERAGE(OFFSET($H$3,0,0,'Données projet'!$E$14+1,1))</f>
        <v>598.03945725240396</v>
      </c>
      <c r="DU65" s="59">
        <f t="shared" si="44"/>
        <v>313.9014686755695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77.728360378813633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77.728360378813633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11.644999999999996</v>
      </c>
      <c r="EJ65" s="12">
        <f>IF('Données projet'!$A$192&gt;35,EJ64+EI65-ER64,IF(A65&lt;'Données projet'!$A$192,$EG$205^A65,IF(A65='Données projet'!$A$192,'Données projet'!$B$192,EJ64+EI65-ER64)))</f>
        <v>300.94500000000005</v>
      </c>
      <c r="EK65" s="17">
        <f>EJ65*VLOOKUP('Données projet'!$B$15,Paramètres!$A$1:$I$89,3,0)*VLOOKUP('Données projet'!$B$15,Paramètres!$A$1:$I$89,5,0)</f>
        <v>201.87390600000006</v>
      </c>
      <c r="EL65" s="13">
        <f t="shared" si="45"/>
        <v>50.155771753403194</v>
      </c>
      <c r="EM65" s="20">
        <f t="shared" si="19"/>
        <v>438.95168875384394</v>
      </c>
      <c r="EN65" s="59">
        <f t="shared" si="20"/>
        <v>703.74248639113307</v>
      </c>
      <c r="EO65" s="59">
        <f ca="1">AVERAGE(OFFSET($EN$3,0,0,'Données projet'!$E$15+1,1))-AVERAGE(OFFSET($H$3,0,0,'Données projet'!$E$15+1,1))</f>
        <v>438.27475674276604</v>
      </c>
      <c r="EP65" s="59">
        <f t="shared" si="46"/>
        <v>235.97720136798864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66.44521129156648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66.44521129156648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15.928750000000001</v>
      </c>
      <c r="FE65" s="12">
        <f>IF('Données projet'!$A$218&gt;35,FE64+FD65-FM64,IF(A65&lt;'Données projet'!$A$218,$FB$205^A65,IF(A65='Données projet'!$A$218,'Données projet'!$B$218,FE64+FD65-FM64)))</f>
        <v>376.4849999999995</v>
      </c>
      <c r="FF65" s="17">
        <f>FE65*VLOOKUP('Données projet'!$B$16,Paramètres!$A$1:$I$89,3,0)*VLOOKUP('Données projet'!$B$16,Paramètres!$A$1:$I$89,5,0)</f>
        <v>176.19497999999976</v>
      </c>
      <c r="FG65" s="13">
        <f t="shared" si="47"/>
        <v>44.474589536115268</v>
      </c>
      <c r="FH65" s="20">
        <f t="shared" si="22"/>
        <v>384.33283360873367</v>
      </c>
      <c r="FI65" s="59">
        <f t="shared" si="23"/>
        <v>649.1236312460228</v>
      </c>
      <c r="FJ65" s="59">
        <f ca="1">AVERAGE(OFFSET($FI$3,0,0,'Données projet'!$E$16+1,1))-AVERAGE(OFFSET($H$3,0,0,'Données projet'!$E$16+1,1))</f>
        <v>329.49463758169588</v>
      </c>
      <c r="FK65" s="59">
        <f t="shared" si="48"/>
        <v>207.1447698203379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80.449015604403201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80.449015604403201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16.8</v>
      </c>
      <c r="FZ65" s="12">
        <f>IF('Données projet'!$A$244&gt;35,FZ64+FY65-GH64,IF(A65&lt;'Données projet'!$A$244,$FW$205^A65,IF(A65='Données projet'!$A$244,'Données projet'!$B$244,FZ64+FY65-GH64)))</f>
        <v>644.60000000000036</v>
      </c>
      <c r="GA65" s="17">
        <f>FZ65*VLOOKUP('Données projet'!$B$17,Paramètres!$A$1:$I$89,3,0)*VLOOKUP('Données projet'!$B$17,Paramètres!$A$1:$I$89,5,0)</f>
        <v>385.47080000000028</v>
      </c>
      <c r="GB65" s="13">
        <f t="shared" si="49"/>
        <v>88.824780133563593</v>
      </c>
      <c r="GC65" s="20">
        <f t="shared" si="25"/>
        <v>826.064802065957</v>
      </c>
      <c r="GD65" s="59">
        <f t="shared" si="26"/>
        <v>1090.8555997032461</v>
      </c>
      <c r="GE65" s="59">
        <f ca="1">AVERAGE(OFFSET($GD$3,0,0,'Données projet'!$E$17+1,1))-AVERAGE(OFFSET($H$3,0,0,'Données projet'!$E$17+1,1))</f>
        <v>577.07444926285291</v>
      </c>
      <c r="GF65" s="59">
        <f t="shared" si="50"/>
        <v>501.3762209070419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92.207939712842958</v>
      </c>
      <c r="GM65" s="21">
        <f>EXP(-LN(2)/25)*GM64+(1-EXP(-LN(2)/25))/(LN(2)/25)*Calculateur!GH65*Calculateur!GJ65*VLOOKUP('Données projet'!$B$17,Paramètres!$A$1:$I$89,3,0)*0.475*44/12</f>
        <v>26.940227686856023</v>
      </c>
      <c r="GN65" s="21">
        <f>EXP(-LN(2)/2)*GN64+(1-EXP(-LN(2)/2))/(LN(2)/2)*GH65*GK65*VLOOKUP('Données projet'!$B$17,Paramètres!$A$1:$I$89,3,0)*0.475*44/12</f>
        <v>1.1985361007570049E-6</v>
      </c>
      <c r="GO65" s="21">
        <f t="shared" si="27"/>
        <v>119.14816859823507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62.215672082897029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-5.6843418860808015E-14</v>
      </c>
      <c r="GV65" s="17">
        <f>GU65*VLOOKUP('Données projet'!$B$18,Paramètres!$A$1:$I$89,3,0)*VLOOKUP('Données projet'!$B$18,Paramètres!$A$1:$I$89,5,0)</f>
        <v>-3.0061073630349716E-14</v>
      </c>
      <c r="GW65" s="13" t="e">
        <f t="shared" si="51"/>
        <v>#NUM!</v>
      </c>
      <c r="GX65" s="20" t="e">
        <f t="shared" si="28"/>
        <v>#NUM!</v>
      </c>
      <c r="GY65" s="59" t="e">
        <f t="shared" si="29"/>
        <v>#NUM!</v>
      </c>
      <c r="GZ65" s="59">
        <f ca="1">AVERAGE(OFFSET($GY$3,0,0,'Données projet'!$E$18+1,1))-AVERAGE(OFFSET($H$3,0,0,'Données projet'!$E$18+1,1))</f>
        <v>212.75657290802619</v>
      </c>
      <c r="HA65" s="59">
        <f t="shared" si="52"/>
        <v>411.47446316045978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40.787418757575914</v>
      </c>
      <c r="HH65" s="21">
        <f>EXP(-LN(2)/25)*HH64+(1-EXP(-LN(2)/25))/(LN(2)/25)*Calculateur!HC65*Calculateur!HE65*VLOOKUP('Données projet'!$B$18,Paramètres!$A$1:$I$89,3,0)*0.475*44/12</f>
        <v>8.1998971753866616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48.987315932962574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4.60745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16.893983333333335</v>
      </c>
      <c r="H66" s="66">
        <f t="shared" si="1"/>
        <v>189.09073333333333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312.59000000000003</v>
      </c>
      <c r="O66" s="13">
        <f>N66*VLOOKUP('Données projet'!$B$9,Paramètres!$A$1:$I$89,3,0)*VLOOKUP('Données projet'!$B$9,Paramètres!$A$1:$I$89,5,0)</f>
        <v>282.83143200000001</v>
      </c>
      <c r="P66" s="13">
        <f t="shared" si="33"/>
        <v>67.565021018325808</v>
      </c>
      <c r="Q66" s="20">
        <f t="shared" si="53"/>
        <v>610.27382234025083</v>
      </c>
      <c r="R66" s="59">
        <f t="shared" si="0"/>
        <v>875.55976916031614</v>
      </c>
      <c r="S66" s="59">
        <f ca="1">AVERAGE(OFFSET($R$3,0,0,'Données projet'!$E$9+1,1))-AVERAGE(OFFSET($H$3,0,0,'Données projet'!$E$9+1,1))</f>
        <v>564.49981446852132</v>
      </c>
      <c r="T66" s="59">
        <f t="shared" si="34"/>
        <v>297.54722913785406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312.58999999999997</v>
      </c>
      <c r="AG66" s="12">
        <f>VLOOKUP(A66,'Données projet'!$A$61:$I$81,9,0)</f>
        <v>11.644999999999996</v>
      </c>
      <c r="AH66" s="12">
        <f t="array" ref="AH66">INDEX(AG:AG,MIN(IF(ISNUMBER(AG66:AG262),ROW(AG66:AG262),"")))</f>
        <v>11.644999999999996</v>
      </c>
      <c r="AI66" s="13">
        <f>IF('Données projet'!$A$62&gt;35,AI65+AH66-AQ65,IF(A66&lt;'Données projet'!$A$62,$AF$205^A66,IF(A66='Données projet'!$A$62,'Données projet'!$B$62,AI65+AH66-AQ65)))</f>
        <v>312.58999999999997</v>
      </c>
      <c r="AJ66" s="13">
        <f>AI66*VLOOKUP('Données projet'!$B$10,Paramètres!$A$1:$I$89,3,0)*VLOOKUP('Données projet'!$B$10,Paramètres!$A$1:$I$89,5,0)</f>
        <v>316.96625999999998</v>
      </c>
      <c r="AK66" s="13">
        <f t="shared" si="35"/>
        <v>74.721775533682376</v>
      </c>
      <c r="AL66" s="20">
        <f t="shared" si="4"/>
        <v>682.18999522116337</v>
      </c>
      <c r="AM66" s="59">
        <f t="shared" si="5"/>
        <v>947.47594204122879</v>
      </c>
      <c r="AN66" s="59">
        <f ca="1">AVERAGE(OFFSET($AM$3,0,0,'Données projet'!$E$10+1,1))-AVERAGE(OFFSET($H$3,0,0,'Données projet'!$E$10+1,1))</f>
        <v>623.16549611107564</v>
      </c>
      <c r="AO66" s="59">
        <f t="shared" si="36"/>
        <v>326.15178903425885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54.21</v>
      </c>
      <c r="AR66" s="16">
        <f>IF(ISNA(VLOOKUP(A66,'Données projet'!$A$61:$I$81,5,0)),0%,VLOOKUP(A66,'Données projet'!$A$61:$I$81,5,0)*VLOOKUP('Données projet'!$B$10,Paramètres!$A$1:$I$89,7,0))</f>
        <v>0.43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106.02106248129212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106.02106248129212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199.71743999999987</v>
      </c>
      <c r="BF66" s="13">
        <f t="shared" si="37"/>
        <v>49.682064480920403</v>
      </c>
      <c r="BG66" s="20">
        <f t="shared" si="7"/>
        <v>434.37080363760282</v>
      </c>
      <c r="BH66" s="59">
        <f t="shared" si="8"/>
        <v>699.65675045766818</v>
      </c>
      <c r="BI66" s="59">
        <f ca="1">AVERAGE(OFFSET($BH$3,0,0,'Données projet'!$E$11+1,1))-AVERAGE(OFFSET($H$3,0,0,'Données projet'!$E$11+1,1))</f>
        <v>326.2912419133811</v>
      </c>
      <c r="BJ66" s="59">
        <f t="shared" si="38"/>
        <v>315.07976787459938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40.296695408113898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40.296695408113898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</v>
      </c>
      <c r="BY66" s="12">
        <f>IF('Données projet'!$A$114&gt;35,BY65+BX66-CG65,IF(A66&lt;'Données projet'!$A$114,$BV$205^A66,IF(A66='Données projet'!$A$114,'Données projet'!$B$114,BY65+BX66-CG65)))</f>
        <v>220.8</v>
      </c>
      <c r="BZ66" s="13">
        <f>BY66*VLOOKUP('Données projet'!$B$12,Paramètres!$A$1:$I$89,3,0)*VLOOKUP('Données projet'!$B$12,Paramètres!$A$1:$I$89,5,0)</f>
        <v>141.22368</v>
      </c>
      <c r="CA66" s="13">
        <f t="shared" si="39"/>
        <v>36.577191258077065</v>
      </c>
      <c r="CB66" s="20">
        <f t="shared" si="10"/>
        <v>309.66985077448419</v>
      </c>
      <c r="CC66" s="59">
        <f t="shared" si="11"/>
        <v>574.95579759454949</v>
      </c>
      <c r="CD66" s="59">
        <f ca="1">AVERAGE(OFFSET($CC$3,0,0,'Données projet'!$E$12+1,1))-AVERAGE(OFFSET($H$3,0,0,'Données projet'!$E$12+1,1))</f>
        <v>297.03992602744393</v>
      </c>
      <c r="CE66" s="59">
        <f t="shared" si="40"/>
        <v>265.2588848922893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33.080181313893455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33.080181313893455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343.99999999999972</v>
      </c>
      <c r="CU66" s="17">
        <f>CT66*VLOOKUP('Données projet'!$B$13,Paramètres!$A$1:$I$89,3,0)*VLOOKUP('Données projet'!$B$13,Paramètres!$A$1:$I$89,5,0)</f>
        <v>273.68639999999976</v>
      </c>
      <c r="CV66" s="13">
        <f t="shared" si="41"/>
        <v>65.630997870536959</v>
      </c>
      <c r="CW66" s="20">
        <f t="shared" si="13"/>
        <v>590.97780129118485</v>
      </c>
      <c r="CX66" s="59">
        <f t="shared" si="14"/>
        <v>856.26374811125015</v>
      </c>
      <c r="CY66" s="59">
        <f ca="1">AVERAGE(OFFSET($CX$3,0,0,'Données projet'!$E$13+1,1))-AVERAGE(OFFSET($H$3,0,0,'Données projet'!$E$13+1,1))</f>
        <v>427.42918901489531</v>
      </c>
      <c r="CZ66" s="59">
        <f t="shared" si="42"/>
        <v>410.68601510655412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53.749373767683991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53.749373767683991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312.58999999999997</v>
      </c>
      <c r="DM66" s="12">
        <f>VLOOKUP(A66,'Données projet'!$A$165:$I$185,9,0)</f>
        <v>11.644999999999996</v>
      </c>
      <c r="DN66" s="12">
        <f t="array" ref="DN66">INDEX(DM:DM,MIN(IF(ISNUMBER(DM66:DM262),ROW(DM66:DM262),"")))</f>
        <v>11.644999999999996</v>
      </c>
      <c r="DO66" s="12">
        <f>IF('Données projet'!$A$166&gt;35,DO65+DN66-DW65,IF(A66&lt;'Données projet'!$A$166,$DL$205^A66,IF(A66='Données projet'!$A$166,'Données projet'!$B$166,DO65+DN66-DW65)))</f>
        <v>312.58999999999997</v>
      </c>
      <c r="DP66" s="17">
        <f>DO66*VLOOKUP('Données projet'!$B$14,Paramètres!$A$1:$I$89,3,0)*VLOOKUP('Données projet'!$B$14,Paramètres!$A$1:$I$89,5,0)</f>
        <v>302.33704799999998</v>
      </c>
      <c r="DQ66" s="13">
        <f t="shared" si="43"/>
        <v>71.666177014476503</v>
      </c>
      <c r="DR66" s="20">
        <f t="shared" si="16"/>
        <v>651.38895023354644</v>
      </c>
      <c r="DS66" s="59">
        <f t="shared" si="17"/>
        <v>916.67489705361186</v>
      </c>
      <c r="DT66" s="59">
        <f ca="1">AVERAGE(OFFSET($DS$3,0,0,'Données projet'!$E$14+1,1))-AVERAGE(OFFSET($H$3,0,0,'Données projet'!$E$14+1,1))</f>
        <v>598.03945725240396</v>
      </c>
      <c r="DU66" s="59">
        <f t="shared" si="44"/>
        <v>313.9014686755695</v>
      </c>
      <c r="DV66" s="15">
        <f>IF(ISNA(VLOOKUP(A66,'Données projet'!$A$165:$I$185,3,0)),0,VLOOKUP(A66,'Données projet'!$A$165:$I$185,3,0))</f>
        <v>5</v>
      </c>
      <c r="DW66" s="15">
        <f>IF(ISNA(VLOOKUP(A66,'Données projet'!$A$165:$I$185,4,0)),0,VLOOKUP(A66,'Données projet'!$A$165:$I$185,4,0))</f>
        <v>54.21</v>
      </c>
      <c r="DX66" s="16">
        <f>IF(ISNA(VLOOKUP(A66,'Données projet'!$A$165:$I$185,5,0)),0%,VLOOKUP(A66,'Données projet'!$A$165:$I$185,5,0)*VLOOKUP('Données projet'!$B$14,Paramètres!$A$1:$I$89,7,0))</f>
        <v>0.43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101.12778267446326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101.12778267446326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projet'!$A$191:$I$211,2,0)</f>
        <v>312.58999999999997</v>
      </c>
      <c r="EH66" s="12">
        <f>VLOOKUP(A66,'Données projet'!$A$191:$I$211,9,0)</f>
        <v>11.644999999999996</v>
      </c>
      <c r="EI66" s="12">
        <f t="array" ref="EI66">INDEX(EH:EH,MIN(IF(ISNUMBER(EH66:EH262),ROW(EH66:EH262),"")))</f>
        <v>11.644999999999996</v>
      </c>
      <c r="EJ66" s="12">
        <f>IF('Données projet'!$A$192&gt;35,EJ65+EI66-ER65,IF(A66&lt;'Données projet'!$A$192,$EG$205^A66,IF(A66='Données projet'!$A$192,'Données projet'!$B$192,EJ65+EI66-ER65)))</f>
        <v>312.59000000000003</v>
      </c>
      <c r="EK66" s="17">
        <f>EJ66*VLOOKUP('Données projet'!$B$15,Paramètres!$A$1:$I$89,3,0)*VLOOKUP('Données projet'!$B$15,Paramètres!$A$1:$I$89,5,0)</f>
        <v>209.68537200000003</v>
      </c>
      <c r="EL66" s="13">
        <f t="shared" si="45"/>
        <v>51.86682556588309</v>
      </c>
      <c r="EM66" s="20">
        <f t="shared" si="19"/>
        <v>455.53674409391311</v>
      </c>
      <c r="EN66" s="59">
        <f t="shared" si="20"/>
        <v>720.82269091397848</v>
      </c>
      <c r="EO66" s="59">
        <f ca="1">AVERAGE(OFFSET($EN$3,0,0,'Données projet'!$E$15+1,1))-AVERAGE(OFFSET($H$3,0,0,'Données projet'!$E$15+1,1))</f>
        <v>438.27475674276604</v>
      </c>
      <c r="EP66" s="59">
        <f t="shared" si="46"/>
        <v>235.97720136798864</v>
      </c>
      <c r="EQ66" s="15">
        <f>IF(ISNA(VLOOKUP(A66,'Données projet'!$A$191:$I$211,3,0)),0,VLOOKUP(A66,'Données projet'!$A$191:$I$211,3,0))</f>
        <v>5</v>
      </c>
      <c r="ER66" s="15">
        <f>IF(ISNA(VLOOKUP(A66,'Données projet'!$A$191:$I$211,4,0)),0,VLOOKUP(A66,'Données projet'!$A$191:$I$211,4,0))</f>
        <v>54.21</v>
      </c>
      <c r="ES66" s="16">
        <f>IF(ISNA(VLOOKUP(A66,'Données projet'!$A$191:$I$211,5,0)),0%,VLOOKUP(A66,'Données projet'!$A$191:$I$211,5,0)*VLOOKUP('Données projet'!$B$15,Paramètres!$A$1:$I$89,7,0))</f>
        <v>0.53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86.447943253976646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86.447943253976646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15.928750000000001</v>
      </c>
      <c r="FE66" s="12">
        <f>IF('Données projet'!$A$218&gt;35,FE65+FD66-FM65,IF(A66&lt;'Données projet'!$A$218,$FB$205^A66,IF(A66='Données projet'!$A$218,'Données projet'!$B$218,FE65+FD66-FM65)))</f>
        <v>392.41374999999948</v>
      </c>
      <c r="FF66" s="17">
        <f>FE66*VLOOKUP('Données projet'!$B$16,Paramètres!$A$1:$I$89,3,0)*VLOOKUP('Données projet'!$B$16,Paramètres!$A$1:$I$89,5,0)</f>
        <v>183.64963499999976</v>
      </c>
      <c r="FG66" s="13">
        <f t="shared" si="47"/>
        <v>46.133211694785324</v>
      </c>
      <c r="FH66" s="20">
        <f t="shared" si="22"/>
        <v>400.20512466008404</v>
      </c>
      <c r="FI66" s="59">
        <f t="shared" si="23"/>
        <v>665.49107148014946</v>
      </c>
      <c r="FJ66" s="59">
        <f ca="1">AVERAGE(OFFSET($FI$3,0,0,'Données projet'!$E$16+1,1))-AVERAGE(OFFSET($H$3,0,0,'Données projet'!$E$16+1,1))</f>
        <v>329.49463758169588</v>
      </c>
      <c r="FK66" s="59">
        <f t="shared" si="48"/>
        <v>207.1447698203379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78.871459477455204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78.871459477455204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16.8</v>
      </c>
      <c r="FZ66" s="12">
        <f>IF('Données projet'!$A$244&gt;35,FZ65+FY66-GH65,IF(A66&lt;'Données projet'!$A$244,$FW$205^A66,IF(A66='Données projet'!$A$244,'Données projet'!$B$244,FZ65+FY66-GH65)))</f>
        <v>661.40000000000032</v>
      </c>
      <c r="GA66" s="17">
        <f>FZ66*VLOOKUP('Données projet'!$B$17,Paramètres!$A$1:$I$89,3,0)*VLOOKUP('Données projet'!$B$17,Paramètres!$A$1:$I$89,5,0)</f>
        <v>395.51720000000017</v>
      </c>
      <c r="GB66" s="13">
        <f t="shared" si="49"/>
        <v>90.867251054957663</v>
      </c>
      <c r="GC66" s="20">
        <f t="shared" si="25"/>
        <v>847.11958558738479</v>
      </c>
      <c r="GD66" s="59">
        <f t="shared" si="26"/>
        <v>1112.4055324074502</v>
      </c>
      <c r="GE66" s="59">
        <f ca="1">AVERAGE(OFFSET($GD$3,0,0,'Données projet'!$E$17+1,1))-AVERAGE(OFFSET($H$3,0,0,'Données projet'!$E$17+1,1))</f>
        <v>577.07444926285291</v>
      </c>
      <c r="GF66" s="59">
        <f t="shared" si="50"/>
        <v>501.3762209070419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90.399798256363965</v>
      </c>
      <c r="GM66" s="21">
        <f>EXP(-LN(2)/25)*GM65+(1-EXP(-LN(2)/25))/(LN(2)/25)*Calculateur!GH66*Calculateur!GJ66*VLOOKUP('Données projet'!$B$17,Paramètres!$A$1:$I$89,3,0)*0.475*44/12</f>
        <v>26.203545744033942</v>
      </c>
      <c r="GN66" s="21">
        <f>EXP(-LN(2)/2)*GN65+(1-EXP(-LN(2)/2))/(LN(2)/2)*GH66*GK66*VLOOKUP('Données projet'!$B$17,Paramètres!$A$1:$I$89,3,0)*0.475*44/12</f>
        <v>8.4749300434216136E-7</v>
      </c>
      <c r="GO66" s="21">
        <f t="shared" si="27"/>
        <v>116.60334484789091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62.350712769108718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-5.6843418860808015E-14</v>
      </c>
      <c r="GV66" s="17">
        <f>GU66*VLOOKUP('Données projet'!$B$18,Paramètres!$A$1:$I$89,3,0)*VLOOKUP('Données projet'!$B$18,Paramètres!$A$1:$I$89,5,0)</f>
        <v>-3.0061073630349716E-14</v>
      </c>
      <c r="GW66" s="13" t="e">
        <f t="shared" si="51"/>
        <v>#NUM!</v>
      </c>
      <c r="GX66" s="20" t="e">
        <f t="shared" si="28"/>
        <v>#NUM!</v>
      </c>
      <c r="GY66" s="59" t="e">
        <f t="shared" si="29"/>
        <v>#NUM!</v>
      </c>
      <c r="GZ66" s="59">
        <f ca="1">AVERAGE(OFFSET($GY$3,0,0,'Données projet'!$E$18+1,1))-AVERAGE(OFFSET($H$3,0,0,'Données projet'!$E$18+1,1))</f>
        <v>212.75657290802619</v>
      </c>
      <c r="HA66" s="59">
        <f t="shared" si="52"/>
        <v>411.47446316045978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39.987602353608807</v>
      </c>
      <c r="HH66" s="21">
        <f>EXP(-LN(2)/25)*HH65+(1-EXP(-LN(2)/25))/(LN(2)/25)*Calculateur!HC66*Calculateur!HE66*VLOOKUP('Données projet'!$B$18,Paramètres!$A$1:$I$89,3,0)*0.475*44/12</f>
        <v>7.9756705559118624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47.963272909520668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4.60745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16.893983333333335</v>
      </c>
      <c r="H67" s="66">
        <f t="shared" si="1"/>
        <v>189.09073333333333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269.66875000000005</v>
      </c>
      <c r="O67" s="13">
        <f>N67*VLOOKUP('Données projet'!$B$9,Paramètres!$A$1:$I$89,3,0)*VLOOKUP('Données projet'!$B$9,Paramètres!$A$1:$I$89,5,0)</f>
        <v>243.99628500000003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794.01096272767813</v>
      </c>
      <c r="S67" s="59">
        <f ca="1">AVERAGE(OFFSET($R$3,0,0,'Données projet'!$E$9+1,1))-AVERAGE(OFFSET($H$3,0,0,'Données projet'!$E$9+1,1))</f>
        <v>564.49981446852132</v>
      </c>
      <c r="T67" s="59">
        <f t="shared" si="34"/>
        <v>297.54722913785406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11.28875</v>
      </c>
      <c r="AI67" s="13">
        <f>IF('Données projet'!$A$62&gt;35,AI66+AH67-AQ66,IF(A67&lt;'Données projet'!$A$62,$AF$205^A67,IF(A67='Données projet'!$A$62,'Données projet'!$B$62,AI66+AH67-AQ66)))</f>
        <v>269.66874999999999</v>
      </c>
      <c r="AJ67" s="13">
        <f>AI67*VLOOKUP('Données projet'!$B$10,Paramètres!$A$1:$I$89,3,0)*VLOOKUP('Données projet'!$B$10,Paramètres!$A$1:$I$89,5,0)</f>
        <v>273.44411250000002</v>
      </c>
      <c r="AK67" s="13">
        <f t="shared" si="35"/>
        <v>65.579656803641157</v>
      </c>
      <c r="AL67" s="20">
        <f t="shared" si="4"/>
        <v>590.46639820384166</v>
      </c>
      <c r="AM67" s="59">
        <f t="shared" si="5"/>
        <v>856.23890447534973</v>
      </c>
      <c r="AN67" s="59">
        <f ca="1">AVERAGE(OFFSET($AM$3,0,0,'Données projet'!$E$10+1,1))-AVERAGE(OFFSET($H$3,0,0,'Données projet'!$E$10+1,1))</f>
        <v>623.16549611107564</v>
      </c>
      <c r="AO67" s="59">
        <f t="shared" si="36"/>
        <v>326.15178903425885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103.94205411249681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103.94205411249681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203.28671999999989</v>
      </c>
      <c r="BF67" s="13">
        <f t="shared" si="37"/>
        <v>50.465802636798685</v>
      </c>
      <c r="BG67" s="20">
        <f t="shared" si="7"/>
        <v>441.95231025909084</v>
      </c>
      <c r="BH67" s="59">
        <f t="shared" si="8"/>
        <v>707.7248165305989</v>
      </c>
      <c r="BI67" s="59">
        <f ca="1">AVERAGE(OFFSET($BH$3,0,0,'Données projet'!$E$11+1,1))-AVERAGE(OFFSET($H$3,0,0,'Données projet'!$E$11+1,1))</f>
        <v>326.2912419133811</v>
      </c>
      <c r="BJ67" s="59">
        <f t="shared" si="38"/>
        <v>315.07976787459938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39.506501789718051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39.506501789718051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5.6</v>
      </c>
      <c r="BY67" s="12">
        <f>IF('Données projet'!$A$114&gt;35,BY66+BX67-CG66,IF(A67&lt;'Données projet'!$A$114,$BV$205^A67,IF(A67='Données projet'!$A$114,'Données projet'!$B$114,BY66+BX67-CG66)))</f>
        <v>226.4</v>
      </c>
      <c r="BZ67" s="13">
        <f>BY67*VLOOKUP('Données projet'!$B$12,Paramètres!$A$1:$I$89,3,0)*VLOOKUP('Données projet'!$B$12,Paramètres!$A$1:$I$89,5,0)</f>
        <v>144.80544</v>
      </c>
      <c r="CA67" s="13">
        <f t="shared" si="39"/>
        <v>37.395692735335132</v>
      </c>
      <c r="CB67" s="20">
        <f t="shared" si="10"/>
        <v>317.33363951404203</v>
      </c>
      <c r="CC67" s="59">
        <f t="shared" si="11"/>
        <v>583.1061457855501</v>
      </c>
      <c r="CD67" s="59">
        <f ca="1">AVERAGE(OFFSET($CC$3,0,0,'Données projet'!$E$12+1,1))-AVERAGE(OFFSET($H$3,0,0,'Données projet'!$E$12+1,1))</f>
        <v>297.03992602744393</v>
      </c>
      <c r="CE67" s="59">
        <f t="shared" si="40"/>
        <v>265.2588848922893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32.431499135246298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32.431499135246298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349.99999999999972</v>
      </c>
      <c r="CU67" s="17">
        <f>CT67*VLOOKUP('Données projet'!$B$13,Paramètres!$A$1:$I$89,3,0)*VLOOKUP('Données projet'!$B$13,Paramètres!$A$1:$I$89,5,0)</f>
        <v>278.45999999999981</v>
      </c>
      <c r="CV67" s="13">
        <f t="shared" si="41"/>
        <v>66.641458222154824</v>
      </c>
      <c r="CW67" s="20">
        <f t="shared" si="13"/>
        <v>601.05170640358597</v>
      </c>
      <c r="CX67" s="59">
        <f t="shared" si="14"/>
        <v>866.82421267509403</v>
      </c>
      <c r="CY67" s="59">
        <f ca="1">AVERAGE(OFFSET($CX$3,0,0,'Données projet'!$E$13+1,1))-AVERAGE(OFFSET($H$3,0,0,'Données projet'!$E$13+1,1))</f>
        <v>427.42918901489531</v>
      </c>
      <c r="CZ67" s="59">
        <f t="shared" si="42"/>
        <v>410.68601510655412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52.69538133198057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52.69538133198057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11.28875</v>
      </c>
      <c r="DO67" s="12">
        <f>IF('Données projet'!$A$166&gt;35,DO66+DN67-DW66,IF(A67&lt;'Données projet'!$A$166,$DL$205^A67,IF(A67='Données projet'!$A$166,'Données projet'!$B$166,DO66+DN67-DW66)))</f>
        <v>269.66874999999999</v>
      </c>
      <c r="DP67" s="17">
        <f>DO67*VLOOKUP('Données projet'!$B$14,Paramètres!$A$1:$I$89,3,0)*VLOOKUP('Données projet'!$B$14,Paramètres!$A$1:$I$89,5,0)</f>
        <v>260.82361500000002</v>
      </c>
      <c r="DQ67" s="13">
        <f t="shared" si="43"/>
        <v>62.897907062176472</v>
      </c>
      <c r="DR67" s="20">
        <f t="shared" si="16"/>
        <v>563.81498425829068</v>
      </c>
      <c r="DS67" s="59">
        <f t="shared" si="17"/>
        <v>829.58749052979874</v>
      </c>
      <c r="DT67" s="59">
        <f ca="1">AVERAGE(OFFSET($DS$3,0,0,'Données projet'!$E$14+1,1))-AVERAGE(OFFSET($H$3,0,0,'Données projet'!$E$14+1,1))</f>
        <v>598.03945725240396</v>
      </c>
      <c r="DU67" s="59">
        <f t="shared" si="44"/>
        <v>313.9014686755695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99.144728538073892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99.144728538073892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11.28875</v>
      </c>
      <c r="EJ67" s="12">
        <f>IF('Données projet'!$A$192&gt;35,EJ66+EI67-ER66,IF(A67&lt;'Données projet'!$A$192,$EG$205^A67,IF(A67='Données projet'!$A$192,'Données projet'!$B$192,EJ66+EI67-ER66)))</f>
        <v>269.66875000000005</v>
      </c>
      <c r="EK67" s="17">
        <f>EJ67*VLOOKUP('Données projet'!$B$15,Paramètres!$A$1:$I$89,3,0)*VLOOKUP('Données projet'!$B$15,Paramètres!$A$1:$I$89,5,0)</f>
        <v>180.89379750000003</v>
      </c>
      <c r="EL67" s="13">
        <f t="shared" si="45"/>
        <v>45.520982281419151</v>
      </c>
      <c r="EM67" s="20">
        <f t="shared" si="19"/>
        <v>394.33907478597172</v>
      </c>
      <c r="EN67" s="59">
        <f t="shared" si="20"/>
        <v>660.11158105747984</v>
      </c>
      <c r="EO67" s="59">
        <f ca="1">AVERAGE(OFFSET($EN$3,0,0,'Données projet'!$E$15+1,1))-AVERAGE(OFFSET($H$3,0,0,'Données projet'!$E$15+1,1))</f>
        <v>438.27475674276604</v>
      </c>
      <c r="EP67" s="59">
        <f t="shared" si="46"/>
        <v>235.97720136798864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84.752751814805094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84.752751814805094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15.928750000000001</v>
      </c>
      <c r="FE67" s="12">
        <f>IF('Données projet'!$A$218&gt;35,FE66+FD67-FM66,IF(A67&lt;'Données projet'!$A$218,$FB$205^A67,IF(A67='Données projet'!$A$218,'Données projet'!$B$218,FE66+FD67-FM66)))</f>
        <v>408.34249999999946</v>
      </c>
      <c r="FF67" s="17">
        <f>FE67*VLOOKUP('Données projet'!$B$16,Paramètres!$A$1:$I$89,3,0)*VLOOKUP('Données projet'!$B$16,Paramètres!$A$1:$I$89,5,0)</f>
        <v>191.10428999999974</v>
      </c>
      <c r="FG67" s="13">
        <f t="shared" si="47"/>
        <v>47.784013285238458</v>
      </c>
      <c r="FH67" s="20">
        <f t="shared" si="22"/>
        <v>416.06379488845647</v>
      </c>
      <c r="FI67" s="59">
        <f t="shared" si="23"/>
        <v>681.83630115996459</v>
      </c>
      <c r="FJ67" s="59">
        <f ca="1">AVERAGE(OFFSET($FI$3,0,0,'Données projet'!$E$16+1,1))-AVERAGE(OFFSET($H$3,0,0,'Données projet'!$E$16+1,1))</f>
        <v>329.49463758169588</v>
      </c>
      <c r="FK67" s="59">
        <f t="shared" si="48"/>
        <v>207.1447698203379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77.324838263942439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77.324838263942439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16.8</v>
      </c>
      <c r="FZ67" s="12">
        <f>IF('Données projet'!$A$244&gt;35,FZ66+FY67-GH66,IF(A67&lt;'Données projet'!$A$244,$FW$205^A67,IF(A67='Données projet'!$A$244,'Données projet'!$B$244,FZ66+FY67-GH66)))</f>
        <v>678.20000000000027</v>
      </c>
      <c r="GA67" s="17">
        <f>FZ67*VLOOKUP('Données projet'!$B$17,Paramètres!$A$1:$I$89,3,0)*VLOOKUP('Données projet'!$B$17,Paramètres!$A$1:$I$89,5,0)</f>
        <v>405.56360000000024</v>
      </c>
      <c r="GB67" s="13">
        <f t="shared" si="49"/>
        <v>92.90369136359071</v>
      </c>
      <c r="GC67" s="20">
        <f t="shared" si="25"/>
        <v>868.16386579158745</v>
      </c>
      <c r="GD67" s="59">
        <f t="shared" si="26"/>
        <v>1133.9363720630956</v>
      </c>
      <c r="GE67" s="59">
        <f ca="1">AVERAGE(OFFSET($GD$3,0,0,'Données projet'!$E$17+1,1))-AVERAGE(OFFSET($H$3,0,0,'Données projet'!$E$17+1,1))</f>
        <v>577.07444926285291</v>
      </c>
      <c r="GF67" s="59">
        <f t="shared" si="50"/>
        <v>501.3762209070419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88.627113350989134</v>
      </c>
      <c r="GM67" s="21">
        <f>EXP(-LN(2)/25)*GM66+(1-EXP(-LN(2)/25))/(LN(2)/25)*Calculateur!GH67*Calculateur!GJ67*VLOOKUP('Données projet'!$B$17,Paramètres!$A$1:$I$89,3,0)*0.475*44/12</f>
        <v>25.487008407678751</v>
      </c>
      <c r="GN67" s="21">
        <f>EXP(-LN(2)/2)*GN66+(1-EXP(-LN(2)/2))/(LN(2)/2)*GH67*GK67*VLOOKUP('Données projet'!$B$17,Paramètres!$A$1:$I$89,3,0)*0.475*44/12</f>
        <v>5.9926805037850246E-7</v>
      </c>
      <c r="GO67" s="21">
        <f t="shared" si="27"/>
        <v>114.11412235793594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62.483410801320389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-5.6843418860808015E-14</v>
      </c>
      <c r="GV67" s="17">
        <f>GU67*VLOOKUP('Données projet'!$B$18,Paramètres!$A$1:$I$89,3,0)*VLOOKUP('Données projet'!$B$18,Paramètres!$A$1:$I$89,5,0)</f>
        <v>-3.0061073630349716E-14</v>
      </c>
      <c r="GW67" s="13" t="e">
        <f t="shared" si="51"/>
        <v>#NUM!</v>
      </c>
      <c r="GX67" s="20" t="e">
        <f t="shared" si="28"/>
        <v>#NUM!</v>
      </c>
      <c r="GY67" s="59" t="e">
        <f t="shared" si="29"/>
        <v>#NUM!</v>
      </c>
      <c r="GZ67" s="59">
        <f ca="1">AVERAGE(OFFSET($GY$3,0,0,'Données projet'!$E$18+1,1))-AVERAGE(OFFSET($H$3,0,0,'Données projet'!$E$18+1,1))</f>
        <v>212.75657290802619</v>
      </c>
      <c r="HA67" s="59">
        <f t="shared" si="52"/>
        <v>411.47446316045978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39.203469861483661</v>
      </c>
      <c r="HH67" s="21">
        <f>EXP(-LN(2)/25)*HH66+(1-EXP(-LN(2)/25))/(LN(2)/25)*Calculateur!HC67*Calculateur!HE67*VLOOKUP('Données projet'!$B$18,Paramètres!$A$1:$I$89,3,0)*0.475*44/12</f>
        <v>7.7575754251381666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46.961045286621825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4.60745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16.893983333333335</v>
      </c>
      <c r="H68" s="66">
        <f t="shared" ref="H68:H131" si="56">(B68+E68+F68)*44/12+(C68+D68)*0.475*44/12</f>
        <v>189.09073333333333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280.95750000000004</v>
      </c>
      <c r="O68" s="13">
        <f>N68*VLOOKUP('Données projet'!$B$9,Paramètres!$A$1:$I$89,3,0)*VLOOKUP('Données projet'!$B$9,Paramètres!$A$1:$I$89,5,0)</f>
        <v>254.21034600000002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816.08955076390839</v>
      </c>
      <c r="S68" s="59">
        <f ca="1">AVERAGE(OFFSET($R$3,0,0,'Données projet'!$E$9+1,1))-AVERAGE(OFFSET($H$3,0,0,'Données projet'!$E$9+1,1))</f>
        <v>564.49981446852132</v>
      </c>
      <c r="T68" s="59">
        <f t="shared" si="34"/>
        <v>297.54722913785406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11.28875</v>
      </c>
      <c r="AI68" s="13">
        <f>IF('Données projet'!$A$62&gt;35,AI67+AH68-AQ67,IF(A68&lt;'Données projet'!$A$62,$AF$205^A68,IF(A68='Données projet'!$A$62,'Données projet'!$B$62,AI67+AH68-AQ67)))</f>
        <v>280.95749999999998</v>
      </c>
      <c r="AJ68" s="13">
        <f>AI68*VLOOKUP('Données projet'!$B$10,Paramètres!$A$1:$I$89,3,0)*VLOOKUP('Données projet'!$B$10,Paramètres!$A$1:$I$89,5,0)</f>
        <v>284.89090500000003</v>
      </c>
      <c r="AK68" s="13">
        <f t="shared" si="35"/>
        <v>67.99955371595675</v>
      </c>
      <c r="AL68" s="20">
        <f t="shared" ref="AL68:AL131" si="58">(AJ68+AK68)*0.475*44/12</f>
        <v>614.61754893029149</v>
      </c>
      <c r="AM68" s="59">
        <f t="shared" ref="AM68:AM131" si="59">AL68+(AD68+AE68)*44/12</f>
        <v>880.86817393454385</v>
      </c>
      <c r="AN68" s="59">
        <f ca="1">AVERAGE(OFFSET($AM$3,0,0,'Données projet'!$E$10+1,1))-AVERAGE(OFFSET($H$3,0,0,'Données projet'!$E$10+1,1))</f>
        <v>623.16549611107564</v>
      </c>
      <c r="AO68" s="59">
        <f t="shared" si="36"/>
        <v>326.15178903425885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101.90381382974368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101.90381382974368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206.85599999999991</v>
      </c>
      <c r="BF68" s="13">
        <f t="shared" si="37"/>
        <v>51.247940588293027</v>
      </c>
      <c r="BG68" s="20">
        <f t="shared" ref="BG68:BG131" si="61">(BE68+BF68)*0.475*44/12</f>
        <v>449.53102985794345</v>
      </c>
      <c r="BH68" s="59">
        <f t="shared" ref="BH68:BH131" si="62">BG68+(AY68+AZ68)*44/12</f>
        <v>715.78165486219575</v>
      </c>
      <c r="BI68" s="59">
        <f ca="1">AVERAGE(OFFSET($BH$3,0,0,'Données projet'!$E$11+1,1))-AVERAGE(OFFSET($H$3,0,0,'Données projet'!$E$11+1,1))</f>
        <v>326.2912419133811</v>
      </c>
      <c r="BJ68" s="59">
        <f t="shared" si="38"/>
        <v>315.07976787459938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43.959900030252101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43.959900030252101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232</v>
      </c>
      <c r="BW68" s="12">
        <f>VLOOKUP(A68,'Données projet'!$A$113:$I$133,9,0)</f>
        <v>5.6</v>
      </c>
      <c r="BX68" s="12">
        <f t="array" ref="BX68">INDEX(BW:BW,MIN(IF(ISNUMBER(BW68:BW264),ROW(BW68:BW264),"")))</f>
        <v>5.6</v>
      </c>
      <c r="BY68" s="12">
        <f>IF('Données projet'!$A$114&gt;35,BY67+BX68-CG67,IF(A68&lt;'Données projet'!$A$114,$BV$205^A68,IF(A68='Données projet'!$A$114,'Données projet'!$B$114,BY67+BX68-CG67)))</f>
        <v>232</v>
      </c>
      <c r="BZ68" s="13">
        <f>BY68*VLOOKUP('Données projet'!$B$12,Paramètres!$A$1:$I$89,3,0)*VLOOKUP('Données projet'!$B$12,Paramètres!$A$1:$I$89,5,0)</f>
        <v>148.38719999999998</v>
      </c>
      <c r="CA68" s="13">
        <f t="shared" si="39"/>
        <v>38.211840758090553</v>
      </c>
      <c r="CB68" s="20">
        <f t="shared" ref="CB68:CB131" si="64">(BZ68+CA68)*0.475*44/12</f>
        <v>324.99332932034093</v>
      </c>
      <c r="CC68" s="59">
        <f t="shared" ref="CC68:CC131" si="65">CB68+(BT68+BU68)*44/12</f>
        <v>591.24395432459323</v>
      </c>
      <c r="CD68" s="59">
        <f ca="1">AVERAGE(OFFSET($CC$3,0,0,'Données projet'!$E$12+1,1))-AVERAGE(OFFSET($H$3,0,0,'Données projet'!$E$12+1,1))</f>
        <v>297.03992602744393</v>
      </c>
      <c r="CE68" s="59">
        <f t="shared" si="40"/>
        <v>265.2588848922893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20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37.876243369309115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37.876243369309115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355.99999999999972</v>
      </c>
      <c r="CU68" s="17">
        <f>CT68*VLOOKUP('Données projet'!$B$13,Paramètres!$A$1:$I$89,3,0)*VLOOKUP('Données projet'!$B$13,Paramètres!$A$1:$I$89,5,0)</f>
        <v>283.2335999999998</v>
      </c>
      <c r="CV68" s="13">
        <f t="shared" si="41"/>
        <v>67.649904178362377</v>
      </c>
      <c r="CW68" s="20">
        <f t="shared" ref="CW68:CW131" si="67">(CU68+CV68)*0.475*44/12</f>
        <v>611.12210311064734</v>
      </c>
      <c r="CX68" s="59">
        <f t="shared" ref="CX68:CX131" si="68">CW68+(CO68+CP68)*44/12</f>
        <v>877.3727281148997</v>
      </c>
      <c r="CY68" s="59">
        <f ca="1">AVERAGE(OFFSET($CX$3,0,0,'Données projet'!$E$13+1,1))-AVERAGE(OFFSET($H$3,0,0,'Données projet'!$E$13+1,1))</f>
        <v>427.42918901489531</v>
      </c>
      <c r="CZ68" s="59">
        <f t="shared" si="42"/>
        <v>410.68601510655412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0.53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59.120320789019786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59.120320789019786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11.28875</v>
      </c>
      <c r="DO68" s="12">
        <f>IF('Données projet'!$A$166&gt;35,DO67+DN68-DW67,IF(A68&lt;'Données projet'!$A$166,$DL$205^A68,IF(A68='Données projet'!$A$166,'Données projet'!$B$166,DO67+DN68-DW67)))</f>
        <v>280.95749999999998</v>
      </c>
      <c r="DP68" s="17">
        <f>DO68*VLOOKUP('Données projet'!$B$14,Paramètres!$A$1:$I$89,3,0)*VLOOKUP('Données projet'!$B$14,Paramètres!$A$1:$I$89,5,0)</f>
        <v>271.74209400000001</v>
      </c>
      <c r="DQ68" s="13">
        <f t="shared" si="43"/>
        <v>65.218847099215822</v>
      </c>
      <c r="DR68" s="20">
        <f t="shared" ref="DR68:DR131" si="70">(DP68+DQ68)*0.475*44/12</f>
        <v>586.87363908113412</v>
      </c>
      <c r="DS68" s="59">
        <f t="shared" ref="DS68:DS131" si="71">DR68+(DJ68+DK68)*44/12</f>
        <v>853.12426408538636</v>
      </c>
      <c r="DT68" s="59">
        <f ca="1">AVERAGE(OFFSET($DS$3,0,0,'Données projet'!$E$14+1,1))-AVERAGE(OFFSET($H$3,0,0,'Données projet'!$E$14+1,1))</f>
        <v>598.03945725240396</v>
      </c>
      <c r="DU68" s="59">
        <f t="shared" si="44"/>
        <v>313.9014686755695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97.200560883755529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97.200560883755529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11.28875</v>
      </c>
      <c r="EJ68" s="12">
        <f>IF('Données projet'!$A$192&gt;35,EJ67+EI68-ER67,IF(A68&lt;'Données projet'!$A$192,$EG$205^A68,IF(A68='Données projet'!$A$192,'Données projet'!$B$192,EJ67+EI68-ER67)))</f>
        <v>280.95750000000004</v>
      </c>
      <c r="EK68" s="17">
        <f>EJ68*VLOOKUP('Données projet'!$B$15,Paramètres!$A$1:$I$89,3,0)*VLOOKUP('Données projet'!$B$15,Paramètres!$A$1:$I$89,5,0)</f>
        <v>188.46629100000001</v>
      </c>
      <c r="EL68" s="13">
        <f t="shared" si="45"/>
        <v>47.200711786533915</v>
      </c>
      <c r="EM68" s="20">
        <f t="shared" ref="EM68:EM131" si="73">(EK68+EL68)*0.475*44/12</f>
        <v>410.4533631865466</v>
      </c>
      <c r="EN68" s="59">
        <f t="shared" ref="EN68:EN131" si="74">EM68+(EE68+EF68)*44/12</f>
        <v>676.7039881907989</v>
      </c>
      <c r="EO68" s="59">
        <f ca="1">AVERAGE(OFFSET($EN$3,0,0,'Données projet'!$E$15+1,1))-AVERAGE(OFFSET($H$3,0,0,'Données projet'!$E$15+1,1))</f>
        <v>438.27475674276604</v>
      </c>
      <c r="EP68" s="59">
        <f t="shared" si="46"/>
        <v>235.97720136798864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83.090802045791008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83.090802045791008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15.928750000000001</v>
      </c>
      <c r="FE68" s="12">
        <f>IF('Données projet'!$A$218&gt;35,FE67+FD68-FM67,IF(A68&lt;'Données projet'!$A$218,$FB$205^A68,IF(A68='Données projet'!$A$218,'Données projet'!$B$218,FE67+FD68-FM67)))</f>
        <v>424.27124999999944</v>
      </c>
      <c r="FF68" s="17">
        <f>FE68*VLOOKUP('Données projet'!$B$16,Paramètres!$A$1:$I$89,3,0)*VLOOKUP('Données projet'!$B$16,Paramètres!$A$1:$I$89,5,0)</f>
        <v>198.55894499999974</v>
      </c>
      <c r="FG68" s="13">
        <f t="shared" si="47"/>
        <v>49.427334288005518</v>
      </c>
      <c r="FH68" s="20">
        <f t="shared" ref="FH68:FH131" si="76">(FF68+FG68)*0.475*44/12</f>
        <v>431.90943642660909</v>
      </c>
      <c r="FI68" s="59">
        <f t="shared" ref="FI68:FI131" si="77">FH68+(EZ68+FA68)*44/12</f>
        <v>698.16006143086133</v>
      </c>
      <c r="FJ68" s="59">
        <f ca="1">AVERAGE(OFFSET($FI$3,0,0,'Données projet'!$E$16+1,1))-AVERAGE(OFFSET($H$3,0,0,'Données projet'!$E$16+1,1))</f>
        <v>329.49463758169588</v>
      </c>
      <c r="FK68" s="59">
        <f t="shared" si="48"/>
        <v>207.1447698203379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75.808545349080859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75.808545349080859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695</v>
      </c>
      <c r="FX68" s="12">
        <f>VLOOKUP(A68,'Données projet'!$A$243:$I$263,9,0)</f>
        <v>16.8</v>
      </c>
      <c r="FY68" s="12">
        <f t="array" ref="FY68">INDEX(FX:FX,MIN(IF(ISNUMBER(FX68:FX264),ROW(FX68:FX264),"")))</f>
        <v>16.8</v>
      </c>
      <c r="FZ68" s="12">
        <f>IF('Données projet'!$A$244&gt;35,FZ67+FY68-GH67,IF(A68&lt;'Données projet'!$A$244,$FW$205^A68,IF(A68='Données projet'!$A$244,'Données projet'!$B$244,FZ67+FY68-GH67)))</f>
        <v>695.00000000000023</v>
      </c>
      <c r="GA68" s="17">
        <f>FZ68*VLOOKUP('Données projet'!$B$17,Paramètres!$A$1:$I$89,3,0)*VLOOKUP('Données projet'!$B$17,Paramètres!$A$1:$I$89,5,0)</f>
        <v>415.61000000000013</v>
      </c>
      <c r="GB68" s="13">
        <f t="shared" si="49"/>
        <v>94.934267629409874</v>
      </c>
      <c r="GC68" s="20">
        <f t="shared" ref="GC68:GC131" si="79">(GA68+GB68)*0.475*44/12</f>
        <v>889.19793278788904</v>
      </c>
      <c r="GD68" s="59">
        <f t="shared" ref="GD68:GD131" si="80">GC68+(FU68+FV68)*44/12</f>
        <v>1155.4485577921414</v>
      </c>
      <c r="GE68" s="59">
        <f ca="1">AVERAGE(OFFSET($GD$3,0,0,'Données projet'!$E$17+1,1))-AVERAGE(OFFSET($H$3,0,0,'Données projet'!$E$17+1,1))</f>
        <v>577.07444926285291</v>
      </c>
      <c r="GF68" s="59">
        <f t="shared" si="50"/>
        <v>501.3762209070419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37</v>
      </c>
      <c r="GI68" s="16">
        <f>IF(ISNA(VLOOKUP(A68,'Données projet'!$A$243:$I$263,5,0)),0%,VLOOKUP(A68,'Données projet'!$A$243:$I$263,5,0)*VLOOKUP('Données projet'!$B$17,Paramètres!$A$1:$I$89,7,0))</f>
        <v>0.45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100.09739402885255</v>
      </c>
      <c r="GM68" s="21">
        <f>EXP(-LN(2)/25)*GM67+(1-EXP(-LN(2)/25))/(LN(2)/25)*Calculateur!GH68*Calculateur!GJ68*VLOOKUP('Données projet'!$B$17,Paramètres!$A$1:$I$89,3,0)*0.475*44/12</f>
        <v>24.790064822467254</v>
      </c>
      <c r="GN68" s="21">
        <f>EXP(-LN(2)/2)*GN67+(1-EXP(-LN(2)/2))/(LN(2)/2)*GH68*GK68*VLOOKUP('Données projet'!$B$17,Paramètres!$A$1:$I$89,3,0)*0.475*44/12</f>
        <v>4.2374650217108068E-7</v>
      </c>
      <c r="GO68" s="21">
        <f t="shared" ref="GO68:GO131" si="81">SUM(GL68:GN68)</f>
        <v>124.88745927506631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62.613806819341534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-5.6843418860808015E-14</v>
      </c>
      <c r="GV68" s="17">
        <f>GU68*VLOOKUP('Données projet'!$B$18,Paramètres!$A$1:$I$89,3,0)*VLOOKUP('Données projet'!$B$18,Paramètres!$A$1:$I$89,5,0)</f>
        <v>-3.0061073630349716E-14</v>
      </c>
      <c r="GW68" s="13" t="e">
        <f t="shared" si="51"/>
        <v>#NUM!</v>
      </c>
      <c r="GX68" s="20" t="e">
        <f t="shared" ref="GX68:GX131" si="82">(GV68+GW68)*0.475*44/12</f>
        <v>#NUM!</v>
      </c>
      <c r="GY68" s="59" t="e">
        <f t="shared" ref="GY68:GY131" si="83">GX68+(GP68+GQ68)*44/12</f>
        <v>#NUM!</v>
      </c>
      <c r="GZ68" s="59">
        <f ca="1">AVERAGE(OFFSET($GY$3,0,0,'Données projet'!$E$18+1,1))-AVERAGE(OFFSET($H$3,0,0,'Données projet'!$E$18+1,1))</f>
        <v>212.75657290802619</v>
      </c>
      <c r="HA68" s="59">
        <f t="shared" si="52"/>
        <v>411.47446316045978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38.434713729255492</v>
      </c>
      <c r="HH68" s="21">
        <f>EXP(-LN(2)/25)*HH67+(1-EXP(-LN(2)/25))/(LN(2)/25)*Calculateur!HC68*Calculateur!HE68*VLOOKUP('Données projet'!$B$18,Paramètres!$A$1:$I$89,3,0)*0.475*44/12</f>
        <v>7.5454441171846023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45.980157846440093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4.60745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16.893983333333335</v>
      </c>
      <c r="H69" s="66">
        <f t="shared" si="56"/>
        <v>189.09073333333333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292.24625000000003</v>
      </c>
      <c r="O69" s="13">
        <f>N69*VLOOKUP('Données projet'!$B$9,Paramètres!$A$1:$I$89,3,0)*VLOOKUP('Données projet'!$B$9,Paramètres!$A$1:$I$89,5,0)</f>
        <v>264.42440700000003</v>
      </c>
      <c r="P69" s="13">
        <f t="shared" ref="P69:P132" si="87">EXP(-1.0587+0.8836*LN(O69)+0.284)</f>
        <v>63.664554558165378</v>
      </c>
      <c r="Q69" s="20">
        <f t="shared" si="54"/>
        <v>571.42160804713808</v>
      </c>
      <c r="R69" s="59">
        <f t="shared" si="55"/>
        <v>838.14205749303483</v>
      </c>
      <c r="S69" s="59">
        <f ca="1">AVERAGE(OFFSET($R$3,0,0,'Données projet'!$E$9+1,1))-AVERAGE(OFFSET($H$3,0,0,'Données projet'!$E$9+1,1))</f>
        <v>564.49981446852132</v>
      </c>
      <c r="T69" s="59">
        <f t="shared" ref="T69:T132" si="88">$T$3</f>
        <v>297.54722913785406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11.28875</v>
      </c>
      <c r="AI69" s="13">
        <f>IF('Données projet'!$A$62&gt;35,AI68+AH69-AQ68,IF(A69&lt;'Données projet'!$A$62,$AF$205^A69,IF(A69='Données projet'!$A$62,'Données projet'!$B$62,AI68+AH69-AQ68)))</f>
        <v>292.24624999999997</v>
      </c>
      <c r="AJ69" s="13">
        <f>AI69*VLOOKUP('Données projet'!$B$10,Paramètres!$A$1:$I$89,3,0)*VLOOKUP('Données projet'!$B$10,Paramètres!$A$1:$I$89,5,0)</f>
        <v>296.33769749999999</v>
      </c>
      <c r="AK69" s="13">
        <f t="shared" ref="AK69:AK132" si="89">EXP(-1.0587+0.8836*LN(AJ69)+0.284)</f>
        <v>70.408156224162596</v>
      </c>
      <c r="AL69" s="20">
        <f t="shared" si="58"/>
        <v>638.74902856958317</v>
      </c>
      <c r="AM69" s="59">
        <f t="shared" si="59"/>
        <v>905.46947801547981</v>
      </c>
      <c r="AN69" s="59">
        <f ca="1">AVERAGE(OFFSET($AM$3,0,0,'Données projet'!$E$10+1,1))-AVERAGE(OFFSET($H$3,0,0,'Données projet'!$E$10+1,1))</f>
        <v>623.16549611107564</v>
      </c>
      <c r="AO69" s="59">
        <f t="shared" ref="AO69:AO132" si="90">$AO$3</f>
        <v>326.15178903425885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99.905542195731527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99.905542195731527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201.01535999999987</v>
      </c>
      <c r="BF69" s="13">
        <f t="shared" ref="BF69:BF132" si="91">EXP(-1.0587+0.8836*LN(BE69)+0.284)</f>
        <v>49.96724731300592</v>
      </c>
      <c r="BG69" s="20">
        <f t="shared" si="61"/>
        <v>437.12804107015171</v>
      </c>
      <c r="BH69" s="59">
        <f t="shared" si="62"/>
        <v>703.8484905160484</v>
      </c>
      <c r="BI69" s="59">
        <f ca="1">AVERAGE(OFFSET($BH$3,0,0,'Données projet'!$E$11+1,1))-AVERAGE(OFFSET($H$3,0,0,'Données projet'!$E$11+1,1))</f>
        <v>326.2912419133811</v>
      </c>
      <c r="BJ69" s="59">
        <f t="shared" ref="BJ69:BJ132" si="92">$BJ$3</f>
        <v>315.07976787459938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43.097873203550321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43.097873203550321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</v>
      </c>
      <c r="BY69" s="12">
        <f>IF('Données projet'!$A$114&gt;35,BY68+BX69-CG68,IF(A69&lt;'Données projet'!$A$114,$BV$205^A69,IF(A69='Données projet'!$A$114,'Données projet'!$B$114,BY68+BX69-CG68)))</f>
        <v>217</v>
      </c>
      <c r="BZ69" s="13">
        <f>BY69*VLOOKUP('Données projet'!$B$12,Paramètres!$A$1:$I$89,3,0)*VLOOKUP('Données projet'!$B$12,Paramètres!$A$1:$I$89,5,0)</f>
        <v>138.79320000000001</v>
      </c>
      <c r="CA69" s="13">
        <f t="shared" ref="CA69:CA132" si="93">EXP(-1.0587+0.8836*LN(BZ69)+0.284)</f>
        <v>36.020405418475804</v>
      </c>
      <c r="CB69" s="20">
        <f t="shared" si="64"/>
        <v>304.46702943717872</v>
      </c>
      <c r="CC69" s="59">
        <f t="shared" si="65"/>
        <v>571.18747888307541</v>
      </c>
      <c r="CD69" s="59">
        <f ca="1">AVERAGE(OFFSET($CC$3,0,0,'Données projet'!$E$12+1,1))-AVERAGE(OFFSET($H$3,0,0,'Données projet'!$E$12+1,1))</f>
        <v>297.03992602744393</v>
      </c>
      <c r="CE69" s="59">
        <f t="shared" ref="CE69:CE132" si="94">$CE$3</f>
        <v>265.2588848922893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37.133513339064265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37.133513339064265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345.1999999999997</v>
      </c>
      <c r="CU69" s="17">
        <f>CT69*VLOOKUP('Données projet'!$B$13,Paramètres!$A$1:$I$89,3,0)*VLOOKUP('Données projet'!$B$13,Paramètres!$A$1:$I$89,5,0)</f>
        <v>274.64111999999977</v>
      </c>
      <c r="CV69" s="13">
        <f t="shared" ref="CV69:CV132" si="95">EXP(-1.0587+0.8836*LN(CU69)+0.284)</f>
        <v>65.833252956609641</v>
      </c>
      <c r="CW69" s="20">
        <f t="shared" si="67"/>
        <v>592.99286623276123</v>
      </c>
      <c r="CX69" s="59">
        <f t="shared" si="68"/>
        <v>859.71331567865786</v>
      </c>
      <c r="CY69" s="59">
        <f ca="1">AVERAGE(OFFSET($CX$3,0,0,'Données projet'!$E$13+1,1))-AVERAGE(OFFSET($H$3,0,0,'Données projet'!$E$13+1,1))</f>
        <v>427.42918901489531</v>
      </c>
      <c r="CZ69" s="59">
        <f t="shared" ref="CZ69:CZ132" si="96">$CZ$3</f>
        <v>410.68601510655412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57.961007358182179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57.961007358182179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11.28875</v>
      </c>
      <c r="DO69" s="12">
        <f>IF('Données projet'!$A$166&gt;35,DO68+DN69-DW68,IF(A69&lt;'Données projet'!$A$166,$DL$205^A69,IF(A69='Données projet'!$A$166,'Données projet'!$B$166,DO68+DN69-DW68)))</f>
        <v>292.24624999999997</v>
      </c>
      <c r="DP69" s="17">
        <f>DO69*VLOOKUP('Données projet'!$B$14,Paramètres!$A$1:$I$89,3,0)*VLOOKUP('Données projet'!$B$14,Paramètres!$A$1:$I$89,5,0)</f>
        <v>282.660573</v>
      </c>
      <c r="DQ69" s="13">
        <f t="shared" ref="DQ69:DQ132" si="97">EXP(-1.0587+0.8836*LN(DP69)+0.284)</f>
        <v>67.528954594356733</v>
      </c>
      <c r="DR69" s="20">
        <f t="shared" si="70"/>
        <v>609.91342722683794</v>
      </c>
      <c r="DS69" s="59">
        <f t="shared" si="71"/>
        <v>876.63387667273469</v>
      </c>
      <c r="DT69" s="59">
        <f ca="1">AVERAGE(OFFSET($DS$3,0,0,'Données projet'!$E$14+1,1))-AVERAGE(OFFSET($H$3,0,0,'Données projet'!$E$14+1,1))</f>
        <v>598.03945725240396</v>
      </c>
      <c r="DU69" s="59">
        <f t="shared" ref="DU69:DU132" si="98">$DU$3</f>
        <v>313.9014686755695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95.294517171313174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95.294517171313174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11.28875</v>
      </c>
      <c r="EJ69" s="12">
        <f>IF('Données projet'!$A$192&gt;35,EJ68+EI69-ER68,IF(A69&lt;'Données projet'!$A$192,$EG$205^A69,IF(A69='Données projet'!$A$192,'Données projet'!$B$192,EJ68+EI69-ER68)))</f>
        <v>292.24625000000003</v>
      </c>
      <c r="EK69" s="17">
        <f>EJ69*VLOOKUP('Données projet'!$B$15,Paramètres!$A$1:$I$89,3,0)*VLOOKUP('Données projet'!$B$15,Paramètres!$A$1:$I$89,5,0)</f>
        <v>196.03878450000002</v>
      </c>
      <c r="EL69" s="13">
        <f t="shared" ref="EL69:EL132" si="99">EXP(-1.0587+0.8836*LN(EK69)+0.284)</f>
        <v>48.872601476766818</v>
      </c>
      <c r="EM69" s="20">
        <f t="shared" si="73"/>
        <v>426.55399724286889</v>
      </c>
      <c r="EN69" s="59">
        <f t="shared" si="74"/>
        <v>693.27444668876558</v>
      </c>
      <c r="EO69" s="59">
        <f ca="1">AVERAGE(OFFSET($EN$3,0,0,'Données projet'!$E$15+1,1))-AVERAGE(OFFSET($H$3,0,0,'Données projet'!$E$15+1,1))</f>
        <v>438.27475674276604</v>
      </c>
      <c r="EP69" s="59">
        <f t="shared" ref="EP69:EP132" si="100">$EP$3</f>
        <v>235.97720136798864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81.461442098058029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81.461442098058029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440.2</v>
      </c>
      <c r="FC69" s="12">
        <f>VLOOKUP(A69,'Données projet'!$A$217:$I$237,9,0)</f>
        <v>15.928750000000001</v>
      </c>
      <c r="FD69" s="12">
        <f t="array" ref="FD69">INDEX(FC:FC,MIN(IF(ISNUMBER(FC69:FC265),ROW(FC69:FC265),"")))</f>
        <v>15.928750000000001</v>
      </c>
      <c r="FE69" s="12">
        <f>IF('Données projet'!$A$218&gt;35,FE68+FD69-FM68,IF(A69&lt;'Données projet'!$A$218,$FB$205^A69,IF(A69='Données projet'!$A$218,'Données projet'!$B$218,FE68+FD69-FM68)))</f>
        <v>440.19999999999942</v>
      </c>
      <c r="FF69" s="17">
        <f>FE69*VLOOKUP('Données projet'!$B$16,Paramètres!$A$1:$I$89,3,0)*VLOOKUP('Données projet'!$B$16,Paramètres!$A$1:$I$89,5,0)</f>
        <v>206.01359999999971</v>
      </c>
      <c r="FG69" s="13">
        <f t="shared" ref="FG69:FG132" si="101">EXP(-1.0587+0.8836*LN(FF69)+0.284)</f>
        <v>51.063487709141434</v>
      </c>
      <c r="FH69" s="20">
        <f t="shared" si="76"/>
        <v>447.74259442675412</v>
      </c>
      <c r="FI69" s="59">
        <f t="shared" si="77"/>
        <v>714.46304387265081</v>
      </c>
      <c r="FJ69" s="59">
        <f ca="1">AVERAGE(OFFSET($FI$3,0,0,'Données projet'!$E$16+1,1))-AVERAGE(OFFSET($H$3,0,0,'Données projet'!$E$16+1,1))</f>
        <v>329.49463758169588</v>
      </c>
      <c r="FK69" s="59">
        <f t="shared" ref="FK69:FK132" si="102">$FK$3</f>
        <v>207.1447698203379</v>
      </c>
      <c r="FL69" s="15">
        <f>IF(ISNA(VLOOKUP(A69,'Données projet'!$A$217:$I$237,3,0)),0,VLOOKUP(A69,'Données projet'!$A$217:$I$237,3,0))</f>
        <v>4</v>
      </c>
      <c r="FM69" s="15">
        <f>IF(ISNA(VLOOKUP(A69,'Données projet'!$A$217:$I$237,4,0)),0,VLOOKUP(A69,'Données projet'!$A$217:$I$237,4,0))</f>
        <v>87.73</v>
      </c>
      <c r="FN69" s="16">
        <f>IF(ISNA(VLOOKUP(A69,'Données projet'!$A$217:$I$237,5,0)),0%,VLOOKUP(A69,'Données projet'!$A$217:$I$237,5,0)*VLOOKUP('Données projet'!$B$16,Paramètres!$A$1:$I$89,7,0))</f>
        <v>0.55000000000000004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104.27806922996035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104.27806922996035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15</v>
      </c>
      <c r="FZ69" s="12">
        <f>IF('Données projet'!$A$244&gt;35,FZ68+FY69-GH68,IF(A69&lt;'Données projet'!$A$244,$FW$205^A69,IF(A69='Données projet'!$A$244,'Données projet'!$B$244,FZ68+FY69-GH68)))</f>
        <v>673.00000000000023</v>
      </c>
      <c r="GA69" s="17">
        <f>FZ69*VLOOKUP('Données projet'!$B$17,Paramètres!$A$1:$I$89,3,0)*VLOOKUP('Données projet'!$B$17,Paramètres!$A$1:$I$89,5,0)</f>
        <v>402.45400000000012</v>
      </c>
      <c r="GB69" s="13">
        <f t="shared" ref="GB69:GB132" si="103">EXP(-1.0587+0.8836*LN(GA69)+0.284)</f>
        <v>92.273998825389043</v>
      </c>
      <c r="GC69" s="20">
        <f t="shared" si="79"/>
        <v>861.65126462088608</v>
      </c>
      <c r="GD69" s="59">
        <f t="shared" si="80"/>
        <v>1128.3717140667827</v>
      </c>
      <c r="GE69" s="59">
        <f ca="1">AVERAGE(OFFSET($GD$3,0,0,'Données projet'!$E$17+1,1))-AVERAGE(OFFSET($H$3,0,0,'Données projet'!$E$17+1,1))</f>
        <v>577.07444926285291</v>
      </c>
      <c r="GF69" s="59">
        <f t="shared" ref="GF69:GF132" si="104">$GF$3</f>
        <v>501.3762209070419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98.134545185328591</v>
      </c>
      <c r="GM69" s="21">
        <f>EXP(-LN(2)/25)*GM68+(1-EXP(-LN(2)/25))/(LN(2)/25)*Calculateur!GH69*Calculateur!GJ69*VLOOKUP('Données projet'!$B$17,Paramètres!$A$1:$I$89,3,0)*0.475*44/12</f>
        <v>24.112179196244035</v>
      </c>
      <c r="GN69" s="21">
        <f>EXP(-LN(2)/2)*GN68+(1-EXP(-LN(2)/2))/(LN(2)/2)*GH69*GK69*VLOOKUP('Données projet'!$B$17,Paramètres!$A$1:$I$89,3,0)*0.475*44/12</f>
        <v>2.9963402518925123E-7</v>
      </c>
      <c r="GO69" s="21">
        <f t="shared" si="81"/>
        <v>122.24672468120664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62.74194075797184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-5.6843418860808015E-14</v>
      </c>
      <c r="GV69" s="17">
        <f>GU69*VLOOKUP('Données projet'!$B$18,Paramètres!$A$1:$I$89,3,0)*VLOOKUP('Données projet'!$B$18,Paramètres!$A$1:$I$89,5,0)</f>
        <v>-3.0061073630349716E-14</v>
      </c>
      <c r="GW69" s="13" t="e">
        <f t="shared" ref="GW69:GW132" si="105">EXP(-1.0587+0.8836*LN(GV69)+0.284)</f>
        <v>#NUM!</v>
      </c>
      <c r="GX69" s="20" t="e">
        <f t="shared" si="82"/>
        <v>#NUM!</v>
      </c>
      <c r="GY69" s="59" t="e">
        <f t="shared" si="83"/>
        <v>#NUM!</v>
      </c>
      <c r="GZ69" s="59">
        <f ca="1">AVERAGE(OFFSET($GY$3,0,0,'Données projet'!$E$18+1,1))-AVERAGE(OFFSET($H$3,0,0,'Données projet'!$E$18+1,1))</f>
        <v>212.75657290802619</v>
      </c>
      <c r="HA69" s="59">
        <f t="shared" ref="HA69:HA132" si="106">$HA$3</f>
        <v>411.47446316045978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37.681032435885378</v>
      </c>
      <c r="HH69" s="21">
        <f>EXP(-LN(2)/25)*HH68+(1-EXP(-LN(2)/25))/(LN(2)/25)*Calculateur!HC69*Calculateur!HE69*VLOOKUP('Données projet'!$B$18,Paramètres!$A$1:$I$89,3,0)*0.475*44/12</f>
        <v>7.3391135510025283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45.020145986887904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4.60745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16.893983333333335</v>
      </c>
      <c r="H70" s="66">
        <f t="shared" si="56"/>
        <v>189.09073333333333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303.53500000000003</v>
      </c>
      <c r="O70" s="13">
        <f>N70*VLOOKUP('Données projet'!$B$9,Paramètres!$A$1:$I$89,3,0)*VLOOKUP('Données projet'!$B$9,Paramètres!$A$1:$I$89,5,0)</f>
        <v>274.63846799999999</v>
      </c>
      <c r="P70" s="13">
        <f t="shared" si="87"/>
        <v>65.832691250400728</v>
      </c>
      <c r="Q70" s="20">
        <f t="shared" si="54"/>
        <v>592.98726902778128</v>
      </c>
      <c r="R70" s="59">
        <f t="shared" si="55"/>
        <v>860.16939251163012</v>
      </c>
      <c r="S70" s="59">
        <f ca="1">AVERAGE(OFFSET($R$3,0,0,'Données projet'!$E$9+1,1))-AVERAGE(OFFSET($H$3,0,0,'Données projet'!$E$9+1,1))</f>
        <v>564.49981446852132</v>
      </c>
      <c r="T70" s="59">
        <f t="shared" si="88"/>
        <v>297.54722913785406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11.28875</v>
      </c>
      <c r="AI70" s="13">
        <f>IF('Données projet'!$A$62&gt;35,AI69+AH70-AQ69,IF(A70&lt;'Données projet'!$A$62,$AF$205^A70,IF(A70='Données projet'!$A$62,'Données projet'!$B$62,AI69+AH70-AQ69)))</f>
        <v>303.53499999999997</v>
      </c>
      <c r="AJ70" s="13">
        <f>AI70*VLOOKUP('Données projet'!$B$10,Paramètres!$A$1:$I$89,3,0)*VLOOKUP('Données projet'!$B$10,Paramètres!$A$1:$I$89,5,0)</f>
        <v>307.78449000000001</v>
      </c>
      <c r="AK70" s="13">
        <f t="shared" si="89"/>
        <v>72.805950538466206</v>
      </c>
      <c r="AL70" s="20">
        <f t="shared" si="58"/>
        <v>662.86168393782873</v>
      </c>
      <c r="AM70" s="59">
        <f t="shared" si="59"/>
        <v>930.04380742167746</v>
      </c>
      <c r="AN70" s="59">
        <f ca="1">AVERAGE(OFFSET($AM$3,0,0,'Données projet'!$E$10+1,1))-AVERAGE(OFFSET($H$3,0,0,'Données projet'!$E$10+1,1))</f>
        <v>623.16549611107564</v>
      </c>
      <c r="AO70" s="59">
        <f t="shared" si="90"/>
        <v>326.15178903425885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97.946455449637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97.946455449637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204.0979199999999</v>
      </c>
      <c r="BF70" s="13">
        <f t="shared" si="91"/>
        <v>50.643700651523019</v>
      </c>
      <c r="BG70" s="20">
        <f t="shared" si="61"/>
        <v>443.67498930140238</v>
      </c>
      <c r="BH70" s="59">
        <f t="shared" si="62"/>
        <v>710.85711278525116</v>
      </c>
      <c r="BI70" s="59">
        <f ca="1">AVERAGE(OFFSET($BH$3,0,0,'Données projet'!$E$11+1,1))-AVERAGE(OFFSET($H$3,0,0,'Données projet'!$E$11+1,1))</f>
        <v>326.2912419133811</v>
      </c>
      <c r="BJ70" s="59">
        <f t="shared" si="92"/>
        <v>315.07976787459938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42.252750197135718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42.252750197135718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</v>
      </c>
      <c r="BY70" s="12">
        <f>IF('Données projet'!$A$114&gt;35,BY69+BX70-CG69,IF(A70&lt;'Données projet'!$A$114,$BV$205^A70,IF(A70='Données projet'!$A$114,'Données projet'!$B$114,BY69+BX70-CG69)))</f>
        <v>222</v>
      </c>
      <c r="BZ70" s="13">
        <f>BY70*VLOOKUP('Données projet'!$B$12,Paramètres!$A$1:$I$89,3,0)*VLOOKUP('Données projet'!$B$12,Paramètres!$A$1:$I$89,5,0)</f>
        <v>141.99119999999999</v>
      </c>
      <c r="CA70" s="13">
        <f t="shared" si="93"/>
        <v>36.752785844923459</v>
      </c>
      <c r="CB70" s="20">
        <f t="shared" si="64"/>
        <v>311.31244201324165</v>
      </c>
      <c r="CC70" s="59">
        <f t="shared" si="65"/>
        <v>578.49456549709043</v>
      </c>
      <c r="CD70" s="59">
        <f ca="1">AVERAGE(OFFSET($CC$3,0,0,'Données projet'!$E$12+1,1))-AVERAGE(OFFSET($H$3,0,0,'Données projet'!$E$12+1,1))</f>
        <v>297.03992602744393</v>
      </c>
      <c r="CE70" s="59">
        <f t="shared" si="94"/>
        <v>265.2588848922893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36.405347791691931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36.405347791691931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350.39999999999969</v>
      </c>
      <c r="CU70" s="17">
        <f>CT70*VLOOKUP('Données projet'!$B$13,Paramètres!$A$1:$I$89,3,0)*VLOOKUP('Données projet'!$B$13,Paramètres!$A$1:$I$89,5,0)</f>
        <v>278.77823999999976</v>
      </c>
      <c r="CV70" s="13">
        <f t="shared" si="95"/>
        <v>66.70875019643654</v>
      </c>
      <c r="CW70" s="20">
        <f t="shared" si="67"/>
        <v>601.7231745921265</v>
      </c>
      <c r="CX70" s="59">
        <f t="shared" si="68"/>
        <v>868.90529807597522</v>
      </c>
      <c r="CY70" s="59">
        <f ca="1">AVERAGE(OFFSET($CX$3,0,0,'Données projet'!$E$13+1,1))-AVERAGE(OFFSET($H$3,0,0,'Données projet'!$E$13+1,1))</f>
        <v>427.42918901489531</v>
      </c>
      <c r="CZ70" s="59">
        <f t="shared" si="96"/>
        <v>410.68601510655412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56.82442735661192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56.82442735661192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11.28875</v>
      </c>
      <c r="DO70" s="12">
        <f>IF('Données projet'!$A$166&gt;35,DO69+DN70-DW69,IF(A70&lt;'Données projet'!$A$166,$DL$205^A70,IF(A70='Données projet'!$A$166,'Données projet'!$B$166,DO69+DN70-DW69)))</f>
        <v>303.53499999999997</v>
      </c>
      <c r="DP70" s="17">
        <f>DO70*VLOOKUP('Données projet'!$B$14,Paramètres!$A$1:$I$89,3,0)*VLOOKUP('Données projet'!$B$14,Paramètres!$A$1:$I$89,5,0)</f>
        <v>293.57905199999993</v>
      </c>
      <c r="DQ70" s="13">
        <f t="shared" si="97"/>
        <v>69.828695875206279</v>
      </c>
      <c r="DR70" s="20">
        <f t="shared" si="70"/>
        <v>632.93516088265085</v>
      </c>
      <c r="DS70" s="59">
        <f t="shared" si="71"/>
        <v>900.11728436649969</v>
      </c>
      <c r="DT70" s="59">
        <f ca="1">AVERAGE(OFFSET($DS$3,0,0,'Données projet'!$E$14+1,1))-AVERAGE(OFFSET($H$3,0,0,'Données projet'!$E$14+1,1))</f>
        <v>598.03945725240396</v>
      </c>
      <c r="DU70" s="59">
        <f t="shared" si="98"/>
        <v>313.9014686755695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93.425849813499937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93.425849813499937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11.28875</v>
      </c>
      <c r="EJ70" s="12">
        <f>IF('Données projet'!$A$192&gt;35,EJ69+EI70-ER69,IF(A70&lt;'Données projet'!$A$192,$EG$205^A70,IF(A70='Données projet'!$A$192,'Données projet'!$B$192,EJ69+EI70-ER69)))</f>
        <v>303.53500000000003</v>
      </c>
      <c r="EK70" s="17">
        <f>EJ70*VLOOKUP('Données projet'!$B$15,Paramètres!$A$1:$I$89,3,0)*VLOOKUP('Données projet'!$B$15,Paramètres!$A$1:$I$89,5,0)</f>
        <v>203.611278</v>
      </c>
      <c r="EL70" s="13">
        <f t="shared" si="99"/>
        <v>50.536988846507398</v>
      </c>
      <c r="EM70" s="20">
        <f t="shared" si="73"/>
        <v>442.64156475766708</v>
      </c>
      <c r="EN70" s="59">
        <f t="shared" si="74"/>
        <v>709.82368824151581</v>
      </c>
      <c r="EO70" s="59">
        <f ca="1">AVERAGE(OFFSET($EN$3,0,0,'Données projet'!$E$15+1,1))-AVERAGE(OFFSET($H$3,0,0,'Données projet'!$E$15+1,1))</f>
        <v>438.27475674276604</v>
      </c>
      <c r="EP70" s="59">
        <f t="shared" si="100"/>
        <v>235.97720136798864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79.864032905088649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79.864032905088649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15.211111111111116</v>
      </c>
      <c r="FE70" s="12">
        <f>IF('Données projet'!$A$218&gt;35,FE69+FD70-FM69,IF(A70&lt;'Données projet'!$A$218,$FB$205^A70,IF(A70='Données projet'!$A$218,'Données projet'!$B$218,FE69+FD70-FM69)))</f>
        <v>367.68111111111051</v>
      </c>
      <c r="FF70" s="17">
        <f>FE70*VLOOKUP('Données projet'!$B$16,Paramètres!$A$1:$I$89,3,0)*VLOOKUP('Données projet'!$B$16,Paramètres!$A$1:$I$89,5,0)</f>
        <v>172.07475999999974</v>
      </c>
      <c r="FG70" s="13">
        <f t="shared" si="101"/>
        <v>43.554372236184811</v>
      </c>
      <c r="FH70" s="20">
        <f t="shared" si="76"/>
        <v>375.55407197802145</v>
      </c>
      <c r="FI70" s="59">
        <f t="shared" si="77"/>
        <v>642.73619546187024</v>
      </c>
      <c r="FJ70" s="59">
        <f ca="1">AVERAGE(OFFSET($FI$3,0,0,'Données projet'!$E$16+1,1))-AVERAGE(OFFSET($H$3,0,0,'Données projet'!$E$16+1,1))</f>
        <v>329.49463758169588</v>
      </c>
      <c r="FK70" s="59">
        <f t="shared" si="102"/>
        <v>207.1447698203379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102.23323989570275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102.23323989570275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15</v>
      </c>
      <c r="FZ70" s="12">
        <f>IF('Données projet'!$A$244&gt;35,FZ69+FY70-GH69,IF(A70&lt;'Données projet'!$A$244,$FW$205^A70,IF(A70='Données projet'!$A$244,'Données projet'!$B$244,FZ69+FY70-GH69)))</f>
        <v>688.00000000000023</v>
      </c>
      <c r="GA70" s="17">
        <f>FZ70*VLOOKUP('Données projet'!$B$17,Paramètres!$A$1:$I$89,3,0)*VLOOKUP('Données projet'!$B$17,Paramètres!$A$1:$I$89,5,0)</f>
        <v>411.42400000000021</v>
      </c>
      <c r="GB70" s="13">
        <f t="shared" si="103"/>
        <v>94.088896505909247</v>
      </c>
      <c r="GC70" s="20">
        <f t="shared" si="79"/>
        <v>880.43496141445894</v>
      </c>
      <c r="GD70" s="59">
        <f t="shared" si="80"/>
        <v>1147.6170848983077</v>
      </c>
      <c r="GE70" s="59">
        <f ca="1">AVERAGE(OFFSET($GD$3,0,0,'Données projet'!$E$17+1,1))-AVERAGE(OFFSET($H$3,0,0,'Données projet'!$E$17+1,1))</f>
        <v>577.07444926285291</v>
      </c>
      <c r="GF70" s="59">
        <f t="shared" si="104"/>
        <v>501.3762209070419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96.210186610406552</v>
      </c>
      <c r="GM70" s="21">
        <f>EXP(-LN(2)/25)*GM69+(1-EXP(-LN(2)/25))/(LN(2)/25)*Calculateur!GH70*Calculateur!GJ70*VLOOKUP('Données projet'!$B$17,Paramètres!$A$1:$I$89,3,0)*0.475*44/12</f>
        <v>23.452830388118347</v>
      </c>
      <c r="GN70" s="21">
        <f>EXP(-LN(2)/2)*GN69+(1-EXP(-LN(2)/2))/(LN(2)/2)*GH70*GK70*VLOOKUP('Données projet'!$B$17,Paramètres!$A$1:$I$89,3,0)*0.475*44/12</f>
        <v>2.1187325108554034E-7</v>
      </c>
      <c r="GO70" s="21">
        <f t="shared" si="81"/>
        <v>119.66301721039815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62.867851859231486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-5.6843418860808015E-14</v>
      </c>
      <c r="GV70" s="17">
        <f>GU70*VLOOKUP('Données projet'!$B$18,Paramètres!$A$1:$I$89,3,0)*VLOOKUP('Données projet'!$B$18,Paramètres!$A$1:$I$89,5,0)</f>
        <v>-3.0061073630349716E-14</v>
      </c>
      <c r="GW70" s="13" t="e">
        <f t="shared" si="105"/>
        <v>#NUM!</v>
      </c>
      <c r="GX70" s="20" t="e">
        <f t="shared" si="82"/>
        <v>#NUM!</v>
      </c>
      <c r="GY70" s="59" t="e">
        <f t="shared" si="83"/>
        <v>#NUM!</v>
      </c>
      <c r="GZ70" s="59">
        <f ca="1">AVERAGE(OFFSET($GY$3,0,0,'Données projet'!$E$18+1,1))-AVERAGE(OFFSET($H$3,0,0,'Données projet'!$E$18+1,1))</f>
        <v>212.75657290802619</v>
      </c>
      <c r="HA70" s="59">
        <f t="shared" si="106"/>
        <v>411.47446316045978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36.942130372978056</v>
      </c>
      <c r="HH70" s="21">
        <f>EXP(-LN(2)/25)*HH69+(1-EXP(-LN(2)/25))/(LN(2)/25)*Calculateur!HC70*Calculateur!HE70*VLOOKUP('Données projet'!$B$18,Paramètres!$A$1:$I$89,3,0)*0.475*44/12</f>
        <v>7.1384251050031562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44.080555477981214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4.60745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16.893983333333335</v>
      </c>
      <c r="H71" s="66">
        <f t="shared" si="56"/>
        <v>189.09073333333333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314.82375000000002</v>
      </c>
      <c r="O71" s="13">
        <f>N71*VLOOKUP('Données projet'!$B$9,Paramètres!$A$1:$I$89,3,0)*VLOOKUP('Données projet'!$B$9,Paramètres!$A$1:$I$89,5,0)</f>
        <v>284.852529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882.17240273839775</v>
      </c>
      <c r="S71" s="59">
        <f ca="1">AVERAGE(OFFSET($R$3,0,0,'Données projet'!$E$9+1,1))-AVERAGE(OFFSET($H$3,0,0,'Données projet'!$E$9+1,1))</f>
        <v>564.49981446852132</v>
      </c>
      <c r="T71" s="59">
        <f t="shared" si="88"/>
        <v>297.54722913785406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11.28875</v>
      </c>
      <c r="AI71" s="13">
        <f>IF('Données projet'!$A$62&gt;35,AI70+AH71-AQ70,IF(A71&lt;'Données projet'!$A$62,$AF$205^A71,IF(A71='Données projet'!$A$62,'Données projet'!$B$62,AI70+AH71-AQ70)))</f>
        <v>314.82374999999996</v>
      </c>
      <c r="AJ71" s="13">
        <f>AI71*VLOOKUP('Données projet'!$B$10,Paramètres!$A$1:$I$89,3,0)*VLOOKUP('Données projet'!$B$10,Paramètres!$A$1:$I$89,5,0)</f>
        <v>319.23128250000002</v>
      </c>
      <c r="AK71" s="13">
        <f t="shared" si="89"/>
        <v>75.193384654855564</v>
      </c>
      <c r="AL71" s="20">
        <f t="shared" si="58"/>
        <v>686.95629529470671</v>
      </c>
      <c r="AM71" s="59">
        <f t="shared" si="59"/>
        <v>954.59208380409768</v>
      </c>
      <c r="AN71" s="59">
        <f ca="1">AVERAGE(OFFSET($AM$3,0,0,'Données projet'!$E$10+1,1))-AVERAGE(OFFSET($H$3,0,0,'Données projet'!$E$10+1,1))</f>
        <v>623.16549611107564</v>
      </c>
      <c r="AO71" s="59">
        <f t="shared" si="90"/>
        <v>326.15178903425885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96.025785199708466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96.025785199708466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207.1804799999999</v>
      </c>
      <c r="BF71" s="13">
        <f t="shared" si="91"/>
        <v>51.318965762681508</v>
      </c>
      <c r="BG71" s="20">
        <f t="shared" si="61"/>
        <v>450.21986803667011</v>
      </c>
      <c r="BH71" s="59">
        <f t="shared" si="62"/>
        <v>717.85565654606103</v>
      </c>
      <c r="BI71" s="59">
        <f ca="1">AVERAGE(OFFSET($BH$3,0,0,'Données projet'!$E$11+1,1))-AVERAGE(OFFSET($H$3,0,0,'Données projet'!$E$11+1,1))</f>
        <v>326.2912419133811</v>
      </c>
      <c r="BJ71" s="59">
        <f t="shared" si="92"/>
        <v>315.07976787459938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41.424199537402771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41.424199537402771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</v>
      </c>
      <c r="BY71" s="12">
        <f>IF('Données projet'!$A$114&gt;35,BY70+BX71-CG70,IF(A71&lt;'Données projet'!$A$114,$BV$205^A71,IF(A71='Données projet'!$A$114,'Données projet'!$B$114,BY70+BX71-CG70)))</f>
        <v>227</v>
      </c>
      <c r="BZ71" s="13">
        <f>BY71*VLOOKUP('Données projet'!$B$12,Paramètres!$A$1:$I$89,3,0)*VLOOKUP('Données projet'!$B$12,Paramètres!$A$1:$I$89,5,0)</f>
        <v>145.1892</v>
      </c>
      <c r="CA71" s="13">
        <f t="shared" si="93"/>
        <v>37.483248590240066</v>
      </c>
      <c r="CB71" s="20">
        <f t="shared" si="64"/>
        <v>318.15451462800144</v>
      </c>
      <c r="CC71" s="59">
        <f t="shared" si="65"/>
        <v>585.79030313739236</v>
      </c>
      <c r="CD71" s="59">
        <f ca="1">AVERAGE(OFFSET($CC$3,0,0,'Données projet'!$E$12+1,1))-AVERAGE(OFFSET($H$3,0,0,'Données projet'!$E$12+1,1))</f>
        <v>297.03992602744393</v>
      </c>
      <c r="CE71" s="59">
        <f t="shared" si="94"/>
        <v>265.2588848922893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35.691461126566438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35.691461126566438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355.59999999999968</v>
      </c>
      <c r="CU71" s="17">
        <f>CT71*VLOOKUP('Données projet'!$B$13,Paramètres!$A$1:$I$89,3,0)*VLOOKUP('Données projet'!$B$13,Paramètres!$A$1:$I$89,5,0)</f>
        <v>282.91535999999979</v>
      </c>
      <c r="CV71" s="13">
        <f t="shared" si="95"/>
        <v>67.582736351531807</v>
      </c>
      <c r="CW71" s="20">
        <f t="shared" si="67"/>
        <v>610.45085114558412</v>
      </c>
      <c r="CX71" s="59">
        <f t="shared" si="68"/>
        <v>878.08663965497499</v>
      </c>
      <c r="CY71" s="59">
        <f ca="1">AVERAGE(OFFSET($CX$3,0,0,'Données projet'!$E$13+1,1))-AVERAGE(OFFSET($H$3,0,0,'Données projet'!$E$13+1,1))</f>
        <v>427.42918901489531</v>
      </c>
      <c r="CZ71" s="59">
        <f t="shared" si="96"/>
        <v>410.68601510655412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55.710134995627108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55.710134995627108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11.28875</v>
      </c>
      <c r="DO71" s="12">
        <f>IF('Données projet'!$A$166&gt;35,DO70+DN71-DW70,IF(A71&lt;'Données projet'!$A$166,$DL$205^A71,IF(A71='Données projet'!$A$166,'Données projet'!$B$166,DO70+DN71-DW70)))</f>
        <v>314.82374999999996</v>
      </c>
      <c r="DP71" s="17">
        <f>DO71*VLOOKUP('Données projet'!$B$14,Paramètres!$A$1:$I$89,3,0)*VLOOKUP('Données projet'!$B$14,Paramètres!$A$1:$I$89,5,0)</f>
        <v>304.49753099999998</v>
      </c>
      <c r="DQ71" s="13">
        <f t="shared" si="97"/>
        <v>72.118500617847047</v>
      </c>
      <c r="DR71" s="20">
        <f t="shared" si="70"/>
        <v>655.9395884010836</v>
      </c>
      <c r="DS71" s="59">
        <f t="shared" si="71"/>
        <v>923.57537691047446</v>
      </c>
      <c r="DT71" s="59">
        <f ca="1">AVERAGE(OFFSET($DS$3,0,0,'Données projet'!$E$14+1,1))-AVERAGE(OFFSET($H$3,0,0,'Données projet'!$E$14+1,1))</f>
        <v>598.03945725240396</v>
      </c>
      <c r="DU71" s="59">
        <f t="shared" si="98"/>
        <v>313.9014686755695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91.593825882798868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91.593825882798868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11.28875</v>
      </c>
      <c r="EJ71" s="12">
        <f>IF('Données projet'!$A$192&gt;35,EJ70+EI71-ER70,IF(A71&lt;'Données projet'!$A$192,$EG$205^A71,IF(A71='Données projet'!$A$192,'Données projet'!$B$192,EJ70+EI71-ER70)))</f>
        <v>314.82375000000002</v>
      </c>
      <c r="EK71" s="17">
        <f>EJ71*VLOOKUP('Données projet'!$B$15,Paramètres!$A$1:$I$89,3,0)*VLOOKUP('Données projet'!$B$15,Paramètres!$A$1:$I$89,5,0)</f>
        <v>211.18377150000001</v>
      </c>
      <c r="EL71" s="13">
        <f t="shared" si="99"/>
        <v>52.194184864407035</v>
      </c>
      <c r="EM71" s="20">
        <f t="shared" si="73"/>
        <v>458.71660733467564</v>
      </c>
      <c r="EN71" s="59">
        <f t="shared" si="74"/>
        <v>726.35239584406656</v>
      </c>
      <c r="EO71" s="59">
        <f ca="1">AVERAGE(OFFSET($EN$3,0,0,'Données projet'!$E$15+1,1))-AVERAGE(OFFSET($H$3,0,0,'Données projet'!$E$15+1,1))</f>
        <v>438.27475674276604</v>
      </c>
      <c r="EP71" s="59">
        <f t="shared" si="100"/>
        <v>235.97720136798864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78.297947932070002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78.297947932070002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15.211111111111116</v>
      </c>
      <c r="FE71" s="12">
        <f>IF('Données projet'!$A$218&gt;35,FE70+FD71-FM70,IF(A71&lt;'Données projet'!$A$218,$FB$205^A71,IF(A71='Données projet'!$A$218,'Données projet'!$B$218,FE70+FD71-FM70)))</f>
        <v>382.89222222222162</v>
      </c>
      <c r="FF71" s="17">
        <f>FE71*VLOOKUP('Données projet'!$B$16,Paramètres!$A$1:$I$89,3,0)*VLOOKUP('Données projet'!$B$16,Paramètres!$A$1:$I$89,5,0)</f>
        <v>179.19355999999974</v>
      </c>
      <c r="FG71" s="13">
        <f t="shared" si="101"/>
        <v>45.14272126309222</v>
      </c>
      <c r="FH71" s="20">
        <f t="shared" si="76"/>
        <v>390.71902319988516</v>
      </c>
      <c r="FI71" s="59">
        <f t="shared" si="77"/>
        <v>658.35481170927608</v>
      </c>
      <c r="FJ71" s="59">
        <f ca="1">AVERAGE(OFFSET($FI$3,0,0,'Données projet'!$E$16+1,1))-AVERAGE(OFFSET($H$3,0,0,'Données projet'!$E$16+1,1))</f>
        <v>329.49463758169588</v>
      </c>
      <c r="FK71" s="59">
        <f t="shared" si="102"/>
        <v>207.1447698203379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100.2285084174672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100.2285084174672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15</v>
      </c>
      <c r="FZ71" s="12">
        <f>IF('Données projet'!$A$244&gt;35,FZ70+FY71-GH70,IF(A71&lt;'Données projet'!$A$244,$FW$205^A71,IF(A71='Données projet'!$A$244,'Données projet'!$B$244,FZ70+FY71-GH70)))</f>
        <v>703.00000000000023</v>
      </c>
      <c r="GA71" s="17">
        <f>FZ71*VLOOKUP('Données projet'!$B$17,Paramètres!$A$1:$I$89,3,0)*VLOOKUP('Données projet'!$B$17,Paramètres!$A$1:$I$89,5,0)</f>
        <v>420.39400000000018</v>
      </c>
      <c r="GB71" s="13">
        <f t="shared" si="103"/>
        <v>95.899193810129589</v>
      </c>
      <c r="GC71" s="20">
        <f t="shared" si="79"/>
        <v>899.21064588597585</v>
      </c>
      <c r="GD71" s="59">
        <f t="shared" si="80"/>
        <v>1166.8464343953667</v>
      </c>
      <c r="GE71" s="59">
        <f ca="1">AVERAGE(OFFSET($GD$3,0,0,'Données projet'!$E$17+1,1))-AVERAGE(OFFSET($H$3,0,0,'Données projet'!$E$17+1,1))</f>
        <v>577.07444926285291</v>
      </c>
      <c r="GF71" s="59">
        <f t="shared" si="104"/>
        <v>501.3762209070419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94.323563533395898</v>
      </c>
      <c r="GM71" s="21">
        <f>EXP(-LN(2)/25)*GM70+(1-EXP(-LN(2)/25))/(LN(2)/25)*Calculateur!GH71*Calculateur!GJ71*VLOOKUP('Données projet'!$B$17,Paramètres!$A$1:$I$89,3,0)*0.475*44/12</f>
        <v>22.811511507824502</v>
      </c>
      <c r="GN71" s="21">
        <f>EXP(-LN(2)/2)*GN70+(1-EXP(-LN(2)/2))/(LN(2)/2)*GH71*GK71*VLOOKUP('Données projet'!$B$17,Paramètres!$A$1:$I$89,3,0)*0.475*44/12</f>
        <v>1.4981701259462561E-7</v>
      </c>
      <c r="GO71" s="21">
        <f t="shared" si="81"/>
        <v>117.13507519103742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62.991578684379327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-5.6843418860808015E-14</v>
      </c>
      <c r="GV71" s="17">
        <f>GU71*VLOOKUP('Données projet'!$B$18,Paramètres!$A$1:$I$89,3,0)*VLOOKUP('Données projet'!$B$18,Paramètres!$A$1:$I$89,5,0)</f>
        <v>-3.0061073630349716E-14</v>
      </c>
      <c r="GW71" s="13" t="e">
        <f t="shared" si="105"/>
        <v>#NUM!</v>
      </c>
      <c r="GX71" s="20" t="e">
        <f t="shared" si="82"/>
        <v>#NUM!</v>
      </c>
      <c r="GY71" s="59" t="e">
        <f t="shared" si="83"/>
        <v>#NUM!</v>
      </c>
      <c r="GZ71" s="59">
        <f ca="1">AVERAGE(OFFSET($GY$3,0,0,'Données projet'!$E$18+1,1))-AVERAGE(OFFSET($H$3,0,0,'Données projet'!$E$18+1,1))</f>
        <v>212.75657290802619</v>
      </c>
      <c r="HA71" s="59">
        <f t="shared" si="106"/>
        <v>411.47446316045978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36.217717728838586</v>
      </c>
      <c r="HH71" s="21">
        <f>EXP(-LN(2)/25)*HH70+(1-EXP(-LN(2)/25))/(LN(2)/25)*Calculateur!HC71*Calculateur!HE71*VLOOKUP('Données projet'!$B$18,Paramètres!$A$1:$I$89,3,0)*0.475*44/12</f>
        <v>6.9432244951133839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43.16094222395197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4.60745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16.893983333333335</v>
      </c>
      <c r="H72" s="66">
        <f t="shared" si="56"/>
        <v>189.09073333333333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326.11250000000001</v>
      </c>
      <c r="O72" s="13">
        <f>N72*VLOOKUP('Données projet'!$B$9,Paramètres!$A$1:$I$89,3,0)*VLOOKUP('Données projet'!$B$9,Paramètres!$A$1:$I$89,5,0)</f>
        <v>295.06659000000002</v>
      </c>
      <c r="P72" s="13">
        <f t="shared" si="87"/>
        <v>70.141235290018571</v>
      </c>
      <c r="Q72" s="20">
        <f t="shared" si="54"/>
        <v>636.07029571344913</v>
      </c>
      <c r="R72" s="59">
        <f t="shared" si="55"/>
        <v>904.151879174432</v>
      </c>
      <c r="S72" s="59">
        <f ca="1">AVERAGE(OFFSET($R$3,0,0,'Données projet'!$E$9+1,1))-AVERAGE(OFFSET($H$3,0,0,'Données projet'!$E$9+1,1))</f>
        <v>564.49981446852132</v>
      </c>
      <c r="T72" s="59">
        <f t="shared" si="88"/>
        <v>297.54722913785406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11.28875</v>
      </c>
      <c r="AI72" s="13">
        <f>IF('Données projet'!$A$62&gt;35,AI71+AH72-AQ71,IF(A72&lt;'Données projet'!$A$62,$AF$205^A72,IF(A72='Données projet'!$A$62,'Données projet'!$B$62,AI71+AH72-AQ71)))</f>
        <v>326.11249999999995</v>
      </c>
      <c r="AJ72" s="13">
        <f>AI72*VLOOKUP('Données projet'!$B$10,Paramètres!$A$1:$I$89,3,0)*VLOOKUP('Données projet'!$B$10,Paramètres!$A$1:$I$89,5,0)</f>
        <v>330.67807499999998</v>
      </c>
      <c r="AK72" s="13">
        <f t="shared" si="89"/>
        <v>77.570872620233771</v>
      </c>
      <c r="AL72" s="20">
        <f t="shared" si="58"/>
        <v>711.03358377190716</v>
      </c>
      <c r="AM72" s="59">
        <f t="shared" si="59"/>
        <v>979.11516723288992</v>
      </c>
      <c r="AN72" s="59">
        <f ca="1">AVERAGE(OFFSET($AM$3,0,0,'Données projet'!$E$10+1,1))-AVERAGE(OFFSET($H$3,0,0,'Données projet'!$E$10+1,1))</f>
        <v>623.16549611107564</v>
      </c>
      <c r="AO72" s="59">
        <f t="shared" si="90"/>
        <v>326.15178903425885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94.142778121887858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94.142778121887858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210.2630399999999</v>
      </c>
      <c r="BF72" s="13">
        <f t="shared" si="91"/>
        <v>51.993062367907982</v>
      </c>
      <c r="BG72" s="20">
        <f t="shared" si="61"/>
        <v>456.7627116241062</v>
      </c>
      <c r="BH72" s="59">
        <f t="shared" si="62"/>
        <v>724.84429508508902</v>
      </c>
      <c r="BI72" s="59">
        <f ca="1">AVERAGE(OFFSET($BH$3,0,0,'Données projet'!$E$11+1,1))-AVERAGE(OFFSET($H$3,0,0,'Données projet'!$E$11+1,1))</f>
        <v>326.2912419133811</v>
      </c>
      <c r="BJ72" s="59">
        <f t="shared" si="92"/>
        <v>315.07976787459938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40.611896250741182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40.611896250741182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</v>
      </c>
      <c r="BY72" s="12">
        <f>IF('Données projet'!$A$114&gt;35,BY71+BX72-CG71,IF(A72&lt;'Données projet'!$A$114,$BV$205^A72,IF(A72='Données projet'!$A$114,'Données projet'!$B$114,BY71+BX72-CG71)))</f>
        <v>232</v>
      </c>
      <c r="BZ72" s="13">
        <f>BY72*VLOOKUP('Données projet'!$B$12,Paramètres!$A$1:$I$89,3,0)*VLOOKUP('Données projet'!$B$12,Paramètres!$A$1:$I$89,5,0)</f>
        <v>148.38719999999998</v>
      </c>
      <c r="CA72" s="13">
        <f t="shared" si="93"/>
        <v>38.211840758090553</v>
      </c>
      <c r="CB72" s="20">
        <f t="shared" si="64"/>
        <v>324.99332932034093</v>
      </c>
      <c r="CC72" s="59">
        <f t="shared" si="65"/>
        <v>593.07491278132375</v>
      </c>
      <c r="CD72" s="59">
        <f ca="1">AVERAGE(OFFSET($CC$3,0,0,'Données projet'!$E$12+1,1))-AVERAGE(OFFSET($H$3,0,0,'Données projet'!$E$12+1,1))</f>
        <v>297.03992602744393</v>
      </c>
      <c r="CE72" s="59">
        <f t="shared" si="94"/>
        <v>265.2588848922893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34.991573343516187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34.991573343516187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360.79999999999967</v>
      </c>
      <c r="CU72" s="17">
        <f>CT72*VLOOKUP('Données projet'!$B$13,Paramètres!$A$1:$I$89,3,0)*VLOOKUP('Données projet'!$B$13,Paramètres!$A$1:$I$89,5,0)</f>
        <v>287.05247999999978</v>
      </c>
      <c r="CV72" s="13">
        <f t="shared" si="95"/>
        <v>68.455236071606535</v>
      </c>
      <c r="CW72" s="20">
        <f t="shared" si="67"/>
        <v>619.17593882471431</v>
      </c>
      <c r="CX72" s="59">
        <f t="shared" si="68"/>
        <v>887.25752228569718</v>
      </c>
      <c r="CY72" s="59">
        <f ca="1">AVERAGE(OFFSET($CX$3,0,0,'Données projet'!$E$13+1,1))-AVERAGE(OFFSET($H$3,0,0,'Données projet'!$E$13+1,1))</f>
        <v>427.42918901489531</v>
      </c>
      <c r="CZ72" s="59">
        <f t="shared" si="96"/>
        <v>410.68601510655412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54.617693228189978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54.617693228189978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11.28875</v>
      </c>
      <c r="DO72" s="12">
        <f>IF('Données projet'!$A$166&gt;35,DO71+DN72-DW71,IF(A72&lt;'Données projet'!$A$166,$DL$205^A72,IF(A72='Données projet'!$A$166,'Données projet'!$B$166,DO71+DN72-DW71)))</f>
        <v>326.11249999999995</v>
      </c>
      <c r="DP72" s="17">
        <f>DO72*VLOOKUP('Données projet'!$B$14,Paramètres!$A$1:$I$89,3,0)*VLOOKUP('Données projet'!$B$14,Paramètres!$A$1:$I$89,5,0)</f>
        <v>315.41600999999997</v>
      </c>
      <c r="DQ72" s="13">
        <f t="shared" si="97"/>
        <v>74.39876593755659</v>
      </c>
      <c r="DR72" s="20">
        <f t="shared" si="70"/>
        <v>678.92740142457762</v>
      </c>
      <c r="DS72" s="59">
        <f t="shared" si="71"/>
        <v>947.00898488556049</v>
      </c>
      <c r="DT72" s="59">
        <f ca="1">AVERAGE(OFFSET($DS$3,0,0,'Données projet'!$E$14+1,1))-AVERAGE(OFFSET($H$3,0,0,'Données projet'!$E$14+1,1))</f>
        <v>598.03945725240396</v>
      </c>
      <c r="DU72" s="59">
        <f t="shared" si="98"/>
        <v>313.9014686755695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89.797726823954591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89.797726823954591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11.28875</v>
      </c>
      <c r="EJ72" s="12">
        <f>IF('Données projet'!$A$192&gt;35,EJ71+EI72-ER71,IF(A72&lt;'Données projet'!$A$192,$EG$205^A72,IF(A72='Données projet'!$A$192,'Données projet'!$B$192,EJ71+EI72-ER71)))</f>
        <v>326.11250000000001</v>
      </c>
      <c r="EK72" s="17">
        <f>EJ72*VLOOKUP('Données projet'!$B$15,Paramètres!$A$1:$I$89,3,0)*VLOOKUP('Données projet'!$B$15,Paramètres!$A$1:$I$89,5,0)</f>
        <v>218.75626500000001</v>
      </c>
      <c r="EL72" s="13">
        <f t="shared" si="99"/>
        <v>53.844476933947966</v>
      </c>
      <c r="EM72" s="20">
        <f t="shared" si="73"/>
        <v>474.77962553495928</v>
      </c>
      <c r="EN72" s="59">
        <f t="shared" si="74"/>
        <v>742.86120899594209</v>
      </c>
      <c r="EO72" s="59">
        <f ca="1">AVERAGE(OFFSET($EN$3,0,0,'Données projet'!$E$15+1,1))-AVERAGE(OFFSET($H$3,0,0,'Données projet'!$E$15+1,1))</f>
        <v>438.27475674276604</v>
      </c>
      <c r="EP72" s="59">
        <f t="shared" si="100"/>
        <v>235.97720136798864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76.762572930154732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76.762572930154732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15.211111111111116</v>
      </c>
      <c r="FE72" s="12">
        <f>IF('Données projet'!$A$218&gt;35,FE71+FD72-FM71,IF(A72&lt;'Données projet'!$A$218,$FB$205^A72,IF(A72='Données projet'!$A$218,'Données projet'!$B$218,FE71+FD72-FM71)))</f>
        <v>398.10333333333273</v>
      </c>
      <c r="FF72" s="17">
        <f>FE72*VLOOKUP('Données projet'!$B$16,Paramètres!$A$1:$I$89,3,0)*VLOOKUP('Données projet'!$B$16,Paramètres!$A$1:$I$89,5,0)</f>
        <v>186.31235999999973</v>
      </c>
      <c r="FG72" s="13">
        <f t="shared" si="101"/>
        <v>46.723740353090498</v>
      </c>
      <c r="FH72" s="20">
        <f t="shared" si="76"/>
        <v>405.87120811496544</v>
      </c>
      <c r="FI72" s="59">
        <f t="shared" si="77"/>
        <v>673.95279157594825</v>
      </c>
      <c r="FJ72" s="59">
        <f ca="1">AVERAGE(OFFSET($FI$3,0,0,'Données projet'!$E$16+1,1))-AVERAGE(OFFSET($H$3,0,0,'Données projet'!$E$16+1,1))</f>
        <v>329.49463758169588</v>
      </c>
      <c r="FK72" s="59">
        <f t="shared" si="102"/>
        <v>207.1447698203379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98.263088500754378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98.263088500754378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15</v>
      </c>
      <c r="FZ72" s="12">
        <f>IF('Données projet'!$A$244&gt;35,FZ71+FY72-GH71,IF(A72&lt;'Données projet'!$A$244,$FW$205^A72,IF(A72='Données projet'!$A$244,'Données projet'!$B$244,FZ71+FY72-GH71)))</f>
        <v>718.00000000000023</v>
      </c>
      <c r="GA72" s="17">
        <f>FZ72*VLOOKUP('Données projet'!$B$17,Paramètres!$A$1:$I$89,3,0)*VLOOKUP('Données projet'!$B$17,Paramètres!$A$1:$I$89,5,0)</f>
        <v>429.3640000000002</v>
      </c>
      <c r="GB72" s="13">
        <f t="shared" si="103"/>
        <v>97.705000203350153</v>
      </c>
      <c r="GC72" s="20">
        <f t="shared" si="79"/>
        <v>917.97850868750186</v>
      </c>
      <c r="GD72" s="59">
        <f t="shared" si="80"/>
        <v>1186.0600921484847</v>
      </c>
      <c r="GE72" s="59">
        <f ca="1">AVERAGE(OFFSET($GD$3,0,0,'Données projet'!$E$17+1,1))-AVERAGE(OFFSET($H$3,0,0,'Données projet'!$E$17+1,1))</f>
        <v>577.07444926285291</v>
      </c>
      <c r="GF72" s="59">
        <f t="shared" si="104"/>
        <v>501.3762209070419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92.473935984198974</v>
      </c>
      <c r="GM72" s="21">
        <f>EXP(-LN(2)/25)*GM71+(1-EXP(-LN(2)/25))/(LN(2)/25)*Calculateur!GH72*Calculateur!GJ72*VLOOKUP('Données projet'!$B$17,Paramètres!$A$1:$I$89,3,0)*0.475*44/12</f>
        <v>22.187729526037788</v>
      </c>
      <c r="GN72" s="21">
        <f>EXP(-LN(2)/2)*GN71+(1-EXP(-LN(2)/2))/(LN(2)/2)*GH72*GK72*VLOOKUP('Données projet'!$B$17,Paramètres!$A$1:$I$89,3,0)*0.475*44/12</f>
        <v>1.0593662554277017E-7</v>
      </c>
      <c r="GO72" s="21">
        <f t="shared" si="81"/>
        <v>114.66166561617338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63.113159125722589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-5.6843418860808015E-14</v>
      </c>
      <c r="GV72" s="17">
        <f>GU72*VLOOKUP('Données projet'!$B$18,Paramètres!$A$1:$I$89,3,0)*VLOOKUP('Données projet'!$B$18,Paramètres!$A$1:$I$89,5,0)</f>
        <v>-3.0061073630349716E-14</v>
      </c>
      <c r="GW72" s="13" t="e">
        <f t="shared" si="105"/>
        <v>#NUM!</v>
      </c>
      <c r="GX72" s="20" t="e">
        <f t="shared" si="82"/>
        <v>#NUM!</v>
      </c>
      <c r="GY72" s="59" t="e">
        <f t="shared" si="83"/>
        <v>#NUM!</v>
      </c>
      <c r="GZ72" s="59">
        <f ca="1">AVERAGE(OFFSET($GY$3,0,0,'Données projet'!$E$18+1,1))-AVERAGE(OFFSET($H$3,0,0,'Données projet'!$E$18+1,1))</f>
        <v>212.75657290802619</v>
      </c>
      <c r="HA72" s="59">
        <f t="shared" si="106"/>
        <v>411.47446316045978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35.507510374802607</v>
      </c>
      <c r="HH72" s="21">
        <f>EXP(-LN(2)/25)*HH71+(1-EXP(-LN(2)/25))/(LN(2)/25)*Calculateur!HC72*Calculateur!HE72*VLOOKUP('Données projet'!$B$18,Paramètres!$A$1:$I$89,3,0)*0.475*44/12</f>
        <v>6.7533616561662013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42.260872030968805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4.60745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16.893983333333335</v>
      </c>
      <c r="H73" s="66">
        <f t="shared" si="56"/>
        <v>189.09073333333333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926.10856270653244</v>
      </c>
      <c r="S73" s="59">
        <f ca="1">AVERAGE(OFFSET($R$3,0,0,'Données projet'!$E$9+1,1))-AVERAGE(OFFSET($H$3,0,0,'Données projet'!$E$9+1,1))</f>
        <v>564.49981446852132</v>
      </c>
      <c r="T73" s="59">
        <f t="shared" si="88"/>
        <v>297.54722913785406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11.28875</v>
      </c>
      <c r="AI73" s="13">
        <f>IF('Données projet'!$A$62&gt;35,AI72+AH73-AQ72,IF(A73&lt;'Données projet'!$A$62,$AF$205^A73,IF(A73='Données projet'!$A$62,'Données projet'!$B$62,AI72+AH73-AQ72)))</f>
        <v>337.40124999999995</v>
      </c>
      <c r="AJ73" s="13">
        <f>AI73*VLOOKUP('Données projet'!$B$10,Paramètres!$A$1:$I$89,3,0)*VLOOKUP('Données projet'!$B$10,Paramètres!$A$1:$I$89,5,0)</f>
        <v>342.12486749999994</v>
      </c>
      <c r="AK73" s="13">
        <f t="shared" si="89"/>
        <v>79.938798190391537</v>
      </c>
      <c r="AL73" s="20">
        <f t="shared" si="58"/>
        <v>735.09421774409839</v>
      </c>
      <c r="AM73" s="59">
        <f t="shared" si="59"/>
        <v>1003.6138626109114</v>
      </c>
      <c r="AN73" s="59">
        <f ca="1">AVERAGE(OFFSET($AM$3,0,0,'Données projet'!$E$10+1,1))-AVERAGE(OFFSET($H$3,0,0,'Données projet'!$E$10+1,1))</f>
        <v>623.16549611107564</v>
      </c>
      <c r="AO73" s="59">
        <f t="shared" si="90"/>
        <v>326.15178903425885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92.296695664342394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92.296695664342394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213.34559999999991</v>
      </c>
      <c r="BF73" s="13">
        <f t="shared" si="91"/>
        <v>52.666009577179437</v>
      </c>
      <c r="BG73" s="20">
        <f t="shared" si="61"/>
        <v>463.30355334692064</v>
      </c>
      <c r="BH73" s="59">
        <f t="shared" si="62"/>
        <v>731.82319821373358</v>
      </c>
      <c r="BI73" s="59">
        <f ca="1">AVERAGE(OFFSET($BH$3,0,0,'Données projet'!$E$11+1,1))-AVERAGE(OFFSET($H$3,0,0,'Données projet'!$E$11+1,1))</f>
        <v>326.2912419133811</v>
      </c>
      <c r="BJ73" s="59">
        <f t="shared" si="92"/>
        <v>315.07976787459938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44.568336867023731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44.568336867023731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237</v>
      </c>
      <c r="BW73" s="12">
        <f>VLOOKUP(A73,'Données projet'!$A$113:$I$133,9,0)</f>
        <v>5</v>
      </c>
      <c r="BX73" s="12">
        <f t="array" ref="BX73">INDEX(BW:BW,MIN(IF(ISNUMBER(BW73:BW269),ROW(BW73:BW269),"")))</f>
        <v>5</v>
      </c>
      <c r="BY73" s="12">
        <f>IF('Données projet'!$A$114&gt;35,BY72+BX73-CG72,IF(A73&lt;'Données projet'!$A$114,$BV$205^A73,IF(A73='Données projet'!$A$114,'Données projet'!$B$114,BY72+BX73-CG72)))</f>
        <v>237</v>
      </c>
      <c r="BZ73" s="13">
        <f>BY73*VLOOKUP('Données projet'!$B$12,Paramètres!$A$1:$I$89,3,0)*VLOOKUP('Données projet'!$B$12,Paramètres!$A$1:$I$89,5,0)</f>
        <v>151.58519999999999</v>
      </c>
      <c r="CA73" s="13">
        <f t="shared" si="93"/>
        <v>38.938607305837699</v>
      </c>
      <c r="CB73" s="20">
        <f t="shared" si="64"/>
        <v>331.82896439100062</v>
      </c>
      <c r="CC73" s="59">
        <f t="shared" si="65"/>
        <v>600.34860925781356</v>
      </c>
      <c r="CD73" s="59">
        <f ca="1">AVERAGE(OFFSET($CC$3,0,0,'Données projet'!$E$12+1,1))-AVERAGE(OFFSET($H$3,0,0,'Données projet'!$E$12+1,1))</f>
        <v>297.03992602744393</v>
      </c>
      <c r="CE73" s="59">
        <f t="shared" si="94"/>
        <v>265.2588848922893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18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39.77804546876154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39.77804546876154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365.99999999999966</v>
      </c>
      <c r="CU73" s="17">
        <f>CT73*VLOOKUP('Données projet'!$B$13,Paramètres!$A$1:$I$89,3,0)*VLOOKUP('Données projet'!$B$13,Paramètres!$A$1:$I$89,5,0)</f>
        <v>291.18959999999976</v>
      </c>
      <c r="CV73" s="13">
        <f t="shared" si="95"/>
        <v>69.326273255048633</v>
      </c>
      <c r="CW73" s="20">
        <f t="shared" si="67"/>
        <v>627.89847925254264</v>
      </c>
      <c r="CX73" s="59">
        <f t="shared" si="68"/>
        <v>896.41812411935553</v>
      </c>
      <c r="CY73" s="59">
        <f ca="1">AVERAGE(OFFSET($CX$3,0,0,'Données projet'!$E$13+1,1))-AVERAGE(OFFSET($H$3,0,0,'Données projet'!$E$13+1,1))</f>
        <v>427.42918901489531</v>
      </c>
      <c r="CZ73" s="59">
        <f t="shared" si="96"/>
        <v>410.68601510655412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0.53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60.538795837442109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60.538795837442109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11.28875</v>
      </c>
      <c r="DO73" s="12">
        <f>IF('Données projet'!$A$166&gt;35,DO72+DN73-DW72,IF(A73&lt;'Données projet'!$A$166,$DL$205^A73,IF(A73='Données projet'!$A$166,'Données projet'!$B$166,DO72+DN73-DW72)))</f>
        <v>337.40124999999995</v>
      </c>
      <c r="DP73" s="17">
        <f>DO73*VLOOKUP('Données projet'!$B$14,Paramètres!$A$1:$I$89,3,0)*VLOOKUP('Données projet'!$B$14,Paramètres!$A$1:$I$89,5,0)</f>
        <v>326.33448899999996</v>
      </c>
      <c r="DQ73" s="13">
        <f t="shared" si="97"/>
        <v>76.669859897195522</v>
      </c>
      <c r="DR73" s="20">
        <f t="shared" si="70"/>
        <v>701.89924099594873</v>
      </c>
      <c r="DS73" s="59">
        <f t="shared" si="71"/>
        <v>970.41888586276173</v>
      </c>
      <c r="DT73" s="59">
        <f ca="1">AVERAGE(OFFSET($DS$3,0,0,'Données projet'!$E$14+1,1))-AVERAGE(OFFSET($H$3,0,0,'Données projet'!$E$14+1,1))</f>
        <v>598.03945725240396</v>
      </c>
      <c r="DU73" s="59">
        <f t="shared" si="98"/>
        <v>313.9014686755695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88.036848172142001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88.036848172142001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11.28875</v>
      </c>
      <c r="EJ73" s="12">
        <f>IF('Données projet'!$A$192&gt;35,EJ72+EI73-ER72,IF(A73&lt;'Données projet'!$A$192,$EG$205^A73,IF(A73='Données projet'!$A$192,'Données projet'!$B$192,EJ72+EI73-ER72)))</f>
        <v>337.40125</v>
      </c>
      <c r="EK73" s="17">
        <f>EJ73*VLOOKUP('Données projet'!$B$15,Paramètres!$A$1:$I$89,3,0)*VLOOKUP('Données projet'!$B$15,Paramètres!$A$1:$I$89,5,0)</f>
        <v>226.32875850000002</v>
      </c>
      <c r="EL73" s="13">
        <f t="shared" si="99"/>
        <v>55.488131432562128</v>
      </c>
      <c r="EM73" s="20">
        <f t="shared" si="73"/>
        <v>490.83108329921242</v>
      </c>
      <c r="EN73" s="59">
        <f t="shared" si="74"/>
        <v>759.35072816602542</v>
      </c>
      <c r="EO73" s="59">
        <f ca="1">AVERAGE(OFFSET($EN$3,0,0,'Données projet'!$E$15+1,1))-AVERAGE(OFFSET($H$3,0,0,'Données projet'!$E$15+1,1))</f>
        <v>438.27475674276604</v>
      </c>
      <c r="EP73" s="59">
        <f t="shared" si="100"/>
        <v>235.97720136798864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75.257305695540737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75.257305695540737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15.211111111111116</v>
      </c>
      <c r="FE73" s="12">
        <f>IF('Données projet'!$A$218&gt;35,FE72+FD73-FM72,IF(A73&lt;'Données projet'!$A$218,$FB$205^A73,IF(A73='Données projet'!$A$218,'Données projet'!$B$218,FE72+FD73-FM72)))</f>
        <v>413.31444444444384</v>
      </c>
      <c r="FF73" s="17">
        <f>FE73*VLOOKUP('Données projet'!$B$16,Paramètres!$A$1:$I$89,3,0)*VLOOKUP('Données projet'!$B$16,Paramètres!$A$1:$I$89,5,0)</f>
        <v>193.43115999999972</v>
      </c>
      <c r="FG73" s="13">
        <f t="shared" si="101"/>
        <v>48.297741635801991</v>
      </c>
      <c r="FH73" s="20">
        <f t="shared" si="76"/>
        <v>421.01117034902131</v>
      </c>
      <c r="FI73" s="59">
        <f t="shared" si="77"/>
        <v>689.53081521583431</v>
      </c>
      <c r="FJ73" s="59">
        <f ca="1">AVERAGE(OFFSET($FI$3,0,0,'Données projet'!$E$16+1,1))-AVERAGE(OFFSET($H$3,0,0,'Données projet'!$E$16+1,1))</f>
        <v>329.49463758169588</v>
      </c>
      <c r="FK73" s="59">
        <f t="shared" si="102"/>
        <v>207.1447698203379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96.336209269820529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96.336209269820529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733</v>
      </c>
      <c r="FX73" s="12">
        <f>VLOOKUP(A73,'Données projet'!$A$243:$I$263,9,0)</f>
        <v>15</v>
      </c>
      <c r="FY73" s="12">
        <f t="array" ref="FY73">INDEX(FX:FX,MIN(IF(ISNUMBER(FX73:FX269),ROW(FX73:FX269),"")))</f>
        <v>15</v>
      </c>
      <c r="FZ73" s="12">
        <f>IF('Données projet'!$A$244&gt;35,FZ72+FY73-GH72,IF(A73&lt;'Données projet'!$A$244,$FW$205^A73,IF(A73='Données projet'!$A$244,'Données projet'!$B$244,FZ72+FY73-GH72)))</f>
        <v>733.00000000000023</v>
      </c>
      <c r="GA73" s="17">
        <f>FZ73*VLOOKUP('Données projet'!$B$17,Paramètres!$A$1:$I$89,3,0)*VLOOKUP('Données projet'!$B$17,Paramètres!$A$1:$I$89,5,0)</f>
        <v>438.33400000000017</v>
      </c>
      <c r="GB73" s="13">
        <f t="shared" si="103"/>
        <v>99.506420315742801</v>
      </c>
      <c r="GC73" s="20">
        <f t="shared" si="79"/>
        <v>936.73873204991912</v>
      </c>
      <c r="GD73" s="59">
        <f t="shared" si="80"/>
        <v>1205.258376916732</v>
      </c>
      <c r="GE73" s="59">
        <f ca="1">AVERAGE(OFFSET($GD$3,0,0,'Données projet'!$E$17+1,1))-AVERAGE(OFFSET($H$3,0,0,'Données projet'!$E$17+1,1))</f>
        <v>577.07444926285291</v>
      </c>
      <c r="GF73" s="59">
        <f t="shared" si="104"/>
        <v>501.3762209070419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34</v>
      </c>
      <c r="GI73" s="16">
        <f>IF(ISNA(VLOOKUP(A73,'Données projet'!$A$243:$I$263,5,0)),0%,VLOOKUP(A73,'Données projet'!$A$243:$I$263,5,0)*VLOOKUP('Données projet'!$B$17,Paramètres!$A$1:$I$89,7,0))</f>
        <v>0.45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102.79784733167892</v>
      </c>
      <c r="GM73" s="21">
        <f>EXP(-LN(2)/25)*GM72+(1-EXP(-LN(2)/25))/(LN(2)/25)*Calculateur!GH73*Calculateur!GJ73*VLOOKUP('Données projet'!$B$17,Paramètres!$A$1:$I$89,3,0)*0.475*44/12</f>
        <v>21.5810048953463</v>
      </c>
      <c r="GN73" s="21">
        <f>EXP(-LN(2)/2)*GN72+(1-EXP(-LN(2)/2))/(LN(2)/2)*GH73*GK73*VLOOKUP('Données projet'!$B$17,Paramètres!$A$1:$I$89,3,0)*0.475*44/12</f>
        <v>7.4908506297312807E-8</v>
      </c>
      <c r="GO73" s="21">
        <f t="shared" si="81"/>
        <v>124.37885230193373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63.232630418221696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-5.6843418860808015E-14</v>
      </c>
      <c r="GV73" s="17">
        <f>GU73*VLOOKUP('Données projet'!$B$18,Paramètres!$A$1:$I$89,3,0)*VLOOKUP('Données projet'!$B$18,Paramètres!$A$1:$I$89,5,0)</f>
        <v>-3.0061073630349716E-14</v>
      </c>
      <c r="GW73" s="13" t="e">
        <f t="shared" si="105"/>
        <v>#NUM!</v>
      </c>
      <c r="GX73" s="20" t="e">
        <f t="shared" si="82"/>
        <v>#NUM!</v>
      </c>
      <c r="GY73" s="59" t="e">
        <f t="shared" si="83"/>
        <v>#NUM!</v>
      </c>
      <c r="GZ73" s="59">
        <f ca="1">AVERAGE(OFFSET($GY$3,0,0,'Données projet'!$E$18+1,1))-AVERAGE(OFFSET($H$3,0,0,'Données projet'!$E$18+1,1))</f>
        <v>212.75657290802619</v>
      </c>
      <c r="HA73" s="59">
        <f t="shared" si="106"/>
        <v>411.47446316045978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34.811229753795558</v>
      </c>
      <c r="HH73" s="21">
        <f>EXP(-LN(2)/25)*HH72+(1-EXP(-LN(2)/25))/(LN(2)/25)*Calculateur!HC73*Calculateur!HE73*VLOOKUP('Données projet'!$B$18,Paramètres!$A$1:$I$89,3,0)*0.475*44/12</f>
        <v>6.5686906265344822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41.379920380330041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4.60745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16.893983333333335</v>
      </c>
      <c r="H74" s="66">
        <f t="shared" si="56"/>
        <v>189.09073333333333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348.69</v>
      </c>
      <c r="O74" s="13">
        <f>N74*VLOOKUP('Données projet'!$B$9,Paramètres!$A$1:$I$89,3,0)*VLOOKUP('Données projet'!$B$9,Paramètres!$A$1:$I$89,5,0)</f>
        <v>315.49471199999999</v>
      </c>
      <c r="P74" s="13">
        <f t="shared" si="87"/>
        <v>74.415168706532612</v>
      </c>
      <c r="Q74" s="20">
        <f t="shared" si="54"/>
        <v>679.09304223054426</v>
      </c>
      <c r="R74" s="59">
        <f t="shared" si="55"/>
        <v>948.0431491171546</v>
      </c>
      <c r="S74" s="59">
        <f ca="1">AVERAGE(OFFSET($R$3,0,0,'Données projet'!$E$9+1,1))-AVERAGE(OFFSET($H$3,0,0,'Données projet'!$E$9+1,1))</f>
        <v>564.49981446852132</v>
      </c>
      <c r="T74" s="59">
        <f t="shared" si="88"/>
        <v>297.54722913785406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348.69</v>
      </c>
      <c r="AG74" s="12">
        <f>VLOOKUP(A74,'Données projet'!$A$61:$I$81,9,0)</f>
        <v>11.28875</v>
      </c>
      <c r="AH74" s="12">
        <f t="array" ref="AH74">INDEX(AG:AG,MIN(IF(ISNUMBER(AG74:AG270),ROW(AG74:AG270),"")))</f>
        <v>11.28875</v>
      </c>
      <c r="AI74" s="13">
        <f>IF('Données projet'!$A$62&gt;35,AI73+AH74-AQ73,IF(A74&lt;'Données projet'!$A$62,$AF$205^A74,IF(A74='Données projet'!$A$62,'Données projet'!$B$62,AI73+AH74-AQ73)))</f>
        <v>348.68999999999994</v>
      </c>
      <c r="AJ74" s="13">
        <f>AI74*VLOOKUP('Données projet'!$B$10,Paramètres!$A$1:$I$89,3,0)*VLOOKUP('Données projet'!$B$10,Paramètres!$A$1:$I$89,5,0)</f>
        <v>353.57165999999995</v>
      </c>
      <c r="AK74" s="13">
        <f t="shared" si="89"/>
        <v>82.297517984675324</v>
      </c>
      <c r="AL74" s="20">
        <f t="shared" si="58"/>
        <v>759.13881832330935</v>
      </c>
      <c r="AM74" s="59">
        <f t="shared" si="59"/>
        <v>1028.0889252099196</v>
      </c>
      <c r="AN74" s="59">
        <f ca="1">AVERAGE(OFFSET($AM$3,0,0,'Données projet'!$E$10+1,1))-AVERAGE(OFFSET($H$3,0,0,'Données projet'!$E$10+1,1))</f>
        <v>623.16549611107564</v>
      </c>
      <c r="AO74" s="59">
        <f t="shared" si="90"/>
        <v>326.15178903425885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52.07</v>
      </c>
      <c r="AR74" s="16">
        <f>IF(ISNA(VLOOKUP(A74,'Données projet'!$A$61:$I$81,5,0)),0%,VLOOKUP(A74,'Données projet'!$A$61:$I$81,5,0)*VLOOKUP('Données projet'!$B$10,Paramètres!$A$1:$I$89,7,0))</f>
        <v>0.43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115.58492839539792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115.58492839539792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207.99167999999992</v>
      </c>
      <c r="BF74" s="13">
        <f t="shared" si="91"/>
        <v>51.496472105486831</v>
      </c>
      <c r="BG74" s="20">
        <f t="shared" si="61"/>
        <v>451.94186491705608</v>
      </c>
      <c r="BH74" s="59">
        <f t="shared" si="62"/>
        <v>720.89197180366637</v>
      </c>
      <c r="BI74" s="59">
        <f ca="1">AVERAGE(OFFSET($BH$3,0,0,'Données projet'!$E$11+1,1))-AVERAGE(OFFSET($H$3,0,0,'Données projet'!$E$11+1,1))</f>
        <v>326.2912419133811</v>
      </c>
      <c r="BJ74" s="59">
        <f t="shared" si="92"/>
        <v>315.07976787459938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43.69437896506269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43.69437896506269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4.4000000000000004</v>
      </c>
      <c r="BY74" s="12">
        <f>IF('Données projet'!$A$114&gt;35,BY73+BX74-CG73,IF(A74&lt;'Données projet'!$A$114,$BV$205^A74,IF(A74='Données projet'!$A$114,'Données projet'!$B$114,BY73+BX74-CG73)))</f>
        <v>223.4</v>
      </c>
      <c r="BZ74" s="13">
        <f>BY74*VLOOKUP('Données projet'!$B$12,Paramètres!$A$1:$I$89,3,0)*VLOOKUP('Données projet'!$B$12,Paramètres!$A$1:$I$89,5,0)</f>
        <v>142.88664</v>
      </c>
      <c r="CA74" s="13">
        <f t="shared" si="93"/>
        <v>36.957506648844401</v>
      </c>
      <c r="CB74" s="20">
        <f t="shared" si="64"/>
        <v>313.22855541340397</v>
      </c>
      <c r="CC74" s="59">
        <f t="shared" si="65"/>
        <v>582.17866230001437</v>
      </c>
      <c r="CD74" s="59">
        <f ca="1">AVERAGE(OFFSET($CC$3,0,0,'Données projet'!$E$12+1,1))-AVERAGE(OFFSET($H$3,0,0,'Données projet'!$E$12+1,1))</f>
        <v>297.03992602744393</v>
      </c>
      <c r="CE74" s="59">
        <f t="shared" si="94"/>
        <v>265.2588848922893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38.998022259331165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38.998022259331165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355.79999999999967</v>
      </c>
      <c r="CU74" s="17">
        <f>CT74*VLOOKUP('Données projet'!$B$13,Paramètres!$A$1:$I$89,3,0)*VLOOKUP('Données projet'!$B$13,Paramètres!$A$1:$I$89,5,0)</f>
        <v>283.07447999999977</v>
      </c>
      <c r="CV74" s="13">
        <f t="shared" si="95"/>
        <v>67.616321363645156</v>
      </c>
      <c r="CW74" s="20">
        <f t="shared" si="67"/>
        <v>610.78647904168156</v>
      </c>
      <c r="CX74" s="59">
        <f t="shared" si="68"/>
        <v>879.7365859282919</v>
      </c>
      <c r="CY74" s="59">
        <f ca="1">AVERAGE(OFFSET($CX$3,0,0,'Données projet'!$E$13+1,1))-AVERAGE(OFFSET($H$3,0,0,'Données projet'!$E$13+1,1))</f>
        <v>427.42918901489531</v>
      </c>
      <c r="CZ74" s="59">
        <f t="shared" si="96"/>
        <v>410.68601510655412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59.351666976089284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59.351666976089284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>
        <f>VLOOKUP(A74,'Données projet'!$A$165:$I$185,2,0)</f>
        <v>348.69</v>
      </c>
      <c r="DM74" s="12">
        <f>VLOOKUP(A74,'Données projet'!$A$165:$I$185,9,0)</f>
        <v>11.28875</v>
      </c>
      <c r="DN74" s="12">
        <f t="array" ref="DN74">INDEX(DM:DM,MIN(IF(ISNUMBER(DM74:DM270),ROW(DM74:DM270),"")))</f>
        <v>11.28875</v>
      </c>
      <c r="DO74" s="12">
        <f>IF('Données projet'!$A$166&gt;35,DO73+DN74-DW73,IF(A74&lt;'Données projet'!$A$166,$DL$205^A74,IF(A74='Données projet'!$A$166,'Données projet'!$B$166,DO73+DN74-DW73)))</f>
        <v>348.68999999999994</v>
      </c>
      <c r="DP74" s="17">
        <f>DO74*VLOOKUP('Données projet'!$B$14,Paramètres!$A$1:$I$89,3,0)*VLOOKUP('Données projet'!$B$14,Paramètres!$A$1:$I$89,5,0)</f>
        <v>337.25296799999995</v>
      </c>
      <c r="DQ74" s="13">
        <f t="shared" si="97"/>
        <v>78.932124532870404</v>
      </c>
      <c r="DR74" s="20">
        <f t="shared" si="70"/>
        <v>724.85570282808249</v>
      </c>
      <c r="DS74" s="59">
        <f t="shared" si="71"/>
        <v>993.80580971469283</v>
      </c>
      <c r="DT74" s="59">
        <f ca="1">AVERAGE(OFFSET($DS$3,0,0,'Données projet'!$E$14+1,1))-AVERAGE(OFFSET($H$3,0,0,'Données projet'!$E$14+1,1))</f>
        <v>598.03945725240396</v>
      </c>
      <c r="DU74" s="59">
        <f t="shared" si="98"/>
        <v>313.9014686755695</v>
      </c>
      <c r="DV74" s="15">
        <f>IF(ISNA(VLOOKUP(A74,'Données projet'!$A$165:$I$185,3,0)),0,VLOOKUP(A74,'Données projet'!$A$165:$I$185,3,0))</f>
        <v>6</v>
      </c>
      <c r="DW74" s="15">
        <f>IF(ISNA(VLOOKUP(A74,'Données projet'!$A$165:$I$185,4,0)),0,VLOOKUP(A74,'Données projet'!$A$165:$I$185,4,0))</f>
        <v>52.07</v>
      </c>
      <c r="DX74" s="16">
        <f>IF(ISNA(VLOOKUP(A74,'Données projet'!$A$165:$I$185,5,0)),0%,VLOOKUP(A74,'Données projet'!$A$165:$I$185,5,0)*VLOOKUP('Données projet'!$B$14,Paramètres!$A$1:$I$89,7,0))</f>
        <v>0.43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110.25023939253343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110.25023939253343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>
        <f>VLOOKUP(A74,'Données projet'!$A$191:$I$211,2,0)</f>
        <v>348.69</v>
      </c>
      <c r="EH74" s="12">
        <f>VLOOKUP(A74,'Données projet'!$A$191:$I$211,9,0)</f>
        <v>11.28875</v>
      </c>
      <c r="EI74" s="12">
        <f t="array" ref="EI74">INDEX(EH:EH,MIN(IF(ISNUMBER(EH74:EH270),ROW(EH74:EH270),"")))</f>
        <v>11.28875</v>
      </c>
      <c r="EJ74" s="12">
        <f>IF('Données projet'!$A$192&gt;35,EJ73+EI74-ER73,IF(A74&lt;'Données projet'!$A$192,$EG$205^A74,IF(A74='Données projet'!$A$192,'Données projet'!$B$192,EJ73+EI74-ER73)))</f>
        <v>348.69</v>
      </c>
      <c r="EK74" s="17">
        <f>EJ74*VLOOKUP('Données projet'!$B$15,Paramètres!$A$1:$I$89,3,0)*VLOOKUP('Données projet'!$B$15,Paramètres!$A$1:$I$89,5,0)</f>
        <v>233.901252</v>
      </c>
      <c r="EL74" s="13">
        <f t="shared" si="99"/>
        <v>57.12539590138833</v>
      </c>
      <c r="EM74" s="20">
        <f t="shared" si="73"/>
        <v>506.87141176158462</v>
      </c>
      <c r="EN74" s="59">
        <f t="shared" si="74"/>
        <v>775.82151864819502</v>
      </c>
      <c r="EO74" s="59">
        <f ca="1">AVERAGE(OFFSET($EN$3,0,0,'Données projet'!$E$15+1,1))-AVERAGE(OFFSET($H$3,0,0,'Données projet'!$E$15+1,1))</f>
        <v>438.27475674276604</v>
      </c>
      <c r="EP74" s="59">
        <f t="shared" si="100"/>
        <v>235.97720136798864</v>
      </c>
      <c r="EQ74" s="15">
        <f>IF(ISNA(VLOOKUP(A74,'Données projet'!$A$191:$I$211,3,0)),0,VLOOKUP(A74,'Données projet'!$A$191:$I$211,3,0))</f>
        <v>6</v>
      </c>
      <c r="ER74" s="15">
        <f>IF(ISNA(VLOOKUP(A74,'Données projet'!$A$191:$I$211,4,0)),0,VLOOKUP(A74,'Données projet'!$A$191:$I$211,4,0))</f>
        <v>52.07</v>
      </c>
      <c r="ES74" s="16">
        <f>IF(ISNA(VLOOKUP(A74,'Données projet'!$A$191:$I$211,5,0)),0%,VLOOKUP(A74,'Données projet'!$A$191:$I$211,5,0)*VLOOKUP('Données projet'!$B$15,Paramètres!$A$1:$I$89,7,0))</f>
        <v>0.53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94.246172383939864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94.246172383939864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15.211111111111116</v>
      </c>
      <c r="FE74" s="12">
        <f>IF('Données projet'!$A$218&gt;35,FE73+FD74-FM73,IF(A74&lt;'Données projet'!$A$218,$FB$205^A74,IF(A74='Données projet'!$A$218,'Données projet'!$B$218,FE73+FD74-FM73)))</f>
        <v>428.52555555555494</v>
      </c>
      <c r="FF74" s="17">
        <f>FE74*VLOOKUP('Données projet'!$B$16,Paramètres!$A$1:$I$89,3,0)*VLOOKUP('Données projet'!$B$16,Paramètres!$A$1:$I$89,5,0)</f>
        <v>200.54995999999971</v>
      </c>
      <c r="FG74" s="13">
        <f t="shared" si="101"/>
        <v>49.865012964548107</v>
      </c>
      <c r="FH74" s="20">
        <f t="shared" si="76"/>
        <v>436.13941124658749</v>
      </c>
      <c r="FI74" s="59">
        <f t="shared" si="77"/>
        <v>705.08951813319777</v>
      </c>
      <c r="FJ74" s="59">
        <f ca="1">AVERAGE(OFFSET($FI$3,0,0,'Données projet'!$E$16+1,1))-AVERAGE(OFFSET($H$3,0,0,'Données projet'!$E$16+1,1))</f>
        <v>329.49463758169588</v>
      </c>
      <c r="FK74" s="59">
        <f t="shared" si="102"/>
        <v>207.1447698203379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94.447114965325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94.447114965325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13.6</v>
      </c>
      <c r="FZ74" s="12">
        <f>IF('Données projet'!$A$244&gt;35,FZ73+FY74-GH73,IF(A74&lt;'Données projet'!$A$244,$FW$205^A74,IF(A74='Données projet'!$A$244,'Données projet'!$B$244,FZ73+FY74-GH73)))</f>
        <v>712.60000000000025</v>
      </c>
      <c r="GA74" s="17">
        <f>FZ74*VLOOKUP('Données projet'!$B$17,Paramètres!$A$1:$I$89,3,0)*VLOOKUP('Données projet'!$B$17,Paramètres!$A$1:$I$89,5,0)</f>
        <v>426.13480000000015</v>
      </c>
      <c r="GB74" s="13">
        <f t="shared" si="103"/>
        <v>97.055420565620963</v>
      </c>
      <c r="GC74" s="20">
        <f t="shared" si="79"/>
        <v>911.22296748512326</v>
      </c>
      <c r="GD74" s="59">
        <f t="shared" si="80"/>
        <v>1180.1730743717335</v>
      </c>
      <c r="GE74" s="59">
        <f ca="1">AVERAGE(OFFSET($GD$3,0,0,'Données projet'!$E$17+1,1))-AVERAGE(OFFSET($H$3,0,0,'Données projet'!$E$17+1,1))</f>
        <v>577.07444926285291</v>
      </c>
      <c r="GF74" s="59">
        <f t="shared" si="104"/>
        <v>501.3762209070419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100.78204424600041</v>
      </c>
      <c r="GM74" s="21">
        <f>EXP(-LN(2)/25)*GM73+(1-EXP(-LN(2)/25))/(LN(2)/25)*Calculateur!GH74*Calculateur!GJ74*VLOOKUP('Données projet'!$B$17,Paramètres!$A$1:$I$89,3,0)*0.475*44/12</f>
        <v>20.990871181587334</v>
      </c>
      <c r="GN74" s="21">
        <f>EXP(-LN(2)/2)*GN73+(1-EXP(-LN(2)/2))/(LN(2)/2)*GH74*GK74*VLOOKUP('Données projet'!$B$17,Paramètres!$A$1:$I$89,3,0)*0.475*44/12</f>
        <v>5.2968312771385085E-8</v>
      </c>
      <c r="GO74" s="21">
        <f t="shared" si="81"/>
        <v>121.77291548055607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63.350029150893739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-5.6843418860808015E-14</v>
      </c>
      <c r="GV74" s="17">
        <f>GU74*VLOOKUP('Données projet'!$B$18,Paramètres!$A$1:$I$89,3,0)*VLOOKUP('Données projet'!$B$18,Paramètres!$A$1:$I$89,5,0)</f>
        <v>-3.0061073630349716E-14</v>
      </c>
      <c r="GW74" s="13" t="e">
        <f t="shared" si="105"/>
        <v>#NUM!</v>
      </c>
      <c r="GX74" s="20" t="e">
        <f t="shared" si="82"/>
        <v>#NUM!</v>
      </c>
      <c r="GY74" s="59" t="e">
        <f t="shared" si="83"/>
        <v>#NUM!</v>
      </c>
      <c r="GZ74" s="59">
        <f ca="1">AVERAGE(OFFSET($GY$3,0,0,'Données projet'!$E$18+1,1))-AVERAGE(OFFSET($H$3,0,0,'Données projet'!$E$18+1,1))</f>
        <v>212.75657290802619</v>
      </c>
      <c r="HA74" s="59">
        <f t="shared" si="106"/>
        <v>411.47446316045978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34.128602771077219</v>
      </c>
      <c r="HH74" s="21">
        <f>EXP(-LN(2)/25)*HH73+(1-EXP(-LN(2)/25))/(LN(2)/25)*Calculateur!HC74*Calculateur!HE74*VLOOKUP('Données projet'!$B$18,Paramètres!$A$1:$I$89,3,0)*0.475*44/12</f>
        <v>6.3890694359194695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40.517672206996686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4.60745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16.893983333333335</v>
      </c>
      <c r="H75" s="66">
        <f t="shared" si="56"/>
        <v>189.09073333333333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307.63</v>
      </c>
      <c r="O75" s="13">
        <f>N75*VLOOKUP('Données projet'!$B$9,Paramètres!$A$1:$I$89,3,0)*VLOOKUP('Données projet'!$B$9,Paramètres!$A$1:$I$89,5,0)</f>
        <v>278.34362399999998</v>
      </c>
      <c r="P75" s="13">
        <f t="shared" si="87"/>
        <v>66.616848235919136</v>
      </c>
      <c r="Q75" s="20">
        <f t="shared" si="54"/>
        <v>600.80615581089239</v>
      </c>
      <c r="R75" s="59">
        <f t="shared" si="55"/>
        <v>870.17925716362561</v>
      </c>
      <c r="S75" s="59">
        <f ca="1">AVERAGE(OFFSET($R$3,0,0,'Données projet'!$E$9+1,1))-AVERAGE(OFFSET($H$3,0,0,'Données projet'!$E$9+1,1))</f>
        <v>564.49981446852132</v>
      </c>
      <c r="T75" s="59">
        <f t="shared" si="88"/>
        <v>297.54722913785406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11.009999999999998</v>
      </c>
      <c r="AI75" s="13">
        <f>IF('Données projet'!$A$62&gt;35,AI74+AH75-AQ74,IF(A75&lt;'Données projet'!$A$62,$AF$205^A75,IF(A75='Données projet'!$A$62,'Données projet'!$B$62,AI74+AH75-AQ74)))</f>
        <v>307.62999999999994</v>
      </c>
      <c r="AJ75" s="13">
        <f>AI75*VLOOKUP('Données projet'!$B$10,Paramètres!$A$1:$I$89,3,0)*VLOOKUP('Données projet'!$B$10,Paramètres!$A$1:$I$89,5,0)</f>
        <v>311.93681999999995</v>
      </c>
      <c r="AK75" s="13">
        <f t="shared" si="89"/>
        <v>73.673168536358688</v>
      </c>
      <c r="AL75" s="20">
        <f t="shared" si="58"/>
        <v>671.60406336749122</v>
      </c>
      <c r="AM75" s="59">
        <f t="shared" si="59"/>
        <v>940.97716472022444</v>
      </c>
      <c r="AN75" s="59">
        <f ca="1">AVERAGE(OFFSET($AM$3,0,0,'Données projet'!$E$10+1,1))-AVERAGE(OFFSET($H$3,0,0,'Données projet'!$E$10+1,1))</f>
        <v>623.16549611107564</v>
      </c>
      <c r="AO75" s="59">
        <f t="shared" si="90"/>
        <v>326.15178903425885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113.31837844940921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113.31837844940921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210.74975999999987</v>
      </c>
      <c r="BF75" s="13">
        <f t="shared" si="91"/>
        <v>52.099393122422597</v>
      </c>
      <c r="BG75" s="20">
        <f t="shared" si="61"/>
        <v>457.79560835488581</v>
      </c>
      <c r="BH75" s="59">
        <f t="shared" si="62"/>
        <v>727.16870970761909</v>
      </c>
      <c r="BI75" s="59">
        <f ca="1">AVERAGE(OFFSET($BH$3,0,0,'Données projet'!$E$11+1,1))-AVERAGE(OFFSET($H$3,0,0,'Données projet'!$E$11+1,1))</f>
        <v>326.2912419133811</v>
      </c>
      <c r="BJ75" s="59">
        <f t="shared" si="92"/>
        <v>315.07976787459938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42.837558844497416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42.837558844497416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4.4000000000000004</v>
      </c>
      <c r="BY75" s="12">
        <f>IF('Données projet'!$A$114&gt;35,BY74+BX75-CG74,IF(A75&lt;'Données projet'!$A$114,$BV$205^A75,IF(A75='Données projet'!$A$114,'Données projet'!$B$114,BY74+BX75-CG74)))</f>
        <v>227.8</v>
      </c>
      <c r="BZ75" s="13">
        <f>BY75*VLOOKUP('Données projet'!$B$12,Paramètres!$A$1:$I$89,3,0)*VLOOKUP('Données projet'!$B$12,Paramètres!$A$1:$I$89,5,0)</f>
        <v>145.70088000000001</v>
      </c>
      <c r="CA75" s="13">
        <f t="shared" si="93"/>
        <v>37.599947846834802</v>
      </c>
      <c r="CB75" s="20">
        <f t="shared" si="64"/>
        <v>319.24894183323727</v>
      </c>
      <c r="CC75" s="59">
        <f t="shared" si="65"/>
        <v>588.6220431859706</v>
      </c>
      <c r="CD75" s="59">
        <f ca="1">AVERAGE(OFFSET($CC$3,0,0,'Données projet'!$E$12+1,1))-AVERAGE(OFFSET($H$3,0,0,'Données projet'!$E$12+1,1))</f>
        <v>297.03992602744393</v>
      </c>
      <c r="CE75" s="59">
        <f t="shared" si="94"/>
        <v>265.2588848922893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38.233294829270541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38.233294829270541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360.59999999999968</v>
      </c>
      <c r="CU75" s="17">
        <f>CT75*VLOOKUP('Données projet'!$B$13,Paramètres!$A$1:$I$89,3,0)*VLOOKUP('Données projet'!$B$13,Paramètres!$A$1:$I$89,5,0)</f>
        <v>286.89335999999975</v>
      </c>
      <c r="CV75" s="13">
        <f t="shared" si="95"/>
        <v>68.421705584684744</v>
      </c>
      <c r="CW75" s="20">
        <f t="shared" si="67"/>
        <v>618.84040589332551</v>
      </c>
      <c r="CX75" s="59">
        <f t="shared" si="68"/>
        <v>888.21350724605873</v>
      </c>
      <c r="CY75" s="59">
        <f ca="1">AVERAGE(OFFSET($CX$3,0,0,'Données projet'!$E$13+1,1))-AVERAGE(OFFSET($H$3,0,0,'Données projet'!$E$13+1,1))</f>
        <v>427.42918901489531</v>
      </c>
      <c r="CZ75" s="59">
        <f t="shared" si="96"/>
        <v>410.68601510655412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58.187816987630484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58.187816987630484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11.009999999999998</v>
      </c>
      <c r="DO75" s="12">
        <f>IF('Données projet'!$A$166&gt;35,DO74+DN75-DW74,IF(A75&lt;'Données projet'!$A$166,$DL$205^A75,IF(A75='Données projet'!$A$166,'Données projet'!$B$166,DO74+DN75-DW74)))</f>
        <v>307.62999999999994</v>
      </c>
      <c r="DP75" s="17">
        <f>DO75*VLOOKUP('Données projet'!$B$14,Paramètres!$A$1:$I$89,3,0)*VLOOKUP('Données projet'!$B$14,Paramètres!$A$1:$I$89,5,0)</f>
        <v>297.53973599999995</v>
      </c>
      <c r="DQ75" s="13">
        <f t="shared" si="97"/>
        <v>70.66045071645857</v>
      </c>
      <c r="DR75" s="20">
        <f t="shared" si="70"/>
        <v>641.28199186449854</v>
      </c>
      <c r="DS75" s="59">
        <f t="shared" si="71"/>
        <v>910.65509321723175</v>
      </c>
      <c r="DT75" s="59">
        <f ca="1">AVERAGE(OFFSET($DS$3,0,0,'Données projet'!$E$14+1,1))-AVERAGE(OFFSET($H$3,0,0,'Données projet'!$E$14+1,1))</f>
        <v>598.03945725240396</v>
      </c>
      <c r="DU75" s="59">
        <f t="shared" si="98"/>
        <v>313.9014686755695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108.08829944405188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108.08829944405188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11.009999999999998</v>
      </c>
      <c r="EJ75" s="12">
        <f>IF('Données projet'!$A$192&gt;35,EJ74+EI75-ER74,IF(A75&lt;'Données projet'!$A$192,$EG$205^A75,IF(A75='Données projet'!$A$192,'Données projet'!$B$192,EJ74+EI75-ER74)))</f>
        <v>307.63</v>
      </c>
      <c r="EK75" s="17">
        <f>EJ75*VLOOKUP('Données projet'!$B$15,Paramètres!$A$1:$I$89,3,0)*VLOOKUP('Données projet'!$B$15,Paramètres!$A$1:$I$89,5,0)</f>
        <v>206.358204</v>
      </c>
      <c r="EL75" s="13">
        <f t="shared" si="99"/>
        <v>51.138953190944207</v>
      </c>
      <c r="EM75" s="20">
        <f t="shared" si="73"/>
        <v>448.47421544089451</v>
      </c>
      <c r="EN75" s="59">
        <f t="shared" si="74"/>
        <v>717.84731679362778</v>
      </c>
      <c r="EO75" s="59">
        <f ca="1">AVERAGE(OFFSET($EN$3,0,0,'Données projet'!$E$15+1,1))-AVERAGE(OFFSET($H$3,0,0,'Données projet'!$E$15+1,1))</f>
        <v>438.27475674276604</v>
      </c>
      <c r="EP75" s="59">
        <f t="shared" si="100"/>
        <v>235.97720136798864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92.398062427979838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92.398062427979838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15.211111111111116</v>
      </c>
      <c r="FE75" s="12">
        <f>IF('Données projet'!$A$218&gt;35,FE74+FD75-FM74,IF(A75&lt;'Données projet'!$A$218,$FB$205^A75,IF(A75='Données projet'!$A$218,'Données projet'!$B$218,FE74+FD75-FM74)))</f>
        <v>443.73666666666605</v>
      </c>
      <c r="FF75" s="17">
        <f>FE75*VLOOKUP('Données projet'!$B$16,Paramètres!$A$1:$I$89,3,0)*VLOOKUP('Données projet'!$B$16,Paramètres!$A$1:$I$89,5,0)</f>
        <v>207.66875999999974</v>
      </c>
      <c r="FG75" s="13">
        <f t="shared" si="101"/>
        <v>51.425820598587329</v>
      </c>
      <c r="FH75" s="20">
        <f t="shared" si="76"/>
        <v>451.25639454253911</v>
      </c>
      <c r="FI75" s="59">
        <f t="shared" si="77"/>
        <v>720.62949589527238</v>
      </c>
      <c r="FJ75" s="59">
        <f ca="1">AVERAGE(OFFSET($FI$3,0,0,'Données projet'!$E$16+1,1))-AVERAGE(OFFSET($H$3,0,0,'Données projet'!$E$16+1,1))</f>
        <v>329.49463758169588</v>
      </c>
      <c r="FK75" s="59">
        <f t="shared" si="102"/>
        <v>207.1447698203379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92.595064647906881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92.595064647906881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13.6</v>
      </c>
      <c r="FZ75" s="12">
        <f>IF('Données projet'!$A$244&gt;35,FZ74+FY75-GH74,IF(A75&lt;'Données projet'!$A$244,$FW$205^A75,IF(A75='Données projet'!$A$244,'Données projet'!$B$244,FZ74+FY75-GH74)))</f>
        <v>726.20000000000027</v>
      </c>
      <c r="GA75" s="17">
        <f>FZ75*VLOOKUP('Données projet'!$B$17,Paramètres!$A$1:$I$89,3,0)*VLOOKUP('Données projet'!$B$17,Paramètres!$A$1:$I$89,5,0)</f>
        <v>434.26760000000019</v>
      </c>
      <c r="GB75" s="13">
        <f t="shared" si="103"/>
        <v>98.690313543876655</v>
      </c>
      <c r="GC75" s="20">
        <f t="shared" si="79"/>
        <v>928.23503275558551</v>
      </c>
      <c r="GD75" s="59">
        <f t="shared" si="80"/>
        <v>1197.6081341083188</v>
      </c>
      <c r="GE75" s="59">
        <f ca="1">AVERAGE(OFFSET($GD$3,0,0,'Données projet'!$E$17+1,1))-AVERAGE(OFFSET($H$3,0,0,'Données projet'!$E$17+1,1))</f>
        <v>577.07444926285291</v>
      </c>
      <c r="GF75" s="59">
        <f t="shared" si="104"/>
        <v>501.3762209070419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98.805769829313576</v>
      </c>
      <c r="GM75" s="21">
        <f>EXP(-LN(2)/25)*GM74+(1-EXP(-LN(2)/25))/(LN(2)/25)*Calculateur!GH75*Calculateur!GJ75*VLOOKUP('Données projet'!$B$17,Paramètres!$A$1:$I$89,3,0)*0.475*44/12</f>
        <v>20.416874705264888</v>
      </c>
      <c r="GN75" s="21">
        <f>EXP(-LN(2)/2)*GN74+(1-EXP(-LN(2)/2))/(LN(2)/2)*GH75*GK75*VLOOKUP('Données projet'!$B$17,Paramètres!$A$1:$I$89,3,0)*0.475*44/12</f>
        <v>3.7454253148656403E-8</v>
      </c>
      <c r="GO75" s="21">
        <f t="shared" si="81"/>
        <v>119.22264457203272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63.465391278018167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-5.6843418860808015E-14</v>
      </c>
      <c r="GV75" s="17">
        <f>GU75*VLOOKUP('Données projet'!$B$18,Paramètres!$A$1:$I$89,3,0)*VLOOKUP('Données projet'!$B$18,Paramètres!$A$1:$I$89,5,0)</f>
        <v>-3.0061073630349716E-14</v>
      </c>
      <c r="GW75" s="13" t="e">
        <f t="shared" si="105"/>
        <v>#NUM!</v>
      </c>
      <c r="GX75" s="20" t="e">
        <f t="shared" si="82"/>
        <v>#NUM!</v>
      </c>
      <c r="GY75" s="59" t="e">
        <f t="shared" si="83"/>
        <v>#NUM!</v>
      </c>
      <c r="GZ75" s="59">
        <f ca="1">AVERAGE(OFFSET($GY$3,0,0,'Données projet'!$E$18+1,1))-AVERAGE(OFFSET($H$3,0,0,'Données projet'!$E$18+1,1))</f>
        <v>212.75657290802619</v>
      </c>
      <c r="HA75" s="59">
        <f t="shared" si="106"/>
        <v>411.47446316045978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33.459361687128634</v>
      </c>
      <c r="HH75" s="21">
        <f>EXP(-LN(2)/25)*HH74+(1-EXP(-LN(2)/25))/(LN(2)/25)*Calculateur!HC75*Calculateur!HE75*VLOOKUP('Données projet'!$B$18,Paramètres!$A$1:$I$89,3,0)*0.475*44/12</f>
        <v>6.2143599962076923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39.673721683336325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4.60745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16.893983333333335</v>
      </c>
      <c r="H76" s="66">
        <f t="shared" si="56"/>
        <v>189.09073333333333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318.64</v>
      </c>
      <c r="O76" s="13">
        <f>N76*VLOOKUP('Données projet'!$B$9,Paramètres!$A$1:$I$89,3,0)*VLOOKUP('Données projet'!$B$9,Paramètres!$A$1:$I$89,5,0)</f>
        <v>288.30547200000001</v>
      </c>
      <c r="P76" s="13">
        <f t="shared" si="87"/>
        <v>68.719196733788849</v>
      </c>
      <c r="Q76" s="20">
        <f t="shared" si="54"/>
        <v>621.81796471134885</v>
      </c>
      <c r="R76" s="59">
        <f t="shared" si="55"/>
        <v>891.6067225218917</v>
      </c>
      <c r="S76" s="59">
        <f ca="1">AVERAGE(OFFSET($R$3,0,0,'Données projet'!$E$9+1,1))-AVERAGE(OFFSET($H$3,0,0,'Données projet'!$E$9+1,1))</f>
        <v>564.49981446852132</v>
      </c>
      <c r="T76" s="59">
        <f t="shared" si="88"/>
        <v>297.54722913785406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11.009999999999998</v>
      </c>
      <c r="AI76" s="13">
        <f>IF('Données projet'!$A$62&gt;35,AI75+AH76-AQ75,IF(A76&lt;'Données projet'!$A$62,$AF$205^A76,IF(A76='Données projet'!$A$62,'Données projet'!$B$62,AI75+AH76-AQ75)))</f>
        <v>318.63999999999993</v>
      </c>
      <c r="AJ76" s="13">
        <f>AI76*VLOOKUP('Données projet'!$B$10,Paramètres!$A$1:$I$89,3,0)*VLOOKUP('Données projet'!$B$10,Paramètres!$A$1:$I$89,5,0)</f>
        <v>323.10095999999993</v>
      </c>
      <c r="AK76" s="13">
        <f t="shared" si="89"/>
        <v>75.998206110294873</v>
      </c>
      <c r="AL76" s="20">
        <f t="shared" si="58"/>
        <v>695.09771430876344</v>
      </c>
      <c r="AM76" s="59">
        <f t="shared" si="59"/>
        <v>964.88647211930629</v>
      </c>
      <c r="AN76" s="59">
        <f ca="1">AVERAGE(OFFSET($AM$3,0,0,'Données projet'!$E$10+1,1))-AVERAGE(OFFSET($H$3,0,0,'Données projet'!$E$10+1,1))</f>
        <v>623.16549611107564</v>
      </c>
      <c r="AO76" s="59">
        <f t="shared" si="90"/>
        <v>326.15178903425885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111.09627416540238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111.09627416540238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213.50783999999987</v>
      </c>
      <c r="BF76" s="13">
        <f t="shared" si="91"/>
        <v>52.701396365805124</v>
      </c>
      <c r="BG76" s="20">
        <f t="shared" si="61"/>
        <v>463.64775333711032</v>
      </c>
      <c r="BH76" s="59">
        <f t="shared" si="62"/>
        <v>733.43651114765316</v>
      </c>
      <c r="BI76" s="59">
        <f ca="1">AVERAGE(OFFSET($BH$3,0,0,'Données projet'!$E$11+1,1))-AVERAGE(OFFSET($H$3,0,0,'Données projet'!$E$11+1,1))</f>
        <v>326.2912419133811</v>
      </c>
      <c r="BJ76" s="59">
        <f t="shared" si="92"/>
        <v>315.07976787459938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41.997540443887758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41.997540443887758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4.4000000000000004</v>
      </c>
      <c r="BY76" s="12">
        <f>IF('Données projet'!$A$114&gt;35,BY75+BX76-CG75,IF(A76&lt;'Données projet'!$A$114,$BV$205^A76,IF(A76='Données projet'!$A$114,'Données projet'!$B$114,BY75+BX76-CG75)))</f>
        <v>232.20000000000002</v>
      </c>
      <c r="BZ76" s="13">
        <f>BY76*VLOOKUP('Données projet'!$B$12,Paramètres!$A$1:$I$89,3,0)*VLOOKUP('Données projet'!$B$12,Paramètres!$A$1:$I$89,5,0)</f>
        <v>148.51512</v>
      </c>
      <c r="CA76" s="13">
        <f t="shared" si="93"/>
        <v>38.240946179656547</v>
      </c>
      <c r="CB76" s="20">
        <f t="shared" si="64"/>
        <v>325.26681526290184</v>
      </c>
      <c r="CC76" s="59">
        <f t="shared" si="65"/>
        <v>595.05557307344475</v>
      </c>
      <c r="CD76" s="59">
        <f ca="1">AVERAGE(OFFSET($CC$3,0,0,'Données projet'!$E$12+1,1))-AVERAGE(OFFSET($H$3,0,0,'Données projet'!$E$12+1,1))</f>
        <v>297.03992602744393</v>
      </c>
      <c r="CE76" s="59">
        <f t="shared" si="94"/>
        <v>265.2588848922893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37.483563237675732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37.483563237675732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365.39999999999969</v>
      </c>
      <c r="CU76" s="17">
        <f>CT76*VLOOKUP('Données projet'!$B$13,Paramètres!$A$1:$I$89,3,0)*VLOOKUP('Données projet'!$B$13,Paramètres!$A$1:$I$89,5,0)</f>
        <v>290.71223999999978</v>
      </c>
      <c r="CV76" s="13">
        <f t="shared" si="95"/>
        <v>69.225842856510994</v>
      </c>
      <c r="CW76" s="20">
        <f t="shared" si="67"/>
        <v>626.89216097508961</v>
      </c>
      <c r="CX76" s="59">
        <f t="shared" si="68"/>
        <v>896.68091878563246</v>
      </c>
      <c r="CY76" s="59">
        <f ca="1">AVERAGE(OFFSET($CX$3,0,0,'Données projet'!$E$13+1,1))-AVERAGE(OFFSET($H$3,0,0,'Données projet'!$E$13+1,1))</f>
        <v>427.42918901489531</v>
      </c>
      <c r="CZ76" s="59">
        <f t="shared" si="96"/>
        <v>410.68601510655412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57.04678938756696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57.04678938756696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11.009999999999998</v>
      </c>
      <c r="DO76" s="12">
        <f>IF('Données projet'!$A$166&gt;35,DO75+DN76-DW75,IF(A76&lt;'Données projet'!$A$166,$DL$205^A76,IF(A76='Données projet'!$A$166,'Données projet'!$B$166,DO75+DN76-DW75)))</f>
        <v>318.63999999999993</v>
      </c>
      <c r="DP76" s="17">
        <f>DO76*VLOOKUP('Données projet'!$B$14,Paramètres!$A$1:$I$89,3,0)*VLOOKUP('Données projet'!$B$14,Paramètres!$A$1:$I$89,5,0)</f>
        <v>308.18860799999993</v>
      </c>
      <c r="DQ76" s="13">
        <f t="shared" si="97"/>
        <v>72.890410499251857</v>
      </c>
      <c r="DR76" s="20">
        <f t="shared" si="70"/>
        <v>663.71262388619687</v>
      </c>
      <c r="DS76" s="59">
        <f t="shared" si="71"/>
        <v>933.50138169673983</v>
      </c>
      <c r="DT76" s="59">
        <f ca="1">AVERAGE(OFFSET($DS$3,0,0,'Données projet'!$E$14+1,1))-AVERAGE(OFFSET($H$3,0,0,'Données projet'!$E$14+1,1))</f>
        <v>598.03945725240396</v>
      </c>
      <c r="DU76" s="59">
        <f t="shared" si="98"/>
        <v>313.9014686755695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105.9687538193069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105.9687538193069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11.009999999999998</v>
      </c>
      <c r="EJ76" s="12">
        <f>IF('Données projet'!$A$192&gt;35,EJ75+EI76-ER75,IF(A76&lt;'Données projet'!$A$192,$EG$205^A76,IF(A76='Données projet'!$A$192,'Données projet'!$B$192,EJ75+EI76-ER75)))</f>
        <v>318.64</v>
      </c>
      <c r="EK76" s="17">
        <f>EJ76*VLOOKUP('Données projet'!$B$15,Paramètres!$A$1:$I$89,3,0)*VLOOKUP('Données projet'!$B$15,Paramètres!$A$1:$I$89,5,0)</f>
        <v>213.74371199999999</v>
      </c>
      <c r="EL76" s="13">
        <f t="shared" si="99"/>
        <v>52.752837730225693</v>
      </c>
      <c r="EM76" s="20">
        <f t="shared" si="73"/>
        <v>464.14815744680965</v>
      </c>
      <c r="EN76" s="59">
        <f t="shared" si="74"/>
        <v>733.93691525735255</v>
      </c>
      <c r="EO76" s="59">
        <f ca="1">AVERAGE(OFFSET($EN$3,0,0,'Données projet'!$E$15+1,1))-AVERAGE(OFFSET($H$3,0,0,'Données projet'!$E$15+1,1))</f>
        <v>438.27475674276604</v>
      </c>
      <c r="EP76" s="59">
        <f t="shared" si="100"/>
        <v>235.97720136798864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90.586192781020415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90.586192781020415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15.211111111111116</v>
      </c>
      <c r="FE76" s="12">
        <f>IF('Données projet'!$A$218&gt;35,FE75+FD76-FM75,IF(A76&lt;'Données projet'!$A$218,$FB$205^A76,IF(A76='Données projet'!$A$218,'Données projet'!$B$218,FE75+FD76-FM75)))</f>
        <v>458.94777777777716</v>
      </c>
      <c r="FF76" s="17">
        <f>FE76*VLOOKUP('Données projet'!$B$16,Paramètres!$A$1:$I$89,3,0)*VLOOKUP('Données projet'!$B$16,Paramètres!$A$1:$I$89,5,0)</f>
        <v>214.78755999999973</v>
      </c>
      <c r="FG76" s="13">
        <f t="shared" si="101"/>
        <v>52.980411507236902</v>
      </c>
      <c r="FH76" s="20">
        <f t="shared" si="76"/>
        <v>466.36255037510381</v>
      </c>
      <c r="FI76" s="59">
        <f t="shared" si="77"/>
        <v>736.15130818564671</v>
      </c>
      <c r="FJ76" s="59">
        <f ca="1">AVERAGE(OFFSET($FI$3,0,0,'Données projet'!$E$16+1,1))-AVERAGE(OFFSET($H$3,0,0,'Données projet'!$E$16+1,1))</f>
        <v>329.49463758169588</v>
      </c>
      <c r="FK76" s="59">
        <f t="shared" si="102"/>
        <v>207.1447698203379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90.779331907574175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90.779331907574175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13.6</v>
      </c>
      <c r="FZ76" s="12">
        <f>IF('Données projet'!$A$244&gt;35,FZ75+FY76-GH75,IF(A76&lt;'Données projet'!$A$244,$FW$205^A76,IF(A76='Données projet'!$A$244,'Données projet'!$B$244,FZ75+FY76-GH75)))</f>
        <v>739.8000000000003</v>
      </c>
      <c r="GA76" s="17">
        <f>FZ76*VLOOKUP('Données projet'!$B$17,Paramètres!$A$1:$I$89,3,0)*VLOOKUP('Données projet'!$B$17,Paramètres!$A$1:$I$89,5,0)</f>
        <v>442.40040000000022</v>
      </c>
      <c r="GB76" s="13">
        <f t="shared" si="103"/>
        <v>100.32164628817654</v>
      </c>
      <c r="GC76" s="20">
        <f t="shared" si="79"/>
        <v>945.2408972852412</v>
      </c>
      <c r="GD76" s="59">
        <f t="shared" si="80"/>
        <v>1215.0296550957842</v>
      </c>
      <c r="GE76" s="59">
        <f ca="1">AVERAGE(OFFSET($GD$3,0,0,'Données projet'!$E$17+1,1))-AVERAGE(OFFSET($H$3,0,0,'Données projet'!$E$17+1,1))</f>
        <v>577.07444926285291</v>
      </c>
      <c r="GF76" s="59">
        <f t="shared" si="104"/>
        <v>501.3762209070419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96.868248948529597</v>
      </c>
      <c r="GM76" s="21">
        <f>EXP(-LN(2)/25)*GM75+(1-EXP(-LN(2)/25))/(LN(2)/25)*Calculateur!GH76*Calculateur!GJ76*VLOOKUP('Données projet'!$B$17,Paramètres!$A$1:$I$89,3,0)*0.475*44/12</f>
        <v>19.858574192772643</v>
      </c>
      <c r="GN76" s="21">
        <f>EXP(-LN(2)/2)*GN75+(1-EXP(-LN(2)/2))/(LN(2)/2)*GH76*GK76*VLOOKUP('Données projet'!$B$17,Paramètres!$A$1:$I$89,3,0)*0.475*44/12</f>
        <v>2.6484156385692542E-8</v>
      </c>
      <c r="GO76" s="21">
        <f t="shared" si="81"/>
        <v>116.72682316778641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63.578752130148068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-5.6843418860808015E-14</v>
      </c>
      <c r="GV76" s="17">
        <f>GU76*VLOOKUP('Données projet'!$B$18,Paramètres!$A$1:$I$89,3,0)*VLOOKUP('Données projet'!$B$18,Paramètres!$A$1:$I$89,5,0)</f>
        <v>-3.0061073630349716E-14</v>
      </c>
      <c r="GW76" s="13" t="e">
        <f t="shared" si="105"/>
        <v>#NUM!</v>
      </c>
      <c r="GX76" s="20" t="e">
        <f t="shared" si="82"/>
        <v>#NUM!</v>
      </c>
      <c r="GY76" s="59" t="e">
        <f t="shared" si="83"/>
        <v>#NUM!</v>
      </c>
      <c r="GZ76" s="59">
        <f ca="1">AVERAGE(OFFSET($GY$3,0,0,'Données projet'!$E$18+1,1))-AVERAGE(OFFSET($H$3,0,0,'Données projet'!$E$18+1,1))</f>
        <v>212.75657290802619</v>
      </c>
      <c r="HA76" s="59">
        <f t="shared" si="106"/>
        <v>411.47446316045978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32.803244012639531</v>
      </c>
      <c r="HH76" s="21">
        <f>EXP(-LN(2)/25)*HH75+(1-EXP(-LN(2)/25))/(LN(2)/25)*Calculateur!HC76*Calculateur!HE76*VLOOKUP('Données projet'!$B$18,Paramètres!$A$1:$I$89,3,0)*0.475*44/12</f>
        <v>6.0444279953124038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38.847672007951935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4.60745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16.893983333333335</v>
      </c>
      <c r="H77" s="66">
        <f t="shared" si="56"/>
        <v>189.09073333333333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329.65</v>
      </c>
      <c r="O77" s="13">
        <f>N77*VLOOKUP('Données projet'!$B$9,Paramètres!$A$1:$I$89,3,0)*VLOOKUP('Données projet'!$B$9,Paramètres!$A$1:$I$89,5,0)</f>
        <v>298.26731999999998</v>
      </c>
      <c r="P77" s="13">
        <f t="shared" si="87"/>
        <v>70.813104833271197</v>
      </c>
      <c r="Q77" s="20">
        <f t="shared" si="54"/>
        <v>642.81507325128075</v>
      </c>
      <c r="R77" s="59">
        <f t="shared" si="55"/>
        <v>913.01227680935881</v>
      </c>
      <c r="S77" s="59">
        <f ca="1">AVERAGE(OFFSET($R$3,0,0,'Données projet'!$E$9+1,1))-AVERAGE(OFFSET($H$3,0,0,'Données projet'!$E$9+1,1))</f>
        <v>564.49981446852132</v>
      </c>
      <c r="T77" s="59">
        <f t="shared" si="88"/>
        <v>297.54722913785406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11.009999999999998</v>
      </c>
      <c r="AI77" s="13">
        <f>IF('Données projet'!$A$62&gt;35,AI76+AH77-AQ76,IF(A77&lt;'Données projet'!$A$62,$AF$205^A77,IF(A77='Données projet'!$A$62,'Données projet'!$B$62,AI76+AH77-AQ76)))</f>
        <v>329.64999999999992</v>
      </c>
      <c r="AJ77" s="13">
        <f>AI77*VLOOKUP('Données projet'!$B$10,Paramètres!$A$1:$I$89,3,0)*VLOOKUP('Données projet'!$B$10,Paramètres!$A$1:$I$89,5,0)</f>
        <v>334.26509999999996</v>
      </c>
      <c r="AK77" s="13">
        <f t="shared" si="89"/>
        <v>78.313909245431049</v>
      </c>
      <c r="AL77" s="20">
        <f t="shared" si="58"/>
        <v>718.57510776912568</v>
      </c>
      <c r="AM77" s="59">
        <f t="shared" si="59"/>
        <v>988.77231132720385</v>
      </c>
      <c r="AN77" s="59">
        <f ca="1">AVERAGE(OFFSET($AM$3,0,0,'Données projet'!$E$10+1,1))-AVERAGE(OFFSET($H$3,0,0,'Données projet'!$E$10+1,1))</f>
        <v>623.16549611107564</v>
      </c>
      <c r="AO77" s="59">
        <f t="shared" si="90"/>
        <v>326.15178903425885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108.91774399105513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108.91774399105513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216.26591999999982</v>
      </c>
      <c r="BF77" s="13">
        <f t="shared" si="91"/>
        <v>53.302495062173776</v>
      </c>
      <c r="BG77" s="20">
        <f t="shared" si="61"/>
        <v>469.49832289995226</v>
      </c>
      <c r="BH77" s="59">
        <f t="shared" si="62"/>
        <v>739.69552645803037</v>
      </c>
      <c r="BI77" s="59">
        <f ca="1">AVERAGE(OFFSET($BH$3,0,0,'Données projet'!$E$11+1,1))-AVERAGE(OFFSET($H$3,0,0,'Données projet'!$E$11+1,1))</f>
        <v>326.2912419133811</v>
      </c>
      <c r="BJ77" s="59">
        <f t="shared" si="92"/>
        <v>315.07976787459938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41.173994291753424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41.173994291753424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4.4000000000000004</v>
      </c>
      <c r="BY77" s="12">
        <f>IF('Données projet'!$A$114&gt;35,BY76+BX77-CG76,IF(A77&lt;'Données projet'!$A$114,$BV$205^A77,IF(A77='Données projet'!$A$114,'Données projet'!$B$114,BY76+BX77-CG76)))</f>
        <v>236.60000000000002</v>
      </c>
      <c r="BZ77" s="13">
        <f>BY77*VLOOKUP('Données projet'!$B$12,Paramètres!$A$1:$I$89,3,0)*VLOOKUP('Données projet'!$B$12,Paramètres!$A$1:$I$89,5,0)</f>
        <v>151.32936000000001</v>
      </c>
      <c r="CA77" s="13">
        <f t="shared" si="93"/>
        <v>38.880532140972903</v>
      </c>
      <c r="CB77" s="20">
        <f t="shared" si="64"/>
        <v>331.28222881219443</v>
      </c>
      <c r="CC77" s="59">
        <f t="shared" si="65"/>
        <v>601.47943237027255</v>
      </c>
      <c r="CD77" s="59">
        <f ca="1">AVERAGE(OFFSET($CC$3,0,0,'Données projet'!$E$12+1,1))-AVERAGE(OFFSET($H$3,0,0,'Données projet'!$E$12+1,1))</f>
        <v>297.03992602744393</v>
      </c>
      <c r="CE77" s="59">
        <f t="shared" si="94"/>
        <v>265.2588848922893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36.748533425300977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36.748533425300977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370.1999999999997</v>
      </c>
      <c r="CU77" s="17">
        <f>CT77*VLOOKUP('Données projet'!$B$13,Paramètres!$A$1:$I$89,3,0)*VLOOKUP('Données projet'!$B$13,Paramètres!$A$1:$I$89,5,0)</f>
        <v>294.53111999999976</v>
      </c>
      <c r="CV77" s="13">
        <f t="shared" si="95"/>
        <v>70.028751453157682</v>
      </c>
      <c r="CW77" s="20">
        <f t="shared" si="67"/>
        <v>634.94177611424914</v>
      </c>
      <c r="CX77" s="59">
        <f t="shared" si="68"/>
        <v>905.1389796723272</v>
      </c>
      <c r="CY77" s="59">
        <f ca="1">AVERAGE(OFFSET($CX$3,0,0,'Données projet'!$E$13+1,1))-AVERAGE(OFFSET($H$3,0,0,'Données projet'!$E$13+1,1))</f>
        <v>427.42918901489531</v>
      </c>
      <c r="CZ77" s="59">
        <f t="shared" si="96"/>
        <v>410.68601510655412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55.928136642782569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55.928136642782569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11.009999999999998</v>
      </c>
      <c r="DO77" s="12">
        <f>IF('Données projet'!$A$166&gt;35,DO76+DN77-DW76,IF(A77&lt;'Données projet'!$A$166,$DL$205^A77,IF(A77='Données projet'!$A$166,'Données projet'!$B$166,DO76+DN77-DW76)))</f>
        <v>329.64999999999992</v>
      </c>
      <c r="DP77" s="17">
        <f>DO77*VLOOKUP('Données projet'!$B$14,Paramètres!$A$1:$I$89,3,0)*VLOOKUP('Données projet'!$B$14,Paramètres!$A$1:$I$89,5,0)</f>
        <v>318.83747999999991</v>
      </c>
      <c r="DQ77" s="13">
        <f t="shared" si="97"/>
        <v>75.111417556569961</v>
      </c>
      <c r="DR77" s="20">
        <f t="shared" si="70"/>
        <v>686.12766324435916</v>
      </c>
      <c r="DS77" s="59">
        <f t="shared" si="71"/>
        <v>956.32486680243733</v>
      </c>
      <c r="DT77" s="59">
        <f ca="1">AVERAGE(OFFSET($DS$3,0,0,'Données projet'!$E$14+1,1))-AVERAGE(OFFSET($H$3,0,0,'Données projet'!$E$14+1,1))</f>
        <v>598.03945725240396</v>
      </c>
      <c r="DU77" s="59">
        <f t="shared" si="98"/>
        <v>313.9014686755695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103.89077119146799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103.89077119146799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11.009999999999998</v>
      </c>
      <c r="EJ77" s="12">
        <f>IF('Données projet'!$A$192&gt;35,EJ76+EI77-ER76,IF(A77&lt;'Données projet'!$A$192,$EG$205^A77,IF(A77='Données projet'!$A$192,'Données projet'!$B$192,EJ76+EI77-ER76)))</f>
        <v>329.65</v>
      </c>
      <c r="EK77" s="17">
        <f>EJ77*VLOOKUP('Données projet'!$B$15,Paramètres!$A$1:$I$89,3,0)*VLOOKUP('Données projet'!$B$15,Paramètres!$A$1:$I$89,5,0)</f>
        <v>221.12921999999998</v>
      </c>
      <c r="EL77" s="13">
        <f t="shared" si="99"/>
        <v>54.360242930579048</v>
      </c>
      <c r="EM77" s="20">
        <f t="shared" si="73"/>
        <v>479.81081460409172</v>
      </c>
      <c r="EN77" s="59">
        <f t="shared" si="74"/>
        <v>750.00801816216983</v>
      </c>
      <c r="EO77" s="59">
        <f ca="1">AVERAGE(OFFSET($EN$3,0,0,'Données projet'!$E$15+1,1))-AVERAGE(OFFSET($H$3,0,0,'Données projet'!$E$15+1,1))</f>
        <v>438.27475674276604</v>
      </c>
      <c r="EP77" s="59">
        <f t="shared" si="100"/>
        <v>235.97720136798864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88.809852792706508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88.809852792706508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15.211111111111116</v>
      </c>
      <c r="FE77" s="12">
        <f>IF('Données projet'!$A$218&gt;35,FE76+FD77-FM76,IF(A77&lt;'Données projet'!$A$218,$FB$205^A77,IF(A77='Données projet'!$A$218,'Données projet'!$B$218,FE76+FD77-FM76)))</f>
        <v>474.15888888888827</v>
      </c>
      <c r="FF77" s="17">
        <f>FE77*VLOOKUP('Données projet'!$B$16,Paramètres!$A$1:$I$89,3,0)*VLOOKUP('Données projet'!$B$16,Paramètres!$A$1:$I$89,5,0)</f>
        <v>221.90635999999972</v>
      </c>
      <c r="FG77" s="13">
        <f t="shared" si="101"/>
        <v>54.529015359947387</v>
      </c>
      <c r="FH77" s="20">
        <f t="shared" si="76"/>
        <v>481.45827875190781</v>
      </c>
      <c r="FI77" s="59">
        <f t="shared" si="77"/>
        <v>751.65548230998593</v>
      </c>
      <c r="FJ77" s="59">
        <f ca="1">AVERAGE(OFFSET($FI$3,0,0,'Données projet'!$E$16+1,1))-AVERAGE(OFFSET($H$3,0,0,'Données projet'!$E$16+1,1))</f>
        <v>329.49463758169588</v>
      </c>
      <c r="FK77" s="59">
        <f t="shared" si="102"/>
        <v>207.1447698203379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88.999204578791776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88.999204578791776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13.6</v>
      </c>
      <c r="FZ77" s="12">
        <f>IF('Données projet'!$A$244&gt;35,FZ76+FY77-GH76,IF(A77&lt;'Données projet'!$A$244,$FW$205^A77,IF(A77='Données projet'!$A$244,'Données projet'!$B$244,FZ76+FY77-GH76)))</f>
        <v>753.40000000000032</v>
      </c>
      <c r="GA77" s="17">
        <f>FZ77*VLOOKUP('Données projet'!$B$17,Paramètres!$A$1:$I$89,3,0)*VLOOKUP('Données projet'!$B$17,Paramètres!$A$1:$I$89,5,0)</f>
        <v>450.53320000000019</v>
      </c>
      <c r="GB77" s="13">
        <f t="shared" si="103"/>
        <v>101.94949179597376</v>
      </c>
      <c r="GC77" s="20">
        <f t="shared" si="79"/>
        <v>962.24068821132141</v>
      </c>
      <c r="GD77" s="59">
        <f t="shared" si="80"/>
        <v>1232.4378917693996</v>
      </c>
      <c r="GE77" s="59">
        <f ca="1">AVERAGE(OFFSET($GD$3,0,0,'Données projet'!$E$17+1,1))-AVERAGE(OFFSET($H$3,0,0,'Données projet'!$E$17+1,1))</f>
        <v>577.07444926285291</v>
      </c>
      <c r="GF77" s="59">
        <f t="shared" si="104"/>
        <v>501.3762209070419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94.968721670446755</v>
      </c>
      <c r="GM77" s="21">
        <f>EXP(-LN(2)/25)*GM76+(1-EXP(-LN(2)/25))/(LN(2)/25)*Calculateur!GH77*Calculateur!GJ77*VLOOKUP('Données projet'!$B$17,Paramètres!$A$1:$I$89,3,0)*0.475*44/12</f>
        <v>19.315540437154247</v>
      </c>
      <c r="GN77" s="21">
        <f>EXP(-LN(2)/2)*GN76+(1-EXP(-LN(2)/2))/(LN(2)/2)*GH77*GK77*VLOOKUP('Données projet'!$B$17,Paramètres!$A$1:$I$89,3,0)*0.475*44/12</f>
        <v>1.8727126574328202E-8</v>
      </c>
      <c r="GO77" s="21">
        <f t="shared" si="81"/>
        <v>114.28426212632812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63.690146424930404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-5.6843418860808015E-14</v>
      </c>
      <c r="GV77" s="17">
        <f>GU77*VLOOKUP('Données projet'!$B$18,Paramètres!$A$1:$I$89,3,0)*VLOOKUP('Données projet'!$B$18,Paramètres!$A$1:$I$89,5,0)</f>
        <v>-3.0061073630349716E-14</v>
      </c>
      <c r="GW77" s="13" t="e">
        <f t="shared" si="105"/>
        <v>#NUM!</v>
      </c>
      <c r="GX77" s="20" t="e">
        <f t="shared" si="82"/>
        <v>#NUM!</v>
      </c>
      <c r="GY77" s="59" t="e">
        <f t="shared" si="83"/>
        <v>#NUM!</v>
      </c>
      <c r="GZ77" s="59">
        <f ca="1">AVERAGE(OFFSET($GY$3,0,0,'Données projet'!$E$18+1,1))-AVERAGE(OFFSET($H$3,0,0,'Données projet'!$E$18+1,1))</f>
        <v>212.75657290802619</v>
      </c>
      <c r="HA77" s="59">
        <f t="shared" si="106"/>
        <v>411.47446316045978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32.159992405554888</v>
      </c>
      <c r="HH77" s="21">
        <f>EXP(-LN(2)/25)*HH76+(1-EXP(-LN(2)/25))/(LN(2)/25)*Calculateur!HC77*Calculateur!HE77*VLOOKUP('Données projet'!$B$18,Paramètres!$A$1:$I$89,3,0)*0.475*44/12</f>
        <v>5.8791427939179322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38.039135199472824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4.60745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16.893983333333335</v>
      </c>
      <c r="H78" s="66">
        <f t="shared" si="56"/>
        <v>189.09073333333333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340.65999999999997</v>
      </c>
      <c r="O78" s="13">
        <f>N78*VLOOKUP('Données projet'!$B$9,Paramètres!$A$1:$I$89,3,0)*VLOOKUP('Données projet'!$B$9,Paramètres!$A$1:$I$89,5,0)</f>
        <v>308.22916799999996</v>
      </c>
      <c r="P78" s="13">
        <f t="shared" si="87"/>
        <v>72.898886756758046</v>
      </c>
      <c r="Q78" s="20">
        <f t="shared" si="54"/>
        <v>663.79802870135347</v>
      </c>
      <c r="R78" s="59">
        <f t="shared" si="55"/>
        <v>934.39659238639501</v>
      </c>
      <c r="S78" s="59">
        <f ca="1">AVERAGE(OFFSET($R$3,0,0,'Données projet'!$E$9+1,1))-AVERAGE(OFFSET($H$3,0,0,'Données projet'!$E$9+1,1))</f>
        <v>564.49981446852132</v>
      </c>
      <c r="T78" s="59">
        <f t="shared" si="88"/>
        <v>297.54722913785406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11.009999999999998</v>
      </c>
      <c r="AI78" s="13">
        <f>IF('Données projet'!$A$62&gt;35,AI77+AH78-AQ77,IF(A78&lt;'Données projet'!$A$62,$AF$205^A78,IF(A78='Données projet'!$A$62,'Données projet'!$B$62,AI77+AH78-AQ77)))</f>
        <v>340.65999999999991</v>
      </c>
      <c r="AJ78" s="13">
        <f>AI78*VLOOKUP('Données projet'!$B$10,Paramètres!$A$1:$I$89,3,0)*VLOOKUP('Données projet'!$B$10,Paramètres!$A$1:$I$89,5,0)</f>
        <v>345.42923999999994</v>
      </c>
      <c r="AK78" s="13">
        <f t="shared" si="89"/>
        <v>80.620625447838862</v>
      </c>
      <c r="AL78" s="20">
        <f t="shared" si="58"/>
        <v>742.03684898831909</v>
      </c>
      <c r="AM78" s="59">
        <f t="shared" si="59"/>
        <v>1012.6354126733606</v>
      </c>
      <c r="AN78" s="59">
        <f ca="1">AVERAGE(OFFSET($AM$3,0,0,'Données projet'!$E$10+1,1))-AVERAGE(OFFSET($H$3,0,0,'Données projet'!$E$10+1,1))</f>
        <v>623.16549611107564</v>
      </c>
      <c r="AO78" s="59">
        <f t="shared" si="90"/>
        <v>326.15178903425885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106.78193346465464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106.78193346465464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219.02399999999983</v>
      </c>
      <c r="BF78" s="13">
        <f t="shared" si="91"/>
        <v>53.902702081308306</v>
      </c>
      <c r="BG78" s="20">
        <f t="shared" si="61"/>
        <v>475.34733945827821</v>
      </c>
      <c r="BH78" s="59">
        <f t="shared" si="62"/>
        <v>745.94590314331981</v>
      </c>
      <c r="BI78" s="59">
        <f ca="1">AVERAGE(OFFSET($BH$3,0,0,'Données projet'!$E$11+1,1))-AVERAGE(OFFSET($H$3,0,0,'Données projet'!$E$11+1,1))</f>
        <v>326.2912419133811</v>
      </c>
      <c r="BJ78" s="59">
        <f t="shared" si="92"/>
        <v>315.07976787459938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44.644130995202794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44.644130995202794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241</v>
      </c>
      <c r="BW78" s="12">
        <f>VLOOKUP(A78,'Données projet'!$A$113:$I$133,9,0)</f>
        <v>4.4000000000000004</v>
      </c>
      <c r="BX78" s="12">
        <f t="array" ref="BX78">INDEX(BW:BW,MIN(IF(ISNUMBER(BW78:BW274),ROW(BW78:BW274),"")))</f>
        <v>4.4000000000000004</v>
      </c>
      <c r="BY78" s="12">
        <f>IF('Données projet'!$A$114&gt;35,BY77+BX78-CG77,IF(A78&lt;'Données projet'!$A$114,$BV$205^A78,IF(A78='Données projet'!$A$114,'Données projet'!$B$114,BY77+BX78-CG77)))</f>
        <v>241.00000000000003</v>
      </c>
      <c r="BZ78" s="13">
        <f>BY78*VLOOKUP('Données projet'!$B$12,Paramètres!$A$1:$I$89,3,0)*VLOOKUP('Données projet'!$B$12,Paramètres!$A$1:$I$89,5,0)</f>
        <v>154.14360000000002</v>
      </c>
      <c r="CA78" s="13">
        <f t="shared" si="93"/>
        <v>39.518735025361231</v>
      </c>
      <c r="CB78" s="20">
        <f t="shared" si="64"/>
        <v>337.29523350250412</v>
      </c>
      <c r="CC78" s="59">
        <f t="shared" si="65"/>
        <v>607.89379718754572</v>
      </c>
      <c r="CD78" s="59">
        <f ca="1">AVERAGE(OFFSET($CC$3,0,0,'Données projet'!$E$12+1,1))-AVERAGE(OFFSET($H$3,0,0,'Données projet'!$E$12+1,1))</f>
        <v>297.03992602744393</v>
      </c>
      <c r="CE78" s="59">
        <f t="shared" si="94"/>
        <v>265.2588848922893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16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40.892482019897983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40.892482019897983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374.99999999999972</v>
      </c>
      <c r="CU78" s="17">
        <f>CT78*VLOOKUP('Données projet'!$B$13,Paramètres!$A$1:$I$89,3,0)*VLOOKUP('Données projet'!$B$13,Paramètres!$A$1:$I$89,5,0)</f>
        <v>298.3499999999998</v>
      </c>
      <c r="CV78" s="13">
        <f t="shared" si="95"/>
        <v>70.83044914753448</v>
      </c>
      <c r="CW78" s="20">
        <f t="shared" si="67"/>
        <v>642.98928226528881</v>
      </c>
      <c r="CX78" s="59">
        <f t="shared" si="68"/>
        <v>913.58784595033035</v>
      </c>
      <c r="CY78" s="59">
        <f ca="1">AVERAGE(OFFSET($CX$3,0,0,'Données projet'!$E$13+1,1))-AVERAGE(OFFSET($H$3,0,0,'Données projet'!$E$13+1,1))</f>
        <v>427.42918901489531</v>
      </c>
      <c r="CZ78" s="59">
        <f t="shared" si="96"/>
        <v>410.68601510655412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61.357400771969196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61.357400771969196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11.009999999999998</v>
      </c>
      <c r="DO78" s="12">
        <f>IF('Données projet'!$A$166&gt;35,DO77+DN78-DW77,IF(A78&lt;'Données projet'!$A$166,$DL$205^A78,IF(A78='Données projet'!$A$166,'Données projet'!$B$166,DO77+DN78-DW77)))</f>
        <v>340.65999999999991</v>
      </c>
      <c r="DP78" s="17">
        <f>DO78*VLOOKUP('Données projet'!$B$14,Paramètres!$A$1:$I$89,3,0)*VLOOKUP('Données projet'!$B$14,Paramètres!$A$1:$I$89,5,0)</f>
        <v>329.48635199999995</v>
      </c>
      <c r="DQ78" s="13">
        <f t="shared" si="97"/>
        <v>77.323805183914374</v>
      </c>
      <c r="DR78" s="20">
        <f t="shared" si="70"/>
        <v>708.52769042865077</v>
      </c>
      <c r="DS78" s="59">
        <f t="shared" si="71"/>
        <v>979.12625411369231</v>
      </c>
      <c r="DT78" s="59">
        <f ca="1">AVERAGE(OFFSET($DS$3,0,0,'Données projet'!$E$14+1,1))-AVERAGE(OFFSET($H$3,0,0,'Données projet'!$E$14+1,1))</f>
        <v>598.03945725240396</v>
      </c>
      <c r="DU78" s="59">
        <f t="shared" si="98"/>
        <v>313.9014686755695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101.85353653551675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101.85353653551675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11.009999999999998</v>
      </c>
      <c r="EJ78" s="12">
        <f>IF('Données projet'!$A$192&gt;35,EJ77+EI78-ER77,IF(A78&lt;'Données projet'!$A$192,$EG$205^A78,IF(A78='Données projet'!$A$192,'Données projet'!$B$192,EJ77+EI78-ER77)))</f>
        <v>340.65999999999997</v>
      </c>
      <c r="EK78" s="17">
        <f>EJ78*VLOOKUP('Données projet'!$B$15,Paramètres!$A$1:$I$89,3,0)*VLOOKUP('Données projet'!$B$15,Paramètres!$A$1:$I$89,5,0)</f>
        <v>228.51472799999996</v>
      </c>
      <c r="EL78" s="13">
        <f t="shared" si="99"/>
        <v>55.961410007321639</v>
      </c>
      <c r="EM78" s="20">
        <f t="shared" si="73"/>
        <v>495.46260702941845</v>
      </c>
      <c r="EN78" s="59">
        <f t="shared" si="74"/>
        <v>766.0611707144601</v>
      </c>
      <c r="EO78" s="59">
        <f ca="1">AVERAGE(OFFSET($EN$3,0,0,'Données projet'!$E$15+1,1))-AVERAGE(OFFSET($H$3,0,0,'Données projet'!$E$15+1,1))</f>
        <v>438.27475674276604</v>
      </c>
      <c r="EP78" s="59">
        <f t="shared" si="100"/>
        <v>235.97720136798864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87.068345748103027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87.068345748103027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489.37</v>
      </c>
      <c r="FC78" s="12">
        <f>VLOOKUP(A78,'Données projet'!$A$217:$I$237,9,0)</f>
        <v>15.211111111111116</v>
      </c>
      <c r="FD78" s="12">
        <f t="array" ref="FD78">INDEX(FC:FC,MIN(IF(ISNUMBER(FC78:FC274),ROW(FC78:FC274),"")))</f>
        <v>15.211111111111116</v>
      </c>
      <c r="FE78" s="12">
        <f>IF('Données projet'!$A$218&gt;35,FE77+FD78-FM77,IF(A78&lt;'Données projet'!$A$218,$FB$205^A78,IF(A78='Données projet'!$A$218,'Données projet'!$B$218,FE77+FD78-FM77)))</f>
        <v>489.36999999999938</v>
      </c>
      <c r="FF78" s="17">
        <f>FE78*VLOOKUP('Données projet'!$B$16,Paramètres!$A$1:$I$89,3,0)*VLOOKUP('Données projet'!$B$16,Paramètres!$A$1:$I$89,5,0)</f>
        <v>229.02515999999972</v>
      </c>
      <c r="FG78" s="13">
        <f t="shared" si="101"/>
        <v>56.071846253835936</v>
      </c>
      <c r="FH78" s="20">
        <f t="shared" si="76"/>
        <v>496.54395255876375</v>
      </c>
      <c r="FI78" s="59">
        <f t="shared" si="77"/>
        <v>767.1425162438054</v>
      </c>
      <c r="FJ78" s="59">
        <f ca="1">AVERAGE(OFFSET($FI$3,0,0,'Données projet'!$E$16+1,1))-AVERAGE(OFFSET($H$3,0,0,'Données projet'!$E$16+1,1))</f>
        <v>329.49463758169588</v>
      </c>
      <c r="FK78" s="59">
        <f t="shared" si="102"/>
        <v>207.1447698203379</v>
      </c>
      <c r="FL78" s="15">
        <f>IF(ISNA(VLOOKUP(A78,'Données projet'!$A$217:$I$237,3,0)),0,VLOOKUP(A78,'Données projet'!$A$217:$I$237,3,0))</f>
        <v>5</v>
      </c>
      <c r="FM78" s="15">
        <f>IF(ISNA(VLOOKUP(A78,'Données projet'!$A$217:$I$237,4,0)),0,VLOOKUP(A78,'Données projet'!$A$217:$I$237,4,0))</f>
        <v>87.99</v>
      </c>
      <c r="FN78" s="16">
        <f>IF(ISNA(VLOOKUP(A78,'Données projet'!$A$217:$I$237,5,0)),0%,VLOOKUP(A78,'Données projet'!$A$217:$I$237,5,0)*VLOOKUP('Données projet'!$B$16,Paramètres!$A$1:$I$89,7,0))</f>
        <v>0.55000000000000004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117.29884667730016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117.29884667730016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767</v>
      </c>
      <c r="FX78" s="12">
        <f>VLOOKUP(A78,'Données projet'!$A$243:$I$263,9,0)</f>
        <v>13.6</v>
      </c>
      <c r="FY78" s="12">
        <f t="array" ref="FY78">INDEX(FX:FX,MIN(IF(ISNUMBER(FX78:FX274),ROW(FX78:FX274),"")))</f>
        <v>13.6</v>
      </c>
      <c r="FZ78" s="12">
        <f>IF('Données projet'!$A$244&gt;35,FZ77+FY78-GH77,IF(A78&lt;'Données projet'!$A$244,$FW$205^A78,IF(A78='Données projet'!$A$244,'Données projet'!$B$244,FZ77+FY78-GH77)))</f>
        <v>767.00000000000034</v>
      </c>
      <c r="GA78" s="17">
        <f>FZ78*VLOOKUP('Données projet'!$B$17,Paramètres!$A$1:$I$89,3,0)*VLOOKUP('Données projet'!$B$17,Paramètres!$A$1:$I$89,5,0)</f>
        <v>458.66600000000022</v>
      </c>
      <c r="GB78" s="13">
        <f t="shared" si="103"/>
        <v>103.57392027838762</v>
      </c>
      <c r="GC78" s="20">
        <f t="shared" si="79"/>
        <v>979.23452781819208</v>
      </c>
      <c r="GD78" s="59">
        <f t="shared" si="80"/>
        <v>1249.8330915032336</v>
      </c>
      <c r="GE78" s="59">
        <f ca="1">AVERAGE(OFFSET($GD$3,0,0,'Données projet'!$E$17+1,1))-AVERAGE(OFFSET($H$3,0,0,'Données projet'!$E$17+1,1))</f>
        <v>577.07444926285291</v>
      </c>
      <c r="GF78" s="59">
        <f t="shared" si="104"/>
        <v>501.3762209070419</v>
      </c>
      <c r="GG78" s="15">
        <f>IF(ISNA(VLOOKUP(A78,'Données projet'!$A$243:$I$263,3,0)),0,VLOOKUP(A78,'Données projet'!$A$243:$I$263,3,0))</f>
        <v>13</v>
      </c>
      <c r="GH78" s="15">
        <f>IF(ISNA(VLOOKUP(A78,'Données projet'!$A$243:$I$263,4,0)),0,VLOOKUP(A78,'Données projet'!$A$243:$I$263,4,0))</f>
        <v>33</v>
      </c>
      <c r="GI78" s="16">
        <f>IF(ISNA(VLOOKUP(A78,'Données projet'!$A$243:$I$263,5,0)),0%,VLOOKUP(A78,'Données projet'!$A$243:$I$263,5,0)*VLOOKUP('Données projet'!$B$17,Paramètres!$A$1:$I$89,7,0))</f>
        <v>0.45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104.88673329732963</v>
      </c>
      <c r="GM78" s="21">
        <f>EXP(-LN(2)/25)*GM77+(1-EXP(-LN(2)/25))/(LN(2)/25)*Calculateur!GH78*Calculateur!GJ78*VLOOKUP('Données projet'!$B$17,Paramètres!$A$1:$I$89,3,0)*0.475*44/12</f>
        <v>18.78735596814014</v>
      </c>
      <c r="GN78" s="21">
        <f>EXP(-LN(2)/2)*GN77+(1-EXP(-LN(2)/2))/(LN(2)/2)*GH78*GK78*VLOOKUP('Données projet'!$B$17,Paramètres!$A$1:$I$89,3,0)*0.475*44/12</f>
        <v>1.3242078192846271E-8</v>
      </c>
      <c r="GO78" s="21">
        <f t="shared" si="81"/>
        <v>123.67408927871185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63.799608277738614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-5.6843418860808015E-14</v>
      </c>
      <c r="GV78" s="17">
        <f>GU78*VLOOKUP('Données projet'!$B$18,Paramètres!$A$1:$I$89,3,0)*VLOOKUP('Données projet'!$B$18,Paramètres!$A$1:$I$89,5,0)</f>
        <v>-3.0061073630349716E-14</v>
      </c>
      <c r="GW78" s="13" t="e">
        <f t="shared" si="105"/>
        <v>#NUM!</v>
      </c>
      <c r="GX78" s="20" t="e">
        <f t="shared" si="82"/>
        <v>#NUM!</v>
      </c>
      <c r="GY78" s="59" t="e">
        <f t="shared" si="83"/>
        <v>#NUM!</v>
      </c>
      <c r="GZ78" s="59">
        <f ca="1">AVERAGE(OFFSET($GY$3,0,0,'Données projet'!$E$18+1,1))-AVERAGE(OFFSET($H$3,0,0,'Données projet'!$E$18+1,1))</f>
        <v>212.75657290802619</v>
      </c>
      <c r="HA78" s="59">
        <f t="shared" si="106"/>
        <v>411.47446316045978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31.529354570140438</v>
      </c>
      <c r="HH78" s="21">
        <f>EXP(-LN(2)/25)*HH77+(1-EXP(-LN(2)/25))/(LN(2)/25)*Calculateur!HC78*Calculateur!HE78*VLOOKUP('Données projet'!$B$18,Paramètres!$A$1:$I$89,3,0)*0.475*44/12</f>
        <v>5.7183773250475634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37.247731895188004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4.60745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16.893983333333335</v>
      </c>
      <c r="H79" s="66">
        <f t="shared" si="56"/>
        <v>189.09073333333333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351.66999999999996</v>
      </c>
      <c r="O79" s="13">
        <f>N79*VLOOKUP('Données projet'!$B$9,Paramètres!$A$1:$I$89,3,0)*VLOOKUP('Données projet'!$B$9,Paramètres!$A$1:$I$89,5,0)</f>
        <v>318.19101599999993</v>
      </c>
      <c r="P79" s="13">
        <f t="shared" si="87"/>
        <v>74.976835262469947</v>
      </c>
      <c r="Q79" s="20">
        <f t="shared" si="54"/>
        <v>684.76734094880157</v>
      </c>
      <c r="R79" s="59">
        <f t="shared" si="55"/>
        <v>955.7603020599106</v>
      </c>
      <c r="S79" s="59">
        <f ca="1">AVERAGE(OFFSET($R$3,0,0,'Données projet'!$E$9+1,1))-AVERAGE(OFFSET($H$3,0,0,'Données projet'!$E$9+1,1))</f>
        <v>564.49981446852132</v>
      </c>
      <c r="T79" s="59">
        <f t="shared" si="88"/>
        <v>297.54722913785406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11.009999999999998</v>
      </c>
      <c r="AI79" s="13">
        <f>IF('Données projet'!$A$62&gt;35,AI78+AH79-AQ78,IF(A79&lt;'Données projet'!$A$62,$AF$205^A79,IF(A79='Données projet'!$A$62,'Données projet'!$B$62,AI78+AH79-AQ78)))</f>
        <v>351.6699999999999</v>
      </c>
      <c r="AJ79" s="13">
        <f>AI79*VLOOKUP('Données projet'!$B$10,Paramètres!$A$1:$I$89,3,0)*VLOOKUP('Données projet'!$B$10,Paramètres!$A$1:$I$89,5,0)</f>
        <v>356.59337999999991</v>
      </c>
      <c r="AK79" s="13">
        <f t="shared" si="89"/>
        <v>82.918678485848602</v>
      </c>
      <c r="AL79" s="20">
        <f t="shared" si="58"/>
        <v>765.48350186285279</v>
      </c>
      <c r="AM79" s="59">
        <f t="shared" si="59"/>
        <v>1036.4764629739618</v>
      </c>
      <c r="AN79" s="59">
        <f ca="1">AVERAGE(OFFSET($AM$3,0,0,'Données projet'!$E$10+1,1))-AVERAGE(OFFSET($H$3,0,0,'Données projet'!$E$10+1,1))</f>
        <v>623.16549611107564</v>
      </c>
      <c r="AO79" s="59">
        <f t="shared" si="90"/>
        <v>326.15178903425885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104.68800487996107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104.68800487996107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213.99455999999986</v>
      </c>
      <c r="BF79" s="13">
        <f t="shared" si="91"/>
        <v>52.807537963382018</v>
      </c>
      <c r="BG79" s="20">
        <f t="shared" si="61"/>
        <v>464.68032061955677</v>
      </c>
      <c r="BH79" s="59">
        <f t="shared" si="62"/>
        <v>735.67328173066574</v>
      </c>
      <c r="BI79" s="59">
        <f ca="1">AVERAGE(OFFSET($BH$3,0,0,'Données projet'!$E$11+1,1))-AVERAGE(OFFSET($H$3,0,0,'Données projet'!$E$11+1,1))</f>
        <v>326.2912419133811</v>
      </c>
      <c r="BJ79" s="59">
        <f t="shared" si="92"/>
        <v>315.07976787459938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43.768686816618015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43.768686816618015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229.00000000000003</v>
      </c>
      <c r="BZ79" s="13">
        <f>BY79*VLOOKUP('Données projet'!$B$12,Paramètres!$A$1:$I$89,3,0)*VLOOKUP('Données projet'!$B$12,Paramètres!$A$1:$I$89,5,0)</f>
        <v>146.4684</v>
      </c>
      <c r="CA79" s="13">
        <f t="shared" si="93"/>
        <v>37.774907362561549</v>
      </c>
      <c r="CB79" s="20">
        <f t="shared" si="64"/>
        <v>320.89042698979466</v>
      </c>
      <c r="CC79" s="59">
        <f t="shared" si="65"/>
        <v>591.88338810090363</v>
      </c>
      <c r="CD79" s="59">
        <f ca="1">AVERAGE(OFFSET($CC$3,0,0,'Données projet'!$E$12+1,1))-AVERAGE(OFFSET($H$3,0,0,'Données projet'!$E$12+1,1))</f>
        <v>297.03992602744393</v>
      </c>
      <c r="CE79" s="59">
        <f t="shared" si="94"/>
        <v>265.2588848922893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40.090605389439006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40.090605389439006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364.99999999999972</v>
      </c>
      <c r="CU79" s="17">
        <f>CT79*VLOOKUP('Données projet'!$B$13,Paramètres!$A$1:$I$89,3,0)*VLOOKUP('Données projet'!$B$13,Paramètres!$A$1:$I$89,5,0)</f>
        <v>290.39399999999978</v>
      </c>
      <c r="CV79" s="13">
        <f t="shared" si="95"/>
        <v>69.158878594433091</v>
      </c>
      <c r="CW79" s="20">
        <f t="shared" si="67"/>
        <v>626.22126355197054</v>
      </c>
      <c r="CX79" s="59">
        <f t="shared" si="68"/>
        <v>897.21422466307945</v>
      </c>
      <c r="CY79" s="59">
        <f ca="1">AVERAGE(OFFSET($CX$3,0,0,'Données projet'!$E$13+1,1))-AVERAGE(OFFSET($H$3,0,0,'Données projet'!$E$13+1,1))</f>
        <v>427.42918901489531</v>
      </c>
      <c r="CZ79" s="59">
        <f t="shared" si="96"/>
        <v>410.68601510655412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60.154219567150008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60.154219567150008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11.009999999999998</v>
      </c>
      <c r="DO79" s="12">
        <f>IF('Données projet'!$A$166&gt;35,DO78+DN79-DW78,IF(A79&lt;'Données projet'!$A$166,$DL$205^A79,IF(A79='Données projet'!$A$166,'Données projet'!$B$166,DO78+DN79-DW78)))</f>
        <v>351.6699999999999</v>
      </c>
      <c r="DP79" s="17">
        <f>DO79*VLOOKUP('Données projet'!$B$14,Paramètres!$A$1:$I$89,3,0)*VLOOKUP('Données projet'!$B$14,Paramètres!$A$1:$I$89,5,0)</f>
        <v>340.13522399999988</v>
      </c>
      <c r="DQ79" s="13">
        <f t="shared" si="97"/>
        <v>79.527883909752617</v>
      </c>
      <c r="DR79" s="20">
        <f t="shared" si="70"/>
        <v>730.91324627615222</v>
      </c>
      <c r="DS79" s="59">
        <f t="shared" si="71"/>
        <v>1001.9062073872612</v>
      </c>
      <c r="DT79" s="59">
        <f ca="1">AVERAGE(OFFSET($DS$3,0,0,'Données projet'!$E$14+1,1))-AVERAGE(OFFSET($H$3,0,0,'Données projet'!$E$14+1,1))</f>
        <v>598.03945725240396</v>
      </c>
      <c r="DU79" s="59">
        <f t="shared" si="98"/>
        <v>313.9014686755695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99.856250808578267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99.856250808578267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11.009999999999998</v>
      </c>
      <c r="EJ79" s="12">
        <f>IF('Données projet'!$A$192&gt;35,EJ78+EI79-ER78,IF(A79&lt;'Données projet'!$A$192,$EG$205^A79,IF(A79='Données projet'!$A$192,'Données projet'!$B$192,EJ78+EI79-ER78)))</f>
        <v>351.66999999999996</v>
      </c>
      <c r="EK79" s="17">
        <f>EJ79*VLOOKUP('Données projet'!$B$15,Paramètres!$A$1:$I$89,3,0)*VLOOKUP('Données projet'!$B$15,Paramètres!$A$1:$I$89,5,0)</f>
        <v>235.90023600000001</v>
      </c>
      <c r="EL79" s="13">
        <f t="shared" si="99"/>
        <v>57.556563698629013</v>
      </c>
      <c r="EM79" s="20">
        <f t="shared" si="73"/>
        <v>511.10392614177891</v>
      </c>
      <c r="EN79" s="59">
        <f t="shared" si="74"/>
        <v>782.09688725288788</v>
      </c>
      <c r="EO79" s="59">
        <f ca="1">AVERAGE(OFFSET($EN$3,0,0,'Données projet'!$E$15+1,1))-AVERAGE(OFFSET($H$3,0,0,'Données projet'!$E$15+1,1))</f>
        <v>438.27475674276604</v>
      </c>
      <c r="EP79" s="59">
        <f t="shared" si="100"/>
        <v>235.97720136798864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85.360988594429813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85.360988594429813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14.338750000000005</v>
      </c>
      <c r="FE79" s="12">
        <f>IF('Données projet'!$A$218&gt;35,FE78+FD79-FM78,IF(A79&lt;'Données projet'!$A$218,$FB$205^A79,IF(A79='Données projet'!$A$218,'Données projet'!$B$218,FE78+FD79-FM78)))</f>
        <v>415.71874999999937</v>
      </c>
      <c r="FF79" s="17">
        <f>FE79*VLOOKUP('Données projet'!$B$16,Paramètres!$A$1:$I$89,3,0)*VLOOKUP('Données projet'!$B$16,Paramètres!$A$1:$I$89,5,0)</f>
        <v>194.55637499999972</v>
      </c>
      <c r="FG79" s="13">
        <f t="shared" si="101"/>
        <v>48.545909113628923</v>
      </c>
      <c r="FH79" s="20">
        <f t="shared" si="76"/>
        <v>423.40314483123649</v>
      </c>
      <c r="FI79" s="59">
        <f t="shared" si="77"/>
        <v>694.39610594234546</v>
      </c>
      <c r="FJ79" s="59">
        <f ca="1">AVERAGE(OFFSET($FI$3,0,0,'Données projet'!$E$16+1,1))-AVERAGE(OFFSET($H$3,0,0,'Données projet'!$E$16+1,1))</f>
        <v>329.49463758169588</v>
      </c>
      <c r="FK79" s="59">
        <f t="shared" si="102"/>
        <v>207.1447698203379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114.99868783919027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114.99868783919027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12.2</v>
      </c>
      <c r="FZ79" s="12">
        <f>IF('Données projet'!$A$244&gt;35,FZ78+FY79-GH78,IF(A79&lt;'Données projet'!$A$244,$FW$205^A79,IF(A79='Données projet'!$A$244,'Données projet'!$B$244,FZ78+FY79-GH78)))</f>
        <v>746.20000000000039</v>
      </c>
      <c r="GA79" s="17">
        <f>FZ79*VLOOKUP('Données projet'!$B$17,Paramètres!$A$1:$I$89,3,0)*VLOOKUP('Données projet'!$B$17,Paramètres!$A$1:$I$89,5,0)</f>
        <v>446.22760000000022</v>
      </c>
      <c r="GB79" s="13">
        <f t="shared" si="103"/>
        <v>101.08812127877644</v>
      </c>
      <c r="GC79" s="20">
        <f t="shared" si="79"/>
        <v>953.24154789386921</v>
      </c>
      <c r="GD79" s="59">
        <f t="shared" si="80"/>
        <v>1224.2345090049782</v>
      </c>
      <c r="GE79" s="59">
        <f ca="1">AVERAGE(OFFSET($GD$3,0,0,'Données projet'!$E$17+1,1))-AVERAGE(OFFSET($H$3,0,0,'Données projet'!$E$17+1,1))</f>
        <v>577.07444926285291</v>
      </c>
      <c r="GF79" s="59">
        <f t="shared" si="104"/>
        <v>501.3762209070419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102.82996843195934</v>
      </c>
      <c r="GM79" s="21">
        <f>EXP(-LN(2)/25)*GM78+(1-EXP(-LN(2)/25))/(LN(2)/25)*Calculateur!GH79*Calculateur!GJ79*VLOOKUP('Données projet'!$B$17,Paramètres!$A$1:$I$89,3,0)*0.475*44/12</f>
        <v>18.273614731207235</v>
      </c>
      <c r="GN79" s="21">
        <f>EXP(-LN(2)/2)*GN78+(1-EXP(-LN(2)/2))/(LN(2)/2)*GH79*GK79*VLOOKUP('Données projet'!$B$17,Paramètres!$A$1:$I$89,3,0)*0.475*44/12</f>
        <v>9.3635632871641009E-9</v>
      </c>
      <c r="GO79" s="21">
        <f t="shared" si="81"/>
        <v>121.10358317253014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63.90717121212063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-5.6843418860808015E-14</v>
      </c>
      <c r="GV79" s="17">
        <f>GU79*VLOOKUP('Données projet'!$B$18,Paramètres!$A$1:$I$89,3,0)*VLOOKUP('Données projet'!$B$18,Paramètres!$A$1:$I$89,5,0)</f>
        <v>-3.0061073630349716E-14</v>
      </c>
      <c r="GW79" s="13" t="e">
        <f t="shared" si="105"/>
        <v>#NUM!</v>
      </c>
      <c r="GX79" s="20" t="e">
        <f t="shared" si="82"/>
        <v>#NUM!</v>
      </c>
      <c r="GY79" s="59" t="e">
        <f t="shared" si="83"/>
        <v>#NUM!</v>
      </c>
      <c r="GZ79" s="59">
        <f ca="1">AVERAGE(OFFSET($GY$3,0,0,'Données projet'!$E$18+1,1))-AVERAGE(OFFSET($H$3,0,0,'Données projet'!$E$18+1,1))</f>
        <v>212.75657290802619</v>
      </c>
      <c r="HA79" s="59">
        <f t="shared" si="106"/>
        <v>411.47446316045978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30.911083158027367</v>
      </c>
      <c r="HH79" s="21">
        <f>EXP(-LN(2)/25)*HH78+(1-EXP(-LN(2)/25))/(LN(2)/25)*Calculateur!HC79*Calculateur!HE79*VLOOKUP('Données projet'!$B$18,Paramètres!$A$1:$I$89,3,0)*0.475*44/12</f>
        <v>5.5620079963777433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36.473091154405111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4.60745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16.893983333333335</v>
      </c>
      <c r="H80" s="66">
        <f t="shared" si="56"/>
        <v>189.09073333333333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362.67999999999995</v>
      </c>
      <c r="O80" s="13">
        <f>N80*VLOOKUP('Données projet'!$B$9,Paramètres!$A$1:$I$89,3,0)*VLOOKUP('Données projet'!$B$9,Paramètres!$A$1:$I$89,5,0)</f>
        <v>328.15286399999997</v>
      </c>
      <c r="P80" s="13">
        <f t="shared" si="87"/>
        <v>77.047223736242103</v>
      </c>
      <c r="Q80" s="20">
        <f t="shared" si="54"/>
        <v>705.7234861406215</v>
      </c>
      <c r="R80" s="59">
        <f t="shared" si="55"/>
        <v>977.10400276419614</v>
      </c>
      <c r="S80" s="59">
        <f ca="1">AVERAGE(OFFSET($R$3,0,0,'Données projet'!$E$9+1,1))-AVERAGE(OFFSET($H$3,0,0,'Données projet'!$E$9+1,1))</f>
        <v>564.49981446852132</v>
      </c>
      <c r="T80" s="59">
        <f t="shared" si="88"/>
        <v>297.54722913785406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11.009999999999998</v>
      </c>
      <c r="AI80" s="13">
        <f>IF('Données projet'!$A$62&gt;35,AI79+AH80-AQ79,IF(A80&lt;'Données projet'!$A$62,$AF$205^A80,IF(A80='Données projet'!$A$62,'Données projet'!$B$62,AI79+AH80-AQ79)))</f>
        <v>362.67999999999989</v>
      </c>
      <c r="AJ80" s="13">
        <f>AI80*VLOOKUP('Données projet'!$B$10,Paramètres!$A$1:$I$89,3,0)*VLOOKUP('Données projet'!$B$10,Paramètres!$A$1:$I$89,5,0)</f>
        <v>367.75751999999989</v>
      </c>
      <c r="AK80" s="13">
        <f t="shared" si="89"/>
        <v>85.208370703405464</v>
      </c>
      <c r="AL80" s="20">
        <f t="shared" si="58"/>
        <v>788.91559297509764</v>
      </c>
      <c r="AM80" s="59">
        <f t="shared" si="59"/>
        <v>1060.2961095986723</v>
      </c>
      <c r="AN80" s="59">
        <f ca="1">AVERAGE(OFFSET($AM$3,0,0,'Données projet'!$E$10+1,1))-AVERAGE(OFFSET($H$3,0,0,'Données projet'!$E$10+1,1))</f>
        <v>623.16549611107564</v>
      </c>
      <c r="AO80" s="59">
        <f t="shared" si="90"/>
        <v>326.15178903425885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102.63513695764301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102.63513695764301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216.26591999999982</v>
      </c>
      <c r="BF80" s="13">
        <f t="shared" si="91"/>
        <v>53.302495062173776</v>
      </c>
      <c r="BG80" s="20">
        <f t="shared" si="61"/>
        <v>469.49832289995226</v>
      </c>
      <c r="BH80" s="59">
        <f t="shared" si="62"/>
        <v>740.87883952352695</v>
      </c>
      <c r="BI80" s="59">
        <f ca="1">AVERAGE(OFFSET($BH$3,0,0,'Données projet'!$E$11+1,1))-AVERAGE(OFFSET($H$3,0,0,'Données projet'!$E$11+1,1))</f>
        <v>326.2912419133811</v>
      </c>
      <c r="BJ80" s="59">
        <f t="shared" si="92"/>
        <v>315.07976787459938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42.910409564407054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42.910409564407054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233.00000000000003</v>
      </c>
      <c r="BZ80" s="13">
        <f>BY80*VLOOKUP('Données projet'!$B$12,Paramètres!$A$1:$I$89,3,0)*VLOOKUP('Données projet'!$B$12,Paramètres!$A$1:$I$89,5,0)</f>
        <v>149.02680000000001</v>
      </c>
      <c r="CA80" s="13">
        <f t="shared" si="93"/>
        <v>38.357338714757276</v>
      </c>
      <c r="CB80" s="20">
        <f t="shared" si="64"/>
        <v>326.36070826153559</v>
      </c>
      <c r="CC80" s="59">
        <f t="shared" si="65"/>
        <v>597.74122488511034</v>
      </c>
      <c r="CD80" s="59">
        <f ca="1">AVERAGE(OFFSET($CC$3,0,0,'Données projet'!$E$12+1,1))-AVERAGE(OFFSET($H$3,0,0,'Données projet'!$E$12+1,1))</f>
        <v>297.03992602744393</v>
      </c>
      <c r="CE80" s="59">
        <f t="shared" si="94"/>
        <v>265.2588848922893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39.304453070606876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39.304453070606876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368.99999999999972</v>
      </c>
      <c r="CU80" s="17">
        <f>CT80*VLOOKUP('Données projet'!$B$13,Paramètres!$A$1:$I$89,3,0)*VLOOKUP('Données projet'!$B$13,Paramètres!$A$1:$I$89,5,0)</f>
        <v>293.57639999999981</v>
      </c>
      <c r="CV80" s="13">
        <f t="shared" si="95"/>
        <v>69.828138511965548</v>
      </c>
      <c r="CW80" s="20">
        <f t="shared" si="67"/>
        <v>632.92957124167299</v>
      </c>
      <c r="CX80" s="59">
        <f t="shared" si="68"/>
        <v>904.31008786524762</v>
      </c>
      <c r="CY80" s="59">
        <f ca="1">AVERAGE(OFFSET($CX$3,0,0,'Données projet'!$E$13+1,1))-AVERAGE(OFFSET($H$3,0,0,'Données projet'!$E$13+1,1))</f>
        <v>427.42918901489531</v>
      </c>
      <c r="CZ80" s="59">
        <f t="shared" si="96"/>
        <v>410.68601510655412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58.974632011889248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58.974632011889248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11.009999999999998</v>
      </c>
      <c r="DO80" s="12">
        <f>IF('Données projet'!$A$166&gt;35,DO79+DN80-DW79,IF(A80&lt;'Données projet'!$A$166,$DL$205^A80,IF(A80='Données projet'!$A$166,'Données projet'!$B$166,DO79+DN80-DW79)))</f>
        <v>362.67999999999989</v>
      </c>
      <c r="DP80" s="17">
        <f>DO80*VLOOKUP('Données projet'!$B$14,Paramètres!$A$1:$I$89,3,0)*VLOOKUP('Données projet'!$B$14,Paramètres!$A$1:$I$89,5,0)</f>
        <v>350.78409599999992</v>
      </c>
      <c r="DQ80" s="13">
        <f t="shared" si="97"/>
        <v>81.723943714275478</v>
      </c>
      <c r="DR80" s="20">
        <f t="shared" si="70"/>
        <v>753.2848358356963</v>
      </c>
      <c r="DS80" s="59">
        <f t="shared" si="71"/>
        <v>1024.6653524592709</v>
      </c>
      <c r="DT80" s="59">
        <f ca="1">AVERAGE(OFFSET($DS$3,0,0,'Données projet'!$E$14+1,1))-AVERAGE(OFFSET($H$3,0,0,'Données projet'!$E$14+1,1))</f>
        <v>598.03945725240396</v>
      </c>
      <c r="DU80" s="59">
        <f t="shared" si="98"/>
        <v>313.9014686755695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97.898130636521046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97.898130636521046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11.009999999999998</v>
      </c>
      <c r="EJ80" s="12">
        <f>IF('Données projet'!$A$192&gt;35,EJ79+EI80-ER79,IF(A80&lt;'Données projet'!$A$192,$EG$205^A80,IF(A80='Données projet'!$A$192,'Données projet'!$B$192,EJ79+EI80-ER79)))</f>
        <v>362.67999999999995</v>
      </c>
      <c r="EK80" s="17">
        <f>EJ80*VLOOKUP('Données projet'!$B$15,Paramètres!$A$1:$I$89,3,0)*VLOOKUP('Données projet'!$B$15,Paramètres!$A$1:$I$89,5,0)</f>
        <v>243.28574399999999</v>
      </c>
      <c r="EL80" s="13">
        <f t="shared" si="99"/>
        <v>59.145913871311265</v>
      </c>
      <c r="EM80" s="20">
        <f t="shared" si="73"/>
        <v>526.73513745920036</v>
      </c>
      <c r="EN80" s="59">
        <f t="shared" si="74"/>
        <v>798.11565408277511</v>
      </c>
      <c r="EO80" s="59">
        <f ca="1">AVERAGE(OFFSET($EN$3,0,0,'Données projet'!$E$15+1,1))-AVERAGE(OFFSET($H$3,0,0,'Données projet'!$E$15+1,1))</f>
        <v>438.27475674276604</v>
      </c>
      <c r="EP80" s="59">
        <f t="shared" si="100"/>
        <v>235.97720136798864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83.687111673155087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83.687111673155087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14.338750000000005</v>
      </c>
      <c r="FE80" s="12">
        <f>IF('Données projet'!$A$218&gt;35,FE79+FD80-FM79,IF(A80&lt;'Données projet'!$A$218,$FB$205^A80,IF(A80='Données projet'!$A$218,'Données projet'!$B$218,FE79+FD80-FM79)))</f>
        <v>430.05749999999938</v>
      </c>
      <c r="FF80" s="17">
        <f>FE80*VLOOKUP('Données projet'!$B$16,Paramètres!$A$1:$I$89,3,0)*VLOOKUP('Données projet'!$B$16,Paramètres!$A$1:$I$89,5,0)</f>
        <v>201.26690999999968</v>
      </c>
      <c r="FG80" s="13">
        <f t="shared" si="101"/>
        <v>50.022493790546385</v>
      </c>
      <c r="FH80" s="20">
        <f t="shared" si="76"/>
        <v>437.66237826853438</v>
      </c>
      <c r="FI80" s="59">
        <f t="shared" si="77"/>
        <v>709.04289489210908</v>
      </c>
      <c r="FJ80" s="59">
        <f ca="1">AVERAGE(OFFSET($FI$3,0,0,'Données projet'!$E$16+1,1))-AVERAGE(OFFSET($H$3,0,0,'Données projet'!$E$16+1,1))</f>
        <v>329.49463758169588</v>
      </c>
      <c r="FK80" s="59">
        <f t="shared" si="102"/>
        <v>207.1447698203379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112.74363371293735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112.74363371293735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12.2</v>
      </c>
      <c r="FZ80" s="12">
        <f>IF('Données projet'!$A$244&gt;35,FZ79+FY80-GH79,IF(A80&lt;'Données projet'!$A$244,$FW$205^A80,IF(A80='Données projet'!$A$244,'Données projet'!$B$244,FZ79+FY80-GH79)))</f>
        <v>758.40000000000043</v>
      </c>
      <c r="GA80" s="17">
        <f>FZ80*VLOOKUP('Données projet'!$B$17,Paramètres!$A$1:$I$89,3,0)*VLOOKUP('Données projet'!$B$17,Paramètres!$A$1:$I$89,5,0)</f>
        <v>453.52320000000026</v>
      </c>
      <c r="GB80" s="13">
        <f t="shared" si="103"/>
        <v>102.54710171287262</v>
      </c>
      <c r="GC80" s="20">
        <f t="shared" si="79"/>
        <v>968.48910881658685</v>
      </c>
      <c r="GD80" s="59">
        <f t="shared" si="80"/>
        <v>1239.8696254401616</v>
      </c>
      <c r="GE80" s="59">
        <f ca="1">AVERAGE(OFFSET($GD$3,0,0,'Données projet'!$E$17+1,1))-AVERAGE(OFFSET($H$3,0,0,'Données projet'!$E$17+1,1))</f>
        <v>577.07444926285291</v>
      </c>
      <c r="GF80" s="59">
        <f t="shared" si="104"/>
        <v>501.3762209070419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100.81353547109627</v>
      </c>
      <c r="GM80" s="21">
        <f>EXP(-LN(2)/25)*GM79+(1-EXP(-LN(2)/25))/(LN(2)/25)*Calculateur!GH80*Calculateur!GJ80*VLOOKUP('Données projet'!$B$17,Paramètres!$A$1:$I$89,3,0)*0.475*44/12</f>
        <v>17.773921775414738</v>
      </c>
      <c r="GN80" s="21">
        <f>EXP(-LN(2)/2)*GN79+(1-EXP(-LN(2)/2))/(LN(2)/2)*GH80*GK80*VLOOKUP('Données projet'!$B$17,Paramètres!$A$1:$I$89,3,0)*0.475*44/12</f>
        <v>6.6210390964231356E-9</v>
      </c>
      <c r="GO80" s="21">
        <f t="shared" si="81"/>
        <v>118.58745725313204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64.012868170065815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-5.6843418860808015E-14</v>
      </c>
      <c r="GV80" s="17">
        <f>GU80*VLOOKUP('Données projet'!$B$18,Paramètres!$A$1:$I$89,3,0)*VLOOKUP('Données projet'!$B$18,Paramètres!$A$1:$I$89,5,0)</f>
        <v>-3.0061073630349716E-14</v>
      </c>
      <c r="GW80" s="13" t="e">
        <f t="shared" si="105"/>
        <v>#NUM!</v>
      </c>
      <c r="GX80" s="20" t="e">
        <f t="shared" si="82"/>
        <v>#NUM!</v>
      </c>
      <c r="GY80" s="59" t="e">
        <f t="shared" si="83"/>
        <v>#NUM!</v>
      </c>
      <c r="GZ80" s="59">
        <f ca="1">AVERAGE(OFFSET($GY$3,0,0,'Données projet'!$E$18+1,1))-AVERAGE(OFFSET($H$3,0,0,'Données projet'!$E$18+1,1))</f>
        <v>212.75657290802619</v>
      </c>
      <c r="HA80" s="59">
        <f t="shared" si="106"/>
        <v>411.47446316045978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30.304935671197509</v>
      </c>
      <c r="HH80" s="21">
        <f>EXP(-LN(2)/25)*HH79+(1-EXP(-LN(2)/25))/(LN(2)/25)*Calculateur!HC80*Calculateur!HE80*VLOOKUP('Données projet'!$B$18,Paramètres!$A$1:$I$89,3,0)*0.475*44/12</f>
        <v>5.4099145952235057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35.714850266421017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4.60745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16.893983333333335</v>
      </c>
      <c r="H81" s="66">
        <f t="shared" si="56"/>
        <v>189.09073333333333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373.68999999999994</v>
      </c>
      <c r="O81" s="13">
        <f>N81*VLOOKUP('Données projet'!$B$9,Paramètres!$A$1:$I$89,3,0)*VLOOKUP('Données projet'!$B$9,Paramètres!$A$1:$I$89,5,0)</f>
        <v>338.11471199999994</v>
      </c>
      <c r="P81" s="13">
        <f t="shared" si="87"/>
        <v>79.110308022170997</v>
      </c>
      <c r="Q81" s="20">
        <f t="shared" si="54"/>
        <v>726.66690987194772</v>
      </c>
      <c r="R81" s="59">
        <f t="shared" si="55"/>
        <v>998.42825878629105</v>
      </c>
      <c r="S81" s="59">
        <f ca="1">AVERAGE(OFFSET($R$3,0,0,'Données projet'!$E$9+1,1))-AVERAGE(OFFSET($H$3,0,0,'Données projet'!$E$9+1,1))</f>
        <v>564.49981446852132</v>
      </c>
      <c r="T81" s="59">
        <f t="shared" si="88"/>
        <v>297.54722913785406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11.009999999999998</v>
      </c>
      <c r="AI81" s="13">
        <f>IF('Données projet'!$A$62&gt;35,AI80+AH81-AQ80,IF(A81&lt;'Données projet'!$A$62,$AF$205^A81,IF(A81='Données projet'!$A$62,'Données projet'!$B$62,AI80+AH81-AQ80)))</f>
        <v>373.68999999999988</v>
      </c>
      <c r="AJ81" s="13">
        <f>AI81*VLOOKUP('Données projet'!$B$10,Paramètres!$A$1:$I$89,3,0)*VLOOKUP('Données projet'!$B$10,Paramètres!$A$1:$I$89,5,0)</f>
        <v>378.92165999999992</v>
      </c>
      <c r="AK81" s="13">
        <f t="shared" si="89"/>
        <v>87.489985044625499</v>
      </c>
      <c r="AL81" s="20">
        <f t="shared" si="58"/>
        <v>812.33361511938926</v>
      </c>
      <c r="AM81" s="59">
        <f t="shared" si="59"/>
        <v>1084.0949640337326</v>
      </c>
      <c r="AN81" s="59">
        <f ca="1">AVERAGE(OFFSET($AM$3,0,0,'Données projet'!$E$10+1,1))-AVERAGE(OFFSET($H$3,0,0,'Données projet'!$E$10+1,1))</f>
        <v>623.16549611107564</v>
      </c>
      <c r="AO81" s="59">
        <f t="shared" si="90"/>
        <v>326.15178903425885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100.62252452315582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100.62252452315582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218.53727999999987</v>
      </c>
      <c r="BF81" s="13">
        <f t="shared" si="91"/>
        <v>53.796847431080771</v>
      </c>
      <c r="BG81" s="20">
        <f t="shared" si="61"/>
        <v>474.31527194246542</v>
      </c>
      <c r="BH81" s="59">
        <f t="shared" si="62"/>
        <v>746.07662085680886</v>
      </c>
      <c r="BI81" s="59">
        <f ca="1">AVERAGE(OFFSET($BH$3,0,0,'Données projet'!$E$11+1,1))-AVERAGE(OFFSET($H$3,0,0,'Données projet'!$E$11+1,1))</f>
        <v>326.2912419133811</v>
      </c>
      <c r="BJ81" s="59">
        <f t="shared" si="92"/>
        <v>315.07976787459938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42.068962605614523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42.068962605614523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237.00000000000003</v>
      </c>
      <c r="BZ81" s="13">
        <f>BY81*VLOOKUP('Données projet'!$B$12,Paramètres!$A$1:$I$89,3,0)*VLOOKUP('Données projet'!$B$12,Paramètres!$A$1:$I$89,5,0)</f>
        <v>151.58520000000001</v>
      </c>
      <c r="CA81" s="13">
        <f t="shared" si="93"/>
        <v>38.938607305837735</v>
      </c>
      <c r="CB81" s="20">
        <f t="shared" si="64"/>
        <v>331.82896439100074</v>
      </c>
      <c r="CC81" s="59">
        <f t="shared" si="65"/>
        <v>603.59031330534413</v>
      </c>
      <c r="CD81" s="59">
        <f ca="1">AVERAGE(OFFSET($CC$3,0,0,'Données projet'!$E$12+1,1))-AVERAGE(OFFSET($H$3,0,0,'Données projet'!$E$12+1,1))</f>
        <v>297.03992602744393</v>
      </c>
      <c r="CE81" s="59">
        <f t="shared" si="94"/>
        <v>265.2588848922893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38.533716719241475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38.533716719241475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372.99999999999972</v>
      </c>
      <c r="CU81" s="17">
        <f>CT81*VLOOKUP('Données projet'!$B$13,Paramètres!$A$1:$I$89,3,0)*VLOOKUP('Données projet'!$B$13,Paramètres!$A$1:$I$89,5,0)</f>
        <v>296.75879999999978</v>
      </c>
      <c r="CV81" s="13">
        <f t="shared" si="95"/>
        <v>70.496554480015604</v>
      </c>
      <c r="CW81" s="20">
        <f t="shared" si="67"/>
        <v>639.63640905269347</v>
      </c>
      <c r="CX81" s="59">
        <f t="shared" si="68"/>
        <v>911.3977579670368</v>
      </c>
      <c r="CY81" s="59">
        <f ca="1">AVERAGE(OFFSET($CX$3,0,0,'Données projet'!$E$13+1,1))-AVERAGE(OFFSET($H$3,0,0,'Données projet'!$E$13+1,1))</f>
        <v>427.42918901489531</v>
      </c>
      <c r="CZ81" s="59">
        <f t="shared" si="96"/>
        <v>410.68601510655412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57.818175449109788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57.818175449109788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11.009999999999998</v>
      </c>
      <c r="DO81" s="12">
        <f>IF('Données projet'!$A$166&gt;35,DO80+DN81-DW80,IF(A81&lt;'Données projet'!$A$166,$DL$205^A81,IF(A81='Données projet'!$A$166,'Données projet'!$B$166,DO80+DN81-DW80)))</f>
        <v>373.68999999999988</v>
      </c>
      <c r="DP81" s="17">
        <f>DO81*VLOOKUP('Données projet'!$B$14,Paramètres!$A$1:$I$89,3,0)*VLOOKUP('Données projet'!$B$14,Paramètres!$A$1:$I$89,5,0)</f>
        <v>361.4329679999999</v>
      </c>
      <c r="DQ81" s="13">
        <f t="shared" si="97"/>
        <v>83.912255971161656</v>
      </c>
      <c r="DR81" s="20">
        <f t="shared" si="70"/>
        <v>775.64293174977286</v>
      </c>
      <c r="DS81" s="59">
        <f t="shared" si="71"/>
        <v>1047.4042806641162</v>
      </c>
      <c r="DT81" s="59">
        <f ca="1">AVERAGE(OFFSET($DS$3,0,0,'Données projet'!$E$14+1,1))-AVERAGE(OFFSET($H$3,0,0,'Données projet'!$E$14+1,1))</f>
        <v>598.03945725240396</v>
      </c>
      <c r="DU81" s="59">
        <f t="shared" si="98"/>
        <v>313.9014686755695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95.978408006702495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95.978408006702495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11.009999999999998</v>
      </c>
      <c r="EJ81" s="12">
        <f>IF('Données projet'!$A$192&gt;35,EJ80+EI81-ER80,IF(A81&lt;'Données projet'!$A$192,$EG$205^A81,IF(A81='Données projet'!$A$192,'Données projet'!$B$192,EJ80+EI81-ER80)))</f>
        <v>373.68999999999994</v>
      </c>
      <c r="EK81" s="17">
        <f>EJ81*VLOOKUP('Données projet'!$B$15,Paramètres!$A$1:$I$89,3,0)*VLOOKUP('Données projet'!$B$15,Paramètres!$A$1:$I$89,5,0)</f>
        <v>250.67125199999998</v>
      </c>
      <c r="EL81" s="13">
        <f t="shared" si="99"/>
        <v>60.729656926123184</v>
      </c>
      <c r="EM81" s="20">
        <f t="shared" si="73"/>
        <v>542.35658304633125</v>
      </c>
      <c r="EN81" s="59">
        <f t="shared" si="74"/>
        <v>814.1179319606747</v>
      </c>
      <c r="EO81" s="59">
        <f ca="1">AVERAGE(OFFSET($EN$3,0,0,'Données projet'!$E$15+1,1))-AVERAGE(OFFSET($H$3,0,0,'Données projet'!$E$15+1,1))</f>
        <v>438.27475674276604</v>
      </c>
      <c r="EP81" s="59">
        <f t="shared" si="100"/>
        <v>235.97720136798864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82.046058457342454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82.046058457342454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14.338750000000005</v>
      </c>
      <c r="FE81" s="12">
        <f>IF('Données projet'!$A$218&gt;35,FE80+FD81-FM80,IF(A81&lt;'Données projet'!$A$218,$FB$205^A81,IF(A81='Données projet'!$A$218,'Données projet'!$B$218,FE80+FD81-FM80)))</f>
        <v>444.39624999999938</v>
      </c>
      <c r="FF81" s="17">
        <f>FE81*VLOOKUP('Données projet'!$B$16,Paramètres!$A$1:$I$89,3,0)*VLOOKUP('Données projet'!$B$16,Paramètres!$A$1:$I$89,5,0)</f>
        <v>207.97744499999973</v>
      </c>
      <c r="FG81" s="13">
        <f t="shared" si="101"/>
        <v>51.493357906038632</v>
      </c>
      <c r="FH81" s="20">
        <f t="shared" si="76"/>
        <v>451.91164839468348</v>
      </c>
      <c r="FI81" s="59">
        <f t="shared" si="77"/>
        <v>723.67299730902687</v>
      </c>
      <c r="FJ81" s="59">
        <f ca="1">AVERAGE(OFFSET($FI$3,0,0,'Données projet'!$E$16+1,1))-AVERAGE(OFFSET($H$3,0,0,'Données projet'!$E$16+1,1))</f>
        <v>329.49463758169588</v>
      </c>
      <c r="FK81" s="59">
        <f t="shared" si="102"/>
        <v>207.1447698203379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110.53279982265306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110.53279982265306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12.2</v>
      </c>
      <c r="FZ81" s="12">
        <f>IF('Données projet'!$A$244&gt;35,FZ80+FY81-GH80,IF(A81&lt;'Données projet'!$A$244,$FW$205^A81,IF(A81='Données projet'!$A$244,'Données projet'!$B$244,FZ80+FY81-GH80)))</f>
        <v>770.60000000000048</v>
      </c>
      <c r="GA81" s="17">
        <f>FZ81*VLOOKUP('Données projet'!$B$17,Paramètres!$A$1:$I$89,3,0)*VLOOKUP('Données projet'!$B$17,Paramètres!$A$1:$I$89,5,0)</f>
        <v>460.81880000000029</v>
      </c>
      <c r="GB81" s="13">
        <f t="shared" si="103"/>
        <v>104.00335268391156</v>
      </c>
      <c r="GC81" s="20">
        <f t="shared" si="79"/>
        <v>983.73191592447984</v>
      </c>
      <c r="GD81" s="59">
        <f t="shared" si="80"/>
        <v>1255.4932648388233</v>
      </c>
      <c r="GE81" s="59">
        <f ca="1">AVERAGE(OFFSET($GD$3,0,0,'Données projet'!$E$17+1,1))-AVERAGE(OFFSET($H$3,0,0,'Données projet'!$E$17+1,1))</f>
        <v>577.07444926285291</v>
      </c>
      <c r="GF81" s="59">
        <f t="shared" si="104"/>
        <v>501.3762209070419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98.836643530693067</v>
      </c>
      <c r="GM81" s="21">
        <f>EXP(-LN(2)/25)*GM80+(1-EXP(-LN(2)/25))/(LN(2)/25)*Calculateur!GH81*Calculateur!GJ81*VLOOKUP('Données projet'!$B$17,Paramètres!$A$1:$I$89,3,0)*0.475*44/12</f>
        <v>17.287892949776101</v>
      </c>
      <c r="GN81" s="21">
        <f>EXP(-LN(2)/2)*GN80+(1-EXP(-LN(2)/2))/(LN(2)/2)*GH81*GK81*VLOOKUP('Données projet'!$B$17,Paramètres!$A$1:$I$89,3,0)*0.475*44/12</f>
        <v>4.6817816435820504E-9</v>
      </c>
      <c r="GO81" s="21">
        <f t="shared" si="81"/>
        <v>116.12453648515095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64.116731522093659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-5.6843418860808015E-14</v>
      </c>
      <c r="GV81" s="17">
        <f>GU81*VLOOKUP('Données projet'!$B$18,Paramètres!$A$1:$I$89,3,0)*VLOOKUP('Données projet'!$B$18,Paramètres!$A$1:$I$89,5,0)</f>
        <v>-3.0061073630349716E-14</v>
      </c>
      <c r="GW81" s="13" t="e">
        <f t="shared" si="105"/>
        <v>#NUM!</v>
      </c>
      <c r="GX81" s="20" t="e">
        <f t="shared" si="82"/>
        <v>#NUM!</v>
      </c>
      <c r="GY81" s="59" t="e">
        <f t="shared" si="83"/>
        <v>#NUM!</v>
      </c>
      <c r="GZ81" s="59">
        <f ca="1">AVERAGE(OFFSET($GY$3,0,0,'Données projet'!$E$18+1,1))-AVERAGE(OFFSET($H$3,0,0,'Données projet'!$E$18+1,1))</f>
        <v>212.75657290802619</v>
      </c>
      <c r="HA81" s="59">
        <f t="shared" si="106"/>
        <v>411.47446316045978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29.710674366870922</v>
      </c>
      <c r="HH81" s="21">
        <f>EXP(-LN(2)/25)*HH80+(1-EXP(-LN(2)/25))/(LN(2)/25)*Calculateur!HC81*Calculateur!HE81*VLOOKUP('Données projet'!$B$18,Paramètres!$A$1:$I$89,3,0)*0.475*44/12</f>
        <v>5.2619801961220753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34.972654562993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4.60745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16.893983333333335</v>
      </c>
      <c r="H82" s="66">
        <f t="shared" si="56"/>
        <v>189.09073333333333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384.69999999999993</v>
      </c>
      <c r="O82" s="13">
        <f>N82*VLOOKUP('Données projet'!$B$9,Paramètres!$A$1:$I$89,3,0)*VLOOKUP('Données projet'!$B$9,Paramètres!$A$1:$I$89,5,0)</f>
        <v>348.07655999999992</v>
      </c>
      <c r="P82" s="13">
        <f t="shared" si="87"/>
        <v>81.166328031452807</v>
      </c>
      <c r="Q82" s="20">
        <f t="shared" si="54"/>
        <v>747.59802998811347</v>
      </c>
      <c r="R82" s="59">
        <f t="shared" si="55"/>
        <v>1019.7336046043943</v>
      </c>
      <c r="S82" s="59">
        <f ca="1">AVERAGE(OFFSET($R$3,0,0,'Données projet'!$E$9+1,1))-AVERAGE(OFFSET($H$3,0,0,'Données projet'!$E$9+1,1))</f>
        <v>564.49981446852132</v>
      </c>
      <c r="T82" s="59">
        <f t="shared" si="88"/>
        <v>297.54722913785406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11.009999999999998</v>
      </c>
      <c r="AI82" s="13">
        <f>IF('Données projet'!$A$62&gt;35,AI81+AH82-AQ81,IF(A82&lt;'Données projet'!$A$62,$AF$205^A82,IF(A82='Données projet'!$A$62,'Données projet'!$B$62,AI81+AH82-AQ81)))</f>
        <v>384.69999999999987</v>
      </c>
      <c r="AJ82" s="13">
        <f>AI82*VLOOKUP('Données projet'!$B$10,Paramètres!$A$1:$I$89,3,0)*VLOOKUP('Données projet'!$B$10,Paramètres!$A$1:$I$89,5,0)</f>
        <v>390.08579999999989</v>
      </c>
      <c r="AK82" s="13">
        <f t="shared" si="89"/>
        <v>89.763786833048727</v>
      </c>
      <c r="AL82" s="20">
        <f t="shared" si="58"/>
        <v>835.73803040089308</v>
      </c>
      <c r="AM82" s="59">
        <f t="shared" si="59"/>
        <v>1107.8736050171738</v>
      </c>
      <c r="AN82" s="59">
        <f ca="1">AVERAGE(OFFSET($AM$3,0,0,'Données projet'!$E$10+1,1))-AVERAGE(OFFSET($H$3,0,0,'Données projet'!$E$10+1,1))</f>
        <v>623.16549611107564</v>
      </c>
      <c r="AO82" s="59">
        <f t="shared" si="90"/>
        <v>326.15178903425885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98.649378190936545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98.649378190936545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220.80863999999985</v>
      </c>
      <c r="BF82" s="13">
        <f t="shared" si="91"/>
        <v>54.290602082955985</v>
      </c>
      <c r="BG82" s="20">
        <f t="shared" si="61"/>
        <v>479.13117996114801</v>
      </c>
      <c r="BH82" s="59">
        <f t="shared" si="62"/>
        <v>751.26675457742874</v>
      </c>
      <c r="BI82" s="59">
        <f ca="1">AVERAGE(OFFSET($BH$3,0,0,'Données projet'!$E$11+1,1))-AVERAGE(OFFSET($H$3,0,0,'Données projet'!$E$11+1,1))</f>
        <v>326.2912419133811</v>
      </c>
      <c r="BJ82" s="59">
        <f t="shared" si="92"/>
        <v>315.07976787459938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41.244015908451942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41.244015908451942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241.00000000000003</v>
      </c>
      <c r="BZ82" s="13">
        <f>BY82*VLOOKUP('Données projet'!$B$12,Paramètres!$A$1:$I$89,3,0)*VLOOKUP('Données projet'!$B$12,Paramètres!$A$1:$I$89,5,0)</f>
        <v>154.14360000000002</v>
      </c>
      <c r="CA82" s="13">
        <f t="shared" si="93"/>
        <v>39.518735025361231</v>
      </c>
      <c r="CB82" s="20">
        <f t="shared" si="64"/>
        <v>337.29523350250412</v>
      </c>
      <c r="CC82" s="59">
        <f t="shared" si="65"/>
        <v>609.43080811878485</v>
      </c>
      <c r="CD82" s="59">
        <f ca="1">AVERAGE(OFFSET($CC$3,0,0,'Données projet'!$E$12+1,1))-AVERAGE(OFFSET($H$3,0,0,'Données projet'!$E$12+1,1))</f>
        <v>297.03992602744393</v>
      </c>
      <c r="CE82" s="59">
        <f t="shared" si="94"/>
        <v>265.2588848922893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37.778094037623596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37.778094037623596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376.99999999999972</v>
      </c>
      <c r="CU82" s="17">
        <f>CT82*VLOOKUP('Données projet'!$B$13,Paramètres!$A$1:$I$89,3,0)*VLOOKUP('Données projet'!$B$13,Paramètres!$A$1:$I$89,5,0)</f>
        <v>299.94119999999981</v>
      </c>
      <c r="CV82" s="13">
        <f t="shared" si="95"/>
        <v>71.164136596531506</v>
      </c>
      <c r="CW82" s="20">
        <f t="shared" si="67"/>
        <v>646.34179457229197</v>
      </c>
      <c r="CX82" s="59">
        <f t="shared" si="68"/>
        <v>918.47736918857277</v>
      </c>
      <c r="CY82" s="59">
        <f ca="1">AVERAGE(OFFSET($CX$3,0,0,'Données projet'!$E$13+1,1))-AVERAGE(OFFSET($H$3,0,0,'Données projet'!$E$13+1,1))</f>
        <v>427.42918901489531</v>
      </c>
      <c r="CZ82" s="59">
        <f t="shared" si="96"/>
        <v>410.68601510655412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56.68439629415758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56.68439629415758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11.009999999999998</v>
      </c>
      <c r="DO82" s="12">
        <f>IF('Données projet'!$A$166&gt;35,DO81+DN82-DW81,IF(A82&lt;'Données projet'!$A$166,$DL$205^A82,IF(A82='Données projet'!$A$166,'Données projet'!$B$166,DO81+DN82-DW81)))</f>
        <v>384.69999999999987</v>
      </c>
      <c r="DP82" s="17">
        <f>DO82*VLOOKUP('Données projet'!$B$14,Paramètres!$A$1:$I$89,3,0)*VLOOKUP('Données projet'!$B$14,Paramètres!$A$1:$I$89,5,0)</f>
        <v>372.08183999999989</v>
      </c>
      <c r="DQ82" s="13">
        <f t="shared" si="97"/>
        <v>86.093075154071798</v>
      </c>
      <c r="DR82" s="20">
        <f t="shared" si="70"/>
        <v>797.98797722667484</v>
      </c>
      <c r="DS82" s="59">
        <f t="shared" si="71"/>
        <v>1070.1235518429555</v>
      </c>
      <c r="DT82" s="59">
        <f ca="1">AVERAGE(OFFSET($DS$3,0,0,'Données projet'!$E$14+1,1))-AVERAGE(OFFSET($H$3,0,0,'Données projet'!$E$14+1,1))</f>
        <v>598.03945725240396</v>
      </c>
      <c r="DU82" s="59">
        <f t="shared" si="98"/>
        <v>313.9014686755695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94.096329966739489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94.096329966739489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11.009999999999998</v>
      </c>
      <c r="EJ82" s="12">
        <f>IF('Données projet'!$A$192&gt;35,EJ81+EI82-ER81,IF(A82&lt;'Données projet'!$A$192,$EG$205^A82,IF(A82='Données projet'!$A$192,'Données projet'!$B$192,EJ81+EI82-ER81)))</f>
        <v>384.69999999999993</v>
      </c>
      <c r="EK82" s="17">
        <f>EJ82*VLOOKUP('Données projet'!$B$15,Paramètres!$A$1:$I$89,3,0)*VLOOKUP('Données projet'!$B$15,Paramètres!$A$1:$I$89,5,0)</f>
        <v>258.05675999999994</v>
      </c>
      <c r="EL82" s="13">
        <f t="shared" si="99"/>
        <v>62.30797703280173</v>
      </c>
      <c r="EM82" s="20">
        <f t="shared" si="73"/>
        <v>557.96858366546292</v>
      </c>
      <c r="EN82" s="59">
        <f t="shared" si="74"/>
        <v>830.10415828174359</v>
      </c>
      <c r="EO82" s="59">
        <f ca="1">AVERAGE(OFFSET($EN$3,0,0,'Données projet'!$E$15+1,1))-AVERAGE(OFFSET($H$3,0,0,'Données projet'!$E$15+1,1))</f>
        <v>438.27475674276604</v>
      </c>
      <c r="EP82" s="59">
        <f t="shared" si="100"/>
        <v>235.97720136798864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80.437185294148279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80.437185294148279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14.338750000000005</v>
      </c>
      <c r="FE82" s="12">
        <f>IF('Données projet'!$A$218&gt;35,FE81+FD82-FM81,IF(A82&lt;'Données projet'!$A$218,$FB$205^A82,IF(A82='Données projet'!$A$218,'Données projet'!$B$218,FE81+FD82-FM81)))</f>
        <v>458.73499999999939</v>
      </c>
      <c r="FF82" s="17">
        <f>FE82*VLOOKUP('Données projet'!$B$16,Paramètres!$A$1:$I$89,3,0)*VLOOKUP('Données projet'!$B$16,Paramètres!$A$1:$I$89,5,0)</f>
        <v>214.6879799999997</v>
      </c>
      <c r="FG82" s="13">
        <f t="shared" si="101"/>
        <v>52.95870720880778</v>
      </c>
      <c r="FH82" s="20">
        <f t="shared" si="76"/>
        <v>466.15131355533964</v>
      </c>
      <c r="FI82" s="59">
        <f t="shared" si="77"/>
        <v>738.28688817162038</v>
      </c>
      <c r="FJ82" s="59">
        <f ca="1">AVERAGE(OFFSET($FI$3,0,0,'Données projet'!$E$16+1,1))-AVERAGE(OFFSET($H$3,0,0,'Données projet'!$E$16+1,1))</f>
        <v>329.49463758169588</v>
      </c>
      <c r="FK82" s="59">
        <f t="shared" si="102"/>
        <v>207.1447698203379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108.36531903648172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108.36531903648172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12.2</v>
      </c>
      <c r="FZ82" s="12">
        <f>IF('Données projet'!$A$244&gt;35,FZ81+FY82-GH81,IF(A82&lt;'Données projet'!$A$244,$FW$205^A82,IF(A82='Données projet'!$A$244,'Données projet'!$B$244,FZ81+FY82-GH81)))</f>
        <v>782.80000000000052</v>
      </c>
      <c r="GA82" s="17">
        <f>FZ82*VLOOKUP('Données projet'!$B$17,Paramètres!$A$1:$I$89,3,0)*VLOOKUP('Données projet'!$B$17,Paramètres!$A$1:$I$89,5,0)</f>
        <v>468.11440000000033</v>
      </c>
      <c r="GB82" s="13">
        <f t="shared" si="103"/>
        <v>105.45692239381121</v>
      </c>
      <c r="GC82" s="20">
        <f t="shared" si="79"/>
        <v>998.97005316922184</v>
      </c>
      <c r="GD82" s="59">
        <f t="shared" si="80"/>
        <v>1271.1056277855025</v>
      </c>
      <c r="GE82" s="59">
        <f ca="1">AVERAGE(OFFSET($GD$3,0,0,'Données projet'!$E$17+1,1))-AVERAGE(OFFSET($H$3,0,0,'Données projet'!$E$17+1,1))</f>
        <v>577.07444926285291</v>
      </c>
      <c r="GF82" s="59">
        <f t="shared" si="104"/>
        <v>501.3762209070419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96.89851723545614</v>
      </c>
      <c r="GM82" s="21">
        <f>EXP(-LN(2)/25)*GM81+(1-EXP(-LN(2)/25))/(LN(2)/25)*Calculateur!GH82*Calculateur!GJ82*VLOOKUP('Données projet'!$B$17,Paramètres!$A$1:$I$89,3,0)*0.475*44/12</f>
        <v>16.815154607933696</v>
      </c>
      <c r="GN82" s="21">
        <f>EXP(-LN(2)/2)*GN81+(1-EXP(-LN(2)/2))/(LN(2)/2)*GH82*GK82*VLOOKUP('Données projet'!$B$17,Paramètres!$A$1:$I$89,3,0)*0.475*44/12</f>
        <v>3.3105195482115678E-9</v>
      </c>
      <c r="GO82" s="21">
        <f t="shared" si="81"/>
        <v>113.71367184670035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64.218793077167476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-5.6843418860808015E-14</v>
      </c>
      <c r="GV82" s="17">
        <f>GU82*VLOOKUP('Données projet'!$B$18,Paramètres!$A$1:$I$89,3,0)*VLOOKUP('Données projet'!$B$18,Paramètres!$A$1:$I$89,5,0)</f>
        <v>-3.0061073630349716E-14</v>
      </c>
      <c r="GW82" s="13" t="e">
        <f t="shared" si="105"/>
        <v>#NUM!</v>
      </c>
      <c r="GX82" s="20" t="e">
        <f t="shared" si="82"/>
        <v>#NUM!</v>
      </c>
      <c r="GY82" s="59" t="e">
        <f t="shared" si="83"/>
        <v>#NUM!</v>
      </c>
      <c r="GZ82" s="59">
        <f ca="1">AVERAGE(OFFSET($GY$3,0,0,'Données projet'!$E$18+1,1))-AVERAGE(OFFSET($H$3,0,0,'Données projet'!$E$18+1,1))</f>
        <v>212.75657290802619</v>
      </c>
      <c r="HA82" s="59">
        <f t="shared" si="106"/>
        <v>411.47446316045978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29.128066164258577</v>
      </c>
      <c r="HH82" s="21">
        <f>EXP(-LN(2)/25)*HH81+(1-EXP(-LN(2)/25))/(LN(2)/25)*Calculateur!HC82*Calculateur!HE82*VLOOKUP('Données projet'!$B$18,Paramètres!$A$1:$I$89,3,0)*0.475*44/12</f>
        <v>5.1180910709436054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34.246157235202183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4.60745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16.893983333333335</v>
      </c>
      <c r="H83" s="66">
        <f t="shared" si="56"/>
        <v>189.09073333333333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395.70999999999992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1041.020547395852</v>
      </c>
      <c r="S83" s="59">
        <f ca="1">AVERAGE(OFFSET($R$3,0,0,'Données projet'!$E$9+1,1))-AVERAGE(OFFSET($H$3,0,0,'Données projet'!$E$9+1,1))</f>
        <v>564.49981446852132</v>
      </c>
      <c r="T83" s="59">
        <f t="shared" si="88"/>
        <v>297.54722913785406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395.71</v>
      </c>
      <c r="AG83" s="12">
        <f>VLOOKUP(A83,'Données projet'!$A$61:$I$81,9,0)</f>
        <v>11.009999999999998</v>
      </c>
      <c r="AH83" s="12">
        <f t="array" ref="AH83">INDEX(AG:AG,MIN(IF(ISNUMBER(AG83:AG279),ROW(AG83:AG279),"")))</f>
        <v>11.009999999999998</v>
      </c>
      <c r="AI83" s="13">
        <f>IF('Données projet'!$A$62&gt;35,AI82+AH83-AQ82,IF(A83&lt;'Données projet'!$A$62,$AF$205^A83,IF(A83='Données projet'!$A$62,'Données projet'!$B$62,AI82+AH83-AQ82)))</f>
        <v>395.70999999999987</v>
      </c>
      <c r="AJ83" s="13">
        <f>AI83*VLOOKUP('Données projet'!$B$10,Paramètres!$A$1:$I$89,3,0)*VLOOKUP('Données projet'!$B$10,Paramètres!$A$1:$I$89,5,0)</f>
        <v>401.24993999999992</v>
      </c>
      <c r="AK83" s="13">
        <f t="shared" si="89"/>
        <v>92.030025341479998</v>
      </c>
      <c r="AL83" s="20">
        <f t="shared" si="58"/>
        <v>859.12927296974419</v>
      </c>
      <c r="AM83" s="59">
        <f t="shared" si="59"/>
        <v>1131.6325813086771</v>
      </c>
      <c r="AN83" s="59">
        <f ca="1">AVERAGE(OFFSET($AM$3,0,0,'Données projet'!$E$10+1,1))-AVERAGE(OFFSET($H$3,0,0,'Données projet'!$E$10+1,1))</f>
        <v>623.16549611107564</v>
      </c>
      <c r="AO83" s="59">
        <f t="shared" si="90"/>
        <v>326.15178903425885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59.57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125.42809265402899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125.42809265402899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223.07999999999987</v>
      </c>
      <c r="BF83" s="13">
        <f t="shared" si="91"/>
        <v>54.783765878062617</v>
      </c>
      <c r="BG83" s="20">
        <f t="shared" si="61"/>
        <v>483.94605890429216</v>
      </c>
      <c r="BH83" s="59">
        <f t="shared" si="62"/>
        <v>756.44936724322497</v>
      </c>
      <c r="BI83" s="59">
        <f ca="1">AVERAGE(OFFSET($BH$3,0,0,'Données projet'!$E$11+1,1))-AVERAGE(OFFSET($H$3,0,0,'Données projet'!$E$11+1,1))</f>
        <v>326.2912419133811</v>
      </c>
      <c r="BJ83" s="59">
        <f t="shared" si="92"/>
        <v>315.07976787459938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44.237498017611948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44.237498017611948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245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245.00000000000003</v>
      </c>
      <c r="BZ83" s="13">
        <f>BY83*VLOOKUP('Données projet'!$B$12,Paramètres!$A$1:$I$89,3,0)*VLOOKUP('Données projet'!$B$12,Paramètres!$A$1:$I$89,5,0)</f>
        <v>156.702</v>
      </c>
      <c r="CA83" s="13">
        <f t="shared" si="93"/>
        <v>40.097742994609092</v>
      </c>
      <c r="CB83" s="20">
        <f t="shared" si="64"/>
        <v>342.75955238227749</v>
      </c>
      <c r="CC83" s="59">
        <f t="shared" si="65"/>
        <v>615.26286072121036</v>
      </c>
      <c r="CD83" s="59">
        <f ca="1">AVERAGE(OFFSET($CC$3,0,0,'Données projet'!$E$12+1,1))-AVERAGE(OFFSET($H$3,0,0,'Données projet'!$E$12+1,1))</f>
        <v>297.03992602744393</v>
      </c>
      <c r="CE83" s="59">
        <f t="shared" si="94"/>
        <v>265.2588848922893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15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41.597818269040737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41.597818269040737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380.99999999999972</v>
      </c>
      <c r="CU83" s="17">
        <f>CT83*VLOOKUP('Données projet'!$B$13,Paramètres!$A$1:$I$89,3,0)*VLOOKUP('Données projet'!$B$13,Paramètres!$A$1:$I$89,5,0)</f>
        <v>303.12359999999978</v>
      </c>
      <c r="CV83" s="13">
        <f t="shared" si="95"/>
        <v>71.830894732837621</v>
      </c>
      <c r="CW83" s="20">
        <f t="shared" si="67"/>
        <v>653.0457449930251</v>
      </c>
      <c r="CX83" s="59">
        <f t="shared" si="68"/>
        <v>925.54905333195802</v>
      </c>
      <c r="CY83" s="59">
        <f ca="1">AVERAGE(OFFSET($CX$3,0,0,'Données projet'!$E$13+1,1))-AVERAGE(OFFSET($H$3,0,0,'Données projet'!$E$13+1,1))</f>
        <v>427.42918901489531</v>
      </c>
      <c r="CZ83" s="59">
        <f t="shared" si="96"/>
        <v>410.68601510655412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13</v>
      </c>
      <c r="DC83" s="16">
        <f>IF(ISNA(VLOOKUP(A83,'Données projet'!$A$139:$I$159,5,0)),0%,VLOOKUP(A83,'Données projet'!$A$139:$I$159,5,0)*VLOOKUP('Données projet'!$B$13,Paramètres!$A$1:$I$89,7,0))</f>
        <v>0.53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61.632689148856684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61.632689148856684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395.71</v>
      </c>
      <c r="DM83" s="12">
        <f>VLOOKUP(A83,'Données projet'!$A$165:$I$185,9,0)</f>
        <v>11.009999999999998</v>
      </c>
      <c r="DN83" s="12">
        <f t="array" ref="DN83">INDEX(DM:DM,MIN(IF(ISNUMBER(DM83:DM279),ROW(DM83:DM279),"")))</f>
        <v>11.009999999999998</v>
      </c>
      <c r="DO83" s="12">
        <f>IF('Données projet'!$A$166&gt;35,DO82+DN83-DW82,IF(A83&lt;'Données projet'!$A$166,$DL$205^A83,IF(A83='Données projet'!$A$166,'Données projet'!$B$166,DO82+DN83-DW82)))</f>
        <v>395.70999999999987</v>
      </c>
      <c r="DP83" s="17">
        <f>DO83*VLOOKUP('Données projet'!$B$14,Paramètres!$A$1:$I$89,3,0)*VLOOKUP('Données projet'!$B$14,Paramètres!$A$1:$I$89,5,0)</f>
        <v>382.73071199999987</v>
      </c>
      <c r="DQ83" s="13">
        <f t="shared" si="97"/>
        <v>88.266640342295247</v>
      </c>
      <c r="DR83" s="20">
        <f t="shared" si="70"/>
        <v>820.32038866283062</v>
      </c>
      <c r="DS83" s="59">
        <f t="shared" si="71"/>
        <v>1092.8236970017635</v>
      </c>
      <c r="DT83" s="59">
        <f ca="1">AVERAGE(OFFSET($DS$3,0,0,'Données projet'!$E$14+1,1))-AVERAGE(OFFSET($H$3,0,0,'Données projet'!$E$14+1,1))</f>
        <v>598.03945725240396</v>
      </c>
      <c r="DU83" s="59">
        <f t="shared" si="98"/>
        <v>313.9014686755695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59.57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119.63910376230459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119.63910376230459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395.71</v>
      </c>
      <c r="EH83" s="12">
        <f>VLOOKUP(A83,'Données projet'!$A$191:$I$211,9,0)</f>
        <v>11.009999999999998</v>
      </c>
      <c r="EI83" s="12">
        <f t="array" ref="EI83">INDEX(EH:EH,MIN(IF(ISNUMBER(EH83:EH279),ROW(EH83:EH279),"")))</f>
        <v>11.009999999999998</v>
      </c>
      <c r="EJ83" s="12">
        <f>IF('Données projet'!$A$192&gt;35,EJ82+EI83-ER82,IF(A83&lt;'Données projet'!$A$192,$EG$205^A83,IF(A83='Données projet'!$A$192,'Données projet'!$B$192,EJ82+EI83-ER82)))</f>
        <v>395.70999999999992</v>
      </c>
      <c r="EK83" s="17">
        <f>EJ83*VLOOKUP('Données projet'!$B$15,Paramètres!$A$1:$I$89,3,0)*VLOOKUP('Données projet'!$B$15,Paramètres!$A$1:$I$89,5,0)</f>
        <v>265.44226799999996</v>
      </c>
      <c r="EL83" s="13">
        <f t="shared" si="99"/>
        <v>63.88104721974485</v>
      </c>
      <c r="EM83" s="20">
        <f t="shared" si="73"/>
        <v>573.57144067438878</v>
      </c>
      <c r="EN83" s="59">
        <f t="shared" si="74"/>
        <v>846.07474901332171</v>
      </c>
      <c r="EO83" s="59">
        <f ca="1">AVERAGE(OFFSET($EN$3,0,0,'Données projet'!$E$15+1,1))-AVERAGE(OFFSET($H$3,0,0,'Données projet'!$E$15+1,1))</f>
        <v>438.27475674276604</v>
      </c>
      <c r="EP83" s="59">
        <f t="shared" si="100"/>
        <v>235.97720136798864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59.57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102.27213708713134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102.27213708713134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14.338750000000005</v>
      </c>
      <c r="FE83" s="12">
        <f>IF('Données projet'!$A$218&gt;35,FE82+FD83-FM82,IF(A83&lt;'Données projet'!$A$218,$FB$205^A83,IF(A83='Données projet'!$A$218,'Données projet'!$B$218,FE82+FD83-FM82)))</f>
        <v>473.07374999999939</v>
      </c>
      <c r="FF83" s="17">
        <f>FE83*VLOOKUP('Données projet'!$B$16,Paramètres!$A$1:$I$89,3,0)*VLOOKUP('Données projet'!$B$16,Paramètres!$A$1:$I$89,5,0)</f>
        <v>221.39851499999972</v>
      </c>
      <c r="FG83" s="13">
        <f t="shared" si="101"/>
        <v>54.418733854751018</v>
      </c>
      <c r="FH83" s="20">
        <f t="shared" si="76"/>
        <v>480.38170842202425</v>
      </c>
      <c r="FI83" s="59">
        <f t="shared" si="77"/>
        <v>752.88501676095711</v>
      </c>
      <c r="FJ83" s="59">
        <f ca="1">AVERAGE(OFFSET($FI$3,0,0,'Données projet'!$E$16+1,1))-AVERAGE(OFFSET($H$3,0,0,'Données projet'!$E$16+1,1))</f>
        <v>329.49463758169588</v>
      </c>
      <c r="FK83" s="59">
        <f t="shared" si="102"/>
        <v>207.1447698203379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106.24034122649446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106.24034122649446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795</v>
      </c>
      <c r="FX83" s="12">
        <f>VLOOKUP(A83,'Données projet'!$A$243:$I$263,9,0)</f>
        <v>12.2</v>
      </c>
      <c r="FY83" s="12">
        <f t="array" ref="FY83">INDEX(FX:FX,MIN(IF(ISNUMBER(FX83:FX279),ROW(FX83:FX279),"")))</f>
        <v>12.2</v>
      </c>
      <c r="FZ83" s="12">
        <f>IF('Données projet'!$A$244&gt;35,FZ82+FY83-GH82,IF(A83&lt;'Données projet'!$A$244,$FW$205^A83,IF(A83='Données projet'!$A$244,'Données projet'!$B$244,FZ82+FY83-GH82)))</f>
        <v>795.00000000000057</v>
      </c>
      <c r="GA83" s="17">
        <f>FZ83*VLOOKUP('Données projet'!$B$17,Paramètres!$A$1:$I$89,3,0)*VLOOKUP('Données projet'!$B$17,Paramètres!$A$1:$I$89,5,0)</f>
        <v>475.41000000000037</v>
      </c>
      <c r="GB83" s="13">
        <f t="shared" si="103"/>
        <v>106.90785745583379</v>
      </c>
      <c r="GC83" s="20">
        <f t="shared" si="79"/>
        <v>1014.2036017355778</v>
      </c>
      <c r="GD83" s="59">
        <f t="shared" si="80"/>
        <v>1286.7069100745107</v>
      </c>
      <c r="GE83" s="59">
        <f ca="1">AVERAGE(OFFSET($GD$3,0,0,'Données projet'!$E$17+1,1))-AVERAGE(OFFSET($H$3,0,0,'Données projet'!$E$17+1,1))</f>
        <v>577.07444926285291</v>
      </c>
      <c r="GF83" s="59">
        <f t="shared" si="104"/>
        <v>501.3762209070419</v>
      </c>
      <c r="GG83" s="15">
        <f>IF(ISNA(VLOOKUP(A83,'Données projet'!$A$243:$I$263,3,0)),0,VLOOKUP(A83,'Données projet'!$A$243:$I$263,3,0))</f>
        <v>14</v>
      </c>
      <c r="GH83" s="15">
        <f>IF(ISNA(VLOOKUP(A83,'Données projet'!$A$243:$I$263,4,0)),0,VLOOKUP(A83,'Données projet'!$A$243:$I$263,4,0))</f>
        <v>32</v>
      </c>
      <c r="GI83" s="16">
        <f>IF(ISNA(VLOOKUP(A83,'Données projet'!$A$243:$I$263,5,0)),0%,VLOOKUP(A83,'Données projet'!$A$243:$I$263,5,0)*VLOOKUP('Données projet'!$B$17,Paramètres!$A$1:$I$89,7,0))</f>
        <v>0.45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106.42170825340946</v>
      </c>
      <c r="GM83" s="21">
        <f>EXP(-LN(2)/25)*GM82+(1-EXP(-LN(2)/25))/(LN(2)/25)*Calculateur!GH83*Calculateur!GJ83*VLOOKUP('Données projet'!$B$17,Paramètres!$A$1:$I$89,3,0)*0.475*44/12</f>
        <v>16.355343320909199</v>
      </c>
      <c r="GN83" s="21">
        <f>EXP(-LN(2)/2)*GN82+(1-EXP(-LN(2)/2))/(LN(2)/2)*GH83*GK83*VLOOKUP('Données projet'!$B$17,Paramètres!$A$1:$I$89,3,0)*0.475*44/12</f>
        <v>2.3408908217910252E-9</v>
      </c>
      <c r="GO83" s="21">
        <f t="shared" si="81"/>
        <v>122.77705157665956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64.319084092436228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-5.6843418860808015E-14</v>
      </c>
      <c r="GV83" s="17">
        <f>GU83*VLOOKUP('Données projet'!$B$18,Paramètres!$A$1:$I$89,3,0)*VLOOKUP('Données projet'!$B$18,Paramètres!$A$1:$I$89,5,0)</f>
        <v>-3.0061073630349716E-14</v>
      </c>
      <c r="GW83" s="13" t="e">
        <f t="shared" si="105"/>
        <v>#NUM!</v>
      </c>
      <c r="GX83" s="20" t="e">
        <f t="shared" si="82"/>
        <v>#NUM!</v>
      </c>
      <c r="GY83" s="59" t="e">
        <f t="shared" si="83"/>
        <v>#NUM!</v>
      </c>
      <c r="GZ83" s="59">
        <f ca="1">AVERAGE(OFFSET($GY$3,0,0,'Données projet'!$E$18+1,1))-AVERAGE(OFFSET($H$3,0,0,'Données projet'!$E$18+1,1))</f>
        <v>212.75657290802619</v>
      </c>
      <c r="HA83" s="59">
        <f t="shared" si="106"/>
        <v>411.47446316045978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28.556882553143545</v>
      </c>
      <c r="HH83" s="21">
        <f>EXP(-LN(2)/25)*HH82+(1-EXP(-LN(2)/25))/(LN(2)/25)*Calculateur!HC83*Calculateur!HE83*VLOOKUP('Données projet'!$B$18,Paramètres!$A$1:$I$89,3,0)*0.475*44/12</f>
        <v>4.9781366014599406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33.535019154603489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4.60745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16.893983333333335</v>
      </c>
      <c r="H84" s="66">
        <f t="shared" si="56"/>
        <v>189.09073333333333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346.54999999999995</v>
      </c>
      <c r="O84" s="13">
        <f>N84*VLOOKUP('Données projet'!$B$9,Paramètres!$A$1:$I$89,3,0)*VLOOKUP('Données projet'!$B$9,Paramètres!$A$1:$I$89,5,0)</f>
        <v>313.55843999999996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947.88227286623987</v>
      </c>
      <c r="S84" s="59">
        <f ca="1">AVERAGE(OFFSET($R$3,0,0,'Données projet'!$E$9+1,1))-AVERAGE(OFFSET($H$3,0,0,'Données projet'!$E$9+1,1))</f>
        <v>564.49981446852132</v>
      </c>
      <c r="T84" s="59">
        <f t="shared" si="88"/>
        <v>297.54722913785406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</v>
      </c>
      <c r="AI84" s="13">
        <f>IF('Données projet'!$A$62&gt;35,AI83+AH84-AQ83,IF(A84&lt;'Données projet'!$A$62,$AF$205^A84,IF(A84='Données projet'!$A$62,'Données projet'!$B$62,AI83+AH84-AQ83)))</f>
        <v>346.5499999999999</v>
      </c>
      <c r="AJ84" s="13">
        <f>AI84*VLOOKUP('Données projet'!$B$10,Paramètres!$A$1:$I$89,3,0)*VLOOKUP('Données projet'!$B$10,Paramètres!$A$1:$I$89,5,0)</f>
        <v>351.40169999999989</v>
      </c>
      <c r="AK84" s="13">
        <f t="shared" si="89"/>
        <v>81.851068652084436</v>
      </c>
      <c r="AL84" s="20">
        <f t="shared" si="58"/>
        <v>754.58190540238013</v>
      </c>
      <c r="AM84" s="59">
        <f t="shared" si="59"/>
        <v>1027.4465681060065</v>
      </c>
      <c r="AN84" s="59">
        <f ca="1">AVERAGE(OFFSET($AM$3,0,0,'Données projet'!$E$10+1,1))-AVERAGE(OFFSET($H$3,0,0,'Données projet'!$E$10+1,1))</f>
        <v>623.16549611107564</v>
      </c>
      <c r="AO84" s="59">
        <f t="shared" si="90"/>
        <v>326.15178903425885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122.9685242606659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122.9685242606659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266.99999999999983</v>
      </c>
      <c r="BE84" s="13">
        <f>BD84*VLOOKUP('Données projet'!$B$11,Paramètres!$A$1:$I$89,3,0)*VLOOKUP('Données projet'!$B$11,Paramètres!$A$1:$I$89,5,0)</f>
        <v>216.59039999999987</v>
      </c>
      <c r="BF84" s="13">
        <f t="shared" si="91"/>
        <v>53.373153688190904</v>
      </c>
      <c r="BG84" s="20">
        <f t="shared" si="61"/>
        <v>470.18652267359886</v>
      </c>
      <c r="BH84" s="59">
        <f t="shared" si="62"/>
        <v>743.05118537722524</v>
      </c>
      <c r="BI84" s="59">
        <f ca="1">AVERAGE(OFFSET($BH$3,0,0,'Données projet'!$E$11+1,1))-AVERAGE(OFFSET($H$3,0,0,'Données projet'!$E$11+1,1))</f>
        <v>326.2912419133811</v>
      </c>
      <c r="BJ84" s="59">
        <f t="shared" si="92"/>
        <v>315.07976787459938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43.370027663696099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43.370027663696099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3.6</v>
      </c>
      <c r="BY84" s="12">
        <f>IF('Données projet'!$A$114&gt;35,BY83+BX84-CG83,IF(A84&lt;'Données projet'!$A$114,$BV$205^A84,IF(A84='Données projet'!$A$114,'Données projet'!$B$114,BY83+BX84-CG83)))</f>
        <v>233.60000000000002</v>
      </c>
      <c r="BZ84" s="13">
        <f>BY84*VLOOKUP('Données projet'!$B$12,Paramètres!$A$1:$I$89,3,0)*VLOOKUP('Données projet'!$B$12,Paramètres!$A$1:$I$89,5,0)</f>
        <v>149.41056000000003</v>
      </c>
      <c r="CA84" s="13">
        <f t="shared" si="93"/>
        <v>38.444602585568106</v>
      </c>
      <c r="CB84" s="20">
        <f t="shared" si="64"/>
        <v>327.1810748365312</v>
      </c>
      <c r="CC84" s="59">
        <f t="shared" si="65"/>
        <v>600.04573754015746</v>
      </c>
      <c r="CD84" s="59">
        <f ca="1">AVERAGE(OFFSET($CC$3,0,0,'Données projet'!$E$12+1,1))-AVERAGE(OFFSET($H$3,0,0,'Données projet'!$E$12+1,1))</f>
        <v>297.03992602744393</v>
      </c>
      <c r="CE84" s="59">
        <f t="shared" si="94"/>
        <v>265.2588848922893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40.782110424948698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40.782110424948698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367.99999999999972</v>
      </c>
      <c r="CU84" s="17">
        <f>CT84*VLOOKUP('Données projet'!$B$13,Paramètres!$A$1:$I$89,3,0)*VLOOKUP('Données projet'!$B$13,Paramètres!$A$1:$I$89,5,0)</f>
        <v>292.78079999999977</v>
      </c>
      <c r="CV84" s="13">
        <f t="shared" si="95"/>
        <v>69.660903052386217</v>
      </c>
      <c r="CW84" s="20">
        <f t="shared" si="67"/>
        <v>631.25263281623893</v>
      </c>
      <c r="CX84" s="59">
        <f t="shared" si="68"/>
        <v>904.11729551986525</v>
      </c>
      <c r="CY84" s="59">
        <f ca="1">AVERAGE(OFFSET($CX$3,0,0,'Données projet'!$E$13+1,1))-AVERAGE(OFFSET($H$3,0,0,'Données projet'!$E$13+1,1))</f>
        <v>427.42918901489531</v>
      </c>
      <c r="CZ84" s="59">
        <f t="shared" si="96"/>
        <v>410.68601510655412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60.42410970687606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60.42410970687606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10.41</v>
      </c>
      <c r="DO84" s="12">
        <f>IF('Données projet'!$A$166&gt;35,DO83+DN84-DW83,IF(A84&lt;'Données projet'!$A$166,$DL$205^A84,IF(A84='Données projet'!$A$166,'Données projet'!$B$166,DO83+DN84-DW83)))</f>
        <v>346.5499999999999</v>
      </c>
      <c r="DP84" s="17">
        <f>DO84*VLOOKUP('Données projet'!$B$14,Paramètres!$A$1:$I$89,3,0)*VLOOKUP('Données projet'!$B$14,Paramètres!$A$1:$I$89,5,0)</f>
        <v>335.18315999999993</v>
      </c>
      <c r="DQ84" s="13">
        <f t="shared" si="97"/>
        <v>78.503931858527082</v>
      </c>
      <c r="DR84" s="20">
        <f t="shared" si="70"/>
        <v>720.50501832026794</v>
      </c>
      <c r="DS84" s="59">
        <f t="shared" si="71"/>
        <v>993.36968102389426</v>
      </c>
      <c r="DT84" s="59">
        <f ca="1">AVERAGE(OFFSET($DS$3,0,0,'Données projet'!$E$14+1,1))-AVERAGE(OFFSET($H$3,0,0,'Données projet'!$E$14+1,1))</f>
        <v>598.03945725240396</v>
      </c>
      <c r="DU84" s="59">
        <f t="shared" si="98"/>
        <v>313.9014686755695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117.29305391017364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117.29305391017364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10.41</v>
      </c>
      <c r="EJ84" s="12">
        <f>IF('Données projet'!$A$192&gt;35,EJ83+EI84-ER83,IF(A84&lt;'Données projet'!$A$192,$EG$205^A84,IF(A84='Données projet'!$A$192,'Données projet'!$B$192,EJ83+EI84-ER83)))</f>
        <v>346.54999999999995</v>
      </c>
      <c r="EK84" s="17">
        <f>EJ84*VLOOKUP('Données projet'!$B$15,Paramètres!$A$1:$I$89,3,0)*VLOOKUP('Données projet'!$B$15,Paramètres!$A$1:$I$89,5,0)</f>
        <v>232.46573999999998</v>
      </c>
      <c r="EL84" s="13">
        <f t="shared" si="99"/>
        <v>56.815500834092255</v>
      </c>
      <c r="EM84" s="20">
        <f t="shared" si="73"/>
        <v>503.83149445271061</v>
      </c>
      <c r="EN84" s="59">
        <f t="shared" si="74"/>
        <v>776.69615715633699</v>
      </c>
      <c r="EO84" s="59">
        <f ca="1">AVERAGE(OFFSET($EN$3,0,0,'Données projet'!$E$15+1,1))-AVERAGE(OFFSET($H$3,0,0,'Données projet'!$E$15+1,1))</f>
        <v>438.27475674276604</v>
      </c>
      <c r="EP84" s="59">
        <f t="shared" si="100"/>
        <v>235.97720136798864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100.26664285869683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100.26664285869683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14.338750000000005</v>
      </c>
      <c r="FE84" s="12">
        <f>IF('Données projet'!$A$218&gt;35,FE83+FD84-FM83,IF(A84&lt;'Données projet'!$A$218,$FB$205^A84,IF(A84='Données projet'!$A$218,'Données projet'!$B$218,FE83+FD84-FM83)))</f>
        <v>487.4124999999994</v>
      </c>
      <c r="FF84" s="17">
        <f>FE84*VLOOKUP('Données projet'!$B$16,Paramètres!$A$1:$I$89,3,0)*VLOOKUP('Données projet'!$B$16,Paramètres!$A$1:$I$89,5,0)</f>
        <v>228.10904999999971</v>
      </c>
      <c r="FG84" s="13">
        <f t="shared" si="101"/>
        <v>55.873617689436912</v>
      </c>
      <c r="FH84" s="20">
        <f t="shared" si="76"/>
        <v>494.6031462257688</v>
      </c>
      <c r="FI84" s="59">
        <f t="shared" si="77"/>
        <v>767.46780892939512</v>
      </c>
      <c r="FJ84" s="59">
        <f ca="1">AVERAGE(OFFSET($FI$3,0,0,'Données projet'!$E$16+1,1))-AVERAGE(OFFSET($H$3,0,0,'Données projet'!$E$16+1,1))</f>
        <v>329.49463758169588</v>
      </c>
      <c r="FK84" s="59">
        <f t="shared" si="102"/>
        <v>207.1447698203379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104.15703293525257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104.15703293525257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763.00000000000057</v>
      </c>
      <c r="GA84" s="17">
        <f>FZ84*VLOOKUP('Données projet'!$B$17,Paramètres!$A$1:$I$89,3,0)*VLOOKUP('Données projet'!$B$17,Paramètres!$A$1:$I$89,5,0)</f>
        <v>456.2740000000004</v>
      </c>
      <c r="GB84" s="13">
        <f t="shared" si="103"/>
        <v>103.09649786611838</v>
      </c>
      <c r="GC84" s="20">
        <f t="shared" si="79"/>
        <v>974.23695045015677</v>
      </c>
      <c r="GD84" s="59">
        <f t="shared" si="80"/>
        <v>1247.1016131537831</v>
      </c>
      <c r="GE84" s="59">
        <f ca="1">AVERAGE(OFFSET($GD$3,0,0,'Données projet'!$E$17+1,1))-AVERAGE(OFFSET($H$3,0,0,'Données projet'!$E$17+1,1))</f>
        <v>577.07444926285291</v>
      </c>
      <c r="GF84" s="59">
        <f t="shared" si="104"/>
        <v>501.3762209070419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104.33484346539272</v>
      </c>
      <c r="GM84" s="21">
        <f>EXP(-LN(2)/25)*GM83+(1-EXP(-LN(2)/25))/(LN(2)/25)*Calculateur!GH84*Calculateur!GJ84*VLOOKUP('Données projet'!$B$17,Paramètres!$A$1:$I$89,3,0)*0.475*44/12</f>
        <v>15.908105597708813</v>
      </c>
      <c r="GN84" s="21">
        <f>EXP(-LN(2)/2)*GN83+(1-EXP(-LN(2)/2))/(LN(2)/2)*GH84*GK84*VLOOKUP('Données projet'!$B$17,Paramètres!$A$1:$I$89,3,0)*0.475*44/12</f>
        <v>1.6552597741057839E-9</v>
      </c>
      <c r="GO84" s="21">
        <f t="shared" si="81"/>
        <v>120.2429490647568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64.417635282807183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-5.6843418860808015E-14</v>
      </c>
      <c r="GV84" s="17">
        <f>GU84*VLOOKUP('Données projet'!$B$18,Paramètres!$A$1:$I$89,3,0)*VLOOKUP('Données projet'!$B$18,Paramètres!$A$1:$I$89,5,0)</f>
        <v>-3.0061073630349716E-14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212.75657290802619</v>
      </c>
      <c r="HA84" s="59">
        <f t="shared" si="106"/>
        <v>411.47446316045978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27.996899504254873</v>
      </c>
      <c r="HH84" s="21">
        <f>EXP(-LN(2)/25)*HH83+(1-EXP(-LN(2)/25))/(LN(2)/25)*Calculateur!HC84*Calculateur!HE84*VLOOKUP('Données projet'!$B$18,Paramètres!$A$1:$I$89,3,0)*0.475*44/12</f>
        <v>4.8420091943041923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32.838908698559067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4.60745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16.893983333333335</v>
      </c>
      <c r="H85" s="66">
        <f t="shared" si="56"/>
        <v>189.09073333333333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356.96</v>
      </c>
      <c r="O85" s="13">
        <f>N85*VLOOKUP('Données projet'!$B$9,Paramètres!$A$1:$I$89,3,0)*VLOOKUP('Données projet'!$B$9,Paramètres!$A$1:$I$89,5,0)</f>
        <v>322.97740799999997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968.05755180808569</v>
      </c>
      <c r="S85" s="59">
        <f ca="1">AVERAGE(OFFSET($R$3,0,0,'Données projet'!$E$9+1,1))-AVERAGE(OFFSET($H$3,0,0,'Données projet'!$E$9+1,1))</f>
        <v>564.49981446852132</v>
      </c>
      <c r="T85" s="59">
        <f t="shared" si="88"/>
        <v>297.54722913785406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</v>
      </c>
      <c r="AI85" s="13">
        <f>IF('Données projet'!$A$62&gt;35,AI84+AH85-AQ84,IF(A85&lt;'Données projet'!$A$62,$AF$205^A85,IF(A85='Données projet'!$A$62,'Données projet'!$B$62,AI84+AH85-AQ84)))</f>
        <v>356.95999999999992</v>
      </c>
      <c r="AJ85" s="13">
        <f>AI85*VLOOKUP('Données projet'!$B$10,Paramètres!$A$1:$I$89,3,0)*VLOOKUP('Données projet'!$B$10,Paramètres!$A$1:$I$89,5,0)</f>
        <v>361.95743999999991</v>
      </c>
      <c r="AK85" s="13">
        <f t="shared" si="89"/>
        <v>84.01983781623828</v>
      </c>
      <c r="AL85" s="20">
        <f t="shared" si="58"/>
        <v>776.74375886328153</v>
      </c>
      <c r="AM85" s="59">
        <f t="shared" si="59"/>
        <v>1049.9635072412414</v>
      </c>
      <c r="AN85" s="59">
        <f ca="1">AVERAGE(OFFSET($AM$3,0,0,'Données projet'!$E$10+1,1))-AVERAGE(OFFSET($H$3,0,0,'Données projet'!$E$10+1,1))</f>
        <v>623.16549611107564</v>
      </c>
      <c r="AO85" s="59">
        <f t="shared" si="90"/>
        <v>326.15178903425885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120.55718650330807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120.55718650330807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266.99999999999983</v>
      </c>
      <c r="BE85" s="13">
        <f>BD85*VLOOKUP('Données projet'!$B$11,Paramètres!$A$1:$I$89,3,0)*VLOOKUP('Données projet'!$B$11,Paramètres!$A$1:$I$89,5,0)</f>
        <v>216.59039999999987</v>
      </c>
      <c r="BF85" s="13">
        <f t="shared" si="91"/>
        <v>53.373153688190904</v>
      </c>
      <c r="BG85" s="20">
        <f t="shared" si="61"/>
        <v>470.18652267359886</v>
      </c>
      <c r="BH85" s="59">
        <f t="shared" si="62"/>
        <v>743.40627105155863</v>
      </c>
      <c r="BI85" s="59">
        <f ca="1">AVERAGE(OFFSET($BH$3,0,0,'Données projet'!$E$11+1,1))-AVERAGE(OFFSET($H$3,0,0,'Données projet'!$E$11+1,1))</f>
        <v>326.2912419133811</v>
      </c>
      <c r="BJ85" s="59">
        <f t="shared" si="92"/>
        <v>315.07976787459938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42.519567874315868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42.519567874315868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3.6</v>
      </c>
      <c r="BY85" s="12">
        <f>IF('Données projet'!$A$114&gt;35,BY84+BX85-CG84,IF(A85&lt;'Données projet'!$A$114,$BV$205^A85,IF(A85='Données projet'!$A$114,'Données projet'!$B$114,BY84+BX85-CG84)))</f>
        <v>237.20000000000002</v>
      </c>
      <c r="BZ85" s="13">
        <f>BY85*VLOOKUP('Données projet'!$B$12,Paramètres!$A$1:$I$89,3,0)*VLOOKUP('Données projet'!$B$12,Paramètres!$A$1:$I$89,5,0)</f>
        <v>151.71312</v>
      </c>
      <c r="CA85" s="13">
        <f t="shared" si="93"/>
        <v>38.967640608896517</v>
      </c>
      <c r="CB85" s="20">
        <f t="shared" si="64"/>
        <v>332.10232472716143</v>
      </c>
      <c r="CC85" s="59">
        <f t="shared" si="65"/>
        <v>605.32207310512126</v>
      </c>
      <c r="CD85" s="59">
        <f ca="1">AVERAGE(OFFSET($CC$3,0,0,'Données projet'!$E$12+1,1))-AVERAGE(OFFSET($H$3,0,0,'Données projet'!$E$12+1,1))</f>
        <v>297.03992602744393</v>
      </c>
      <c r="CE85" s="59">
        <f t="shared" si="94"/>
        <v>265.2588848922893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39.982398114146648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39.982398114146648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367.99999999999972</v>
      </c>
      <c r="CU85" s="17">
        <f>CT85*VLOOKUP('Données projet'!$B$13,Paramètres!$A$1:$I$89,3,0)*VLOOKUP('Données projet'!$B$13,Paramètres!$A$1:$I$89,5,0)</f>
        <v>292.78079999999977</v>
      </c>
      <c r="CV85" s="13">
        <f t="shared" si="95"/>
        <v>69.660903052386217</v>
      </c>
      <c r="CW85" s="20">
        <f t="shared" si="67"/>
        <v>631.25263281623893</v>
      </c>
      <c r="CX85" s="59">
        <f t="shared" si="68"/>
        <v>904.47238119419876</v>
      </c>
      <c r="CY85" s="59">
        <f ca="1">AVERAGE(OFFSET($CX$3,0,0,'Données projet'!$E$13+1,1))-AVERAGE(OFFSET($H$3,0,0,'Données projet'!$E$13+1,1))</f>
        <v>427.42918901489531</v>
      </c>
      <c r="CZ85" s="59">
        <f t="shared" si="96"/>
        <v>410.68601510655412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59.239229770592004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59.239229770592004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10.41</v>
      </c>
      <c r="DO85" s="12">
        <f>IF('Données projet'!$A$166&gt;35,DO84+DN85-DW84,IF(A85&lt;'Données projet'!$A$166,$DL$205^A85,IF(A85='Données projet'!$A$166,'Données projet'!$B$166,DO84+DN85-DW84)))</f>
        <v>356.95999999999992</v>
      </c>
      <c r="DP85" s="17">
        <f>DO85*VLOOKUP('Données projet'!$B$14,Paramètres!$A$1:$I$89,3,0)*VLOOKUP('Données projet'!$B$14,Paramètres!$A$1:$I$89,5,0)</f>
        <v>345.25171199999994</v>
      </c>
      <c r="DQ85" s="13">
        <f t="shared" si="97"/>
        <v>80.584013517610799</v>
      </c>
      <c r="DR85" s="20">
        <f t="shared" si="70"/>
        <v>741.66388860983864</v>
      </c>
      <c r="DS85" s="59">
        <f t="shared" si="71"/>
        <v>1014.8836369877984</v>
      </c>
      <c r="DT85" s="59">
        <f ca="1">AVERAGE(OFFSET($DS$3,0,0,'Données projet'!$E$14+1,1))-AVERAGE(OFFSET($H$3,0,0,'Données projet'!$E$14+1,1))</f>
        <v>598.03945725240396</v>
      </c>
      <c r="DU85" s="59">
        <f t="shared" si="98"/>
        <v>313.9014686755695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114.99300866469386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114.99300866469386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10.41</v>
      </c>
      <c r="EJ85" s="12">
        <f>IF('Données projet'!$A$192&gt;35,EJ84+EI85-ER84,IF(A85&lt;'Données projet'!$A$192,$EG$205^A85,IF(A85='Données projet'!$A$192,'Données projet'!$B$192,EJ84+EI85-ER84)))</f>
        <v>356.96</v>
      </c>
      <c r="EK85" s="17">
        <f>EJ85*VLOOKUP('Données projet'!$B$15,Paramètres!$A$1:$I$89,3,0)*VLOOKUP('Données projet'!$B$15,Paramètres!$A$1:$I$89,5,0)</f>
        <v>239.448768</v>
      </c>
      <c r="EL85" s="13">
        <f t="shared" si="99"/>
        <v>58.320914364839098</v>
      </c>
      <c r="EM85" s="20">
        <f t="shared" si="73"/>
        <v>518.6155301187614</v>
      </c>
      <c r="EN85" s="59">
        <f t="shared" si="74"/>
        <v>791.83527849672123</v>
      </c>
      <c r="EO85" s="59">
        <f ca="1">AVERAGE(OFFSET($EN$3,0,0,'Données projet'!$E$15+1,1))-AVERAGE(OFFSET($H$3,0,0,'Données projet'!$E$15+1,1))</f>
        <v>438.27475674276604</v>
      </c>
      <c r="EP85" s="59">
        <f t="shared" si="100"/>
        <v>235.97720136798864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98.300475148851206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98.300475148851206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14.338750000000005</v>
      </c>
      <c r="FE85" s="12">
        <f>IF('Données projet'!$A$218&gt;35,FE84+FD85-FM84,IF(A85&lt;'Données projet'!$A$218,$FB$205^A85,IF(A85='Données projet'!$A$218,'Données projet'!$B$218,FE84+FD85-FM84)))</f>
        <v>501.7512499999994</v>
      </c>
      <c r="FF85" s="17">
        <f>FE85*VLOOKUP('Données projet'!$B$16,Paramètres!$A$1:$I$89,3,0)*VLOOKUP('Données projet'!$B$16,Paramètres!$A$1:$I$89,5,0)</f>
        <v>234.81958499999971</v>
      </c>
      <c r="FG85" s="13">
        <f t="shared" si="101"/>
        <v>57.323527375429443</v>
      </c>
      <c r="FH85" s="20">
        <f t="shared" si="76"/>
        <v>508.81592072053917</v>
      </c>
      <c r="FI85" s="59">
        <f t="shared" si="77"/>
        <v>782.03566909849894</v>
      </c>
      <c r="FJ85" s="59">
        <f ca="1">AVERAGE(OFFSET($FI$3,0,0,'Données projet'!$E$16+1,1))-AVERAGE(OFFSET($H$3,0,0,'Données projet'!$E$16+1,1))</f>
        <v>329.49463758169588</v>
      </c>
      <c r="FK85" s="59">
        <f t="shared" si="102"/>
        <v>207.1447698203379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102.11457704890934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102.11457704890934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763.00000000000057</v>
      </c>
      <c r="GA85" s="17">
        <f>FZ85*VLOOKUP('Données projet'!$B$17,Paramètres!$A$1:$I$89,3,0)*VLOOKUP('Données projet'!$B$17,Paramètres!$A$1:$I$89,5,0)</f>
        <v>456.2740000000004</v>
      </c>
      <c r="GB85" s="13">
        <f t="shared" si="103"/>
        <v>103.09649786611838</v>
      </c>
      <c r="GC85" s="20">
        <f t="shared" si="79"/>
        <v>974.23695045015677</v>
      </c>
      <c r="GD85" s="59">
        <f t="shared" si="80"/>
        <v>1247.4566988281165</v>
      </c>
      <c r="GE85" s="59">
        <f ca="1">AVERAGE(OFFSET($GD$3,0,0,'Données projet'!$E$17+1,1))-AVERAGE(OFFSET($H$3,0,0,'Données projet'!$E$17+1,1))</f>
        <v>577.07444926285291</v>
      </c>
      <c r="GF85" s="59">
        <f t="shared" si="104"/>
        <v>501.3762209070419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102.28890082300715</v>
      </c>
      <c r="GM85" s="21">
        <f>EXP(-LN(2)/25)*GM84+(1-EXP(-LN(2)/25))/(LN(2)/25)*Calculateur!GH85*Calculateur!GJ85*VLOOKUP('Données projet'!$B$17,Paramètres!$A$1:$I$89,3,0)*0.475*44/12</f>
        <v>15.47309761356855</v>
      </c>
      <c r="GN85" s="21">
        <f>EXP(-LN(2)/2)*GN84+(1-EXP(-LN(2)/2))/(LN(2)/2)*GH85*GK85*VLOOKUP('Données projet'!$B$17,Paramètres!$A$1:$I$89,3,0)*0.475*44/12</f>
        <v>1.1704454108955126E-9</v>
      </c>
      <c r="GO85" s="21">
        <f t="shared" si="81"/>
        <v>117.76199843774616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64.514476830352663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-5.6843418860808015E-14</v>
      </c>
      <c r="GV85" s="17">
        <f>GU85*VLOOKUP('Données projet'!$B$18,Paramètres!$A$1:$I$89,3,0)*VLOOKUP('Données projet'!$B$18,Paramètres!$A$1:$I$89,5,0)</f>
        <v>-3.0061073630349716E-14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212.75657290802619</v>
      </c>
      <c r="HA85" s="59">
        <f t="shared" si="106"/>
        <v>411.47446316045978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27.447897381398978</v>
      </c>
      <c r="HH85" s="21">
        <f>EXP(-LN(2)/25)*HH84+(1-EXP(-LN(2)/25))/(LN(2)/25)*Calculateur!HC85*Calculateur!HE85*VLOOKUP('Données projet'!$B$18,Paramètres!$A$1:$I$89,3,0)*0.475*44/12</f>
        <v>4.7096041982557475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32.157501579654728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4.60745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16.893983333333335</v>
      </c>
      <c r="H86" s="66">
        <f t="shared" si="56"/>
        <v>189.09073333333333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367.37</v>
      </c>
      <c r="O86" s="13">
        <f>N86*VLOOKUP('Données projet'!$B$9,Paramètres!$A$1:$I$89,3,0)*VLOOKUP('Données projet'!$B$9,Paramètres!$A$1:$I$89,5,0)</f>
        <v>332.39637599999998</v>
      </c>
      <c r="P86" s="13">
        <f t="shared" si="87"/>
        <v>77.926927644548115</v>
      </c>
      <c r="Q86" s="20">
        <f t="shared" si="54"/>
        <v>714.6464205142546</v>
      </c>
      <c r="R86" s="59">
        <f t="shared" si="55"/>
        <v>988.21509462395079</v>
      </c>
      <c r="S86" s="59">
        <f ca="1">AVERAGE(OFFSET($R$3,0,0,'Données projet'!$E$9+1,1))-AVERAGE(OFFSET($H$3,0,0,'Données projet'!$E$9+1,1))</f>
        <v>564.49981446852132</v>
      </c>
      <c r="T86" s="59">
        <f t="shared" si="88"/>
        <v>297.54722913785406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</v>
      </c>
      <c r="AI86" s="13">
        <f>IF('Données projet'!$A$62&gt;35,AI85+AH86-AQ85,IF(A86&lt;'Données projet'!$A$62,$AF$205^A86,IF(A86='Données projet'!$A$62,'Données projet'!$B$62,AI85+AH86-AQ85)))</f>
        <v>367.36999999999995</v>
      </c>
      <c r="AJ86" s="13">
        <f>AI86*VLOOKUP('Données projet'!$B$10,Paramètres!$A$1:$I$89,3,0)*VLOOKUP('Données projet'!$B$10,Paramètres!$A$1:$I$89,5,0)</f>
        <v>372.51317999999998</v>
      </c>
      <c r="AK86" s="13">
        <f t="shared" si="89"/>
        <v>86.181256332416311</v>
      </c>
      <c r="AL86" s="20">
        <f t="shared" si="58"/>
        <v>798.89280994562489</v>
      </c>
      <c r="AM86" s="59">
        <f t="shared" si="59"/>
        <v>1072.4614840553211</v>
      </c>
      <c r="AN86" s="59">
        <f ca="1">AVERAGE(OFFSET($AM$3,0,0,'Données projet'!$E$10+1,1))-AVERAGE(OFFSET($H$3,0,0,'Données projet'!$E$10+1,1))</f>
        <v>623.16549611107564</v>
      </c>
      <c r="AO86" s="59">
        <f t="shared" si="90"/>
        <v>326.15178903425885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118.19313360860123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118.19313360860123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266.99999999999983</v>
      </c>
      <c r="BE86" s="13">
        <f>BD86*VLOOKUP('Données projet'!$B$11,Paramètres!$A$1:$I$89,3,0)*VLOOKUP('Données projet'!$B$11,Paramètres!$A$1:$I$89,5,0)</f>
        <v>216.59039999999987</v>
      </c>
      <c r="BF86" s="13">
        <f t="shared" si="91"/>
        <v>53.373153688190904</v>
      </c>
      <c r="BG86" s="20">
        <f t="shared" si="61"/>
        <v>470.18652267359886</v>
      </c>
      <c r="BH86" s="59">
        <f t="shared" si="62"/>
        <v>743.75519678329499</v>
      </c>
      <c r="BI86" s="59">
        <f ca="1">AVERAGE(OFFSET($BH$3,0,0,'Données projet'!$E$11+1,1))-AVERAGE(OFFSET($H$3,0,0,'Données projet'!$E$11+1,1))</f>
        <v>326.2912419133811</v>
      </c>
      <c r="BJ86" s="59">
        <f t="shared" si="92"/>
        <v>315.07976787459938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41.685785082676134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41.685785082676134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3.6</v>
      </c>
      <c r="BY86" s="12">
        <f>IF('Données projet'!$A$114&gt;35,BY85+BX86-CG85,IF(A86&lt;'Données projet'!$A$114,$BV$205^A86,IF(A86='Données projet'!$A$114,'Données projet'!$B$114,BY85+BX86-CG85)))</f>
        <v>240.8</v>
      </c>
      <c r="BZ86" s="13">
        <f>BY86*VLOOKUP('Données projet'!$B$12,Paramètres!$A$1:$I$89,3,0)*VLOOKUP('Données projet'!$B$12,Paramètres!$A$1:$I$89,5,0)</f>
        <v>154.01568</v>
      </c>
      <c r="CA86" s="13">
        <f t="shared" si="93"/>
        <v>39.489755406006992</v>
      </c>
      <c r="CB86" s="20">
        <f t="shared" si="64"/>
        <v>337.02196666546217</v>
      </c>
      <c r="CC86" s="59">
        <f t="shared" si="65"/>
        <v>610.59064077515836</v>
      </c>
      <c r="CD86" s="59">
        <f ca="1">AVERAGE(OFFSET($CC$3,0,0,'Données projet'!$E$12+1,1))-AVERAGE(OFFSET($H$3,0,0,'Données projet'!$E$12+1,1))</f>
        <v>297.03992602744393</v>
      </c>
      <c r="CE86" s="59">
        <f t="shared" si="94"/>
        <v>265.2588848922893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39.198367673983078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39.198367673983078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367.99999999999972</v>
      </c>
      <c r="CU86" s="17">
        <f>CT86*VLOOKUP('Données projet'!$B$13,Paramètres!$A$1:$I$89,3,0)*VLOOKUP('Données projet'!$B$13,Paramètres!$A$1:$I$89,5,0)</f>
        <v>292.78079999999977</v>
      </c>
      <c r="CV86" s="13">
        <f t="shared" si="95"/>
        <v>69.660903052386217</v>
      </c>
      <c r="CW86" s="20">
        <f t="shared" si="67"/>
        <v>631.25263281623893</v>
      </c>
      <c r="CX86" s="59">
        <f t="shared" si="68"/>
        <v>904.821306925935</v>
      </c>
      <c r="CY86" s="59">
        <f ca="1">AVERAGE(OFFSET($CX$3,0,0,'Données projet'!$E$13+1,1))-AVERAGE(OFFSET($H$3,0,0,'Données projet'!$E$13+1,1))</f>
        <v>427.42918901489531</v>
      </c>
      <c r="CZ86" s="59">
        <f t="shared" si="96"/>
        <v>410.68601510655412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58.077584607153078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58.077584607153078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10.41</v>
      </c>
      <c r="DO86" s="12">
        <f>IF('Données projet'!$A$166&gt;35,DO85+DN86-DW85,IF(A86&lt;'Données projet'!$A$166,$DL$205^A86,IF(A86='Données projet'!$A$166,'Données projet'!$B$166,DO85+DN86-DW85)))</f>
        <v>367.36999999999995</v>
      </c>
      <c r="DP86" s="17">
        <f>DO86*VLOOKUP('Données projet'!$B$14,Paramètres!$A$1:$I$89,3,0)*VLOOKUP('Données projet'!$B$14,Paramètres!$A$1:$I$89,5,0)</f>
        <v>355.32026399999995</v>
      </c>
      <c r="DQ86" s="13">
        <f t="shared" si="97"/>
        <v>82.657045118860125</v>
      </c>
      <c r="DR86" s="20">
        <f t="shared" si="70"/>
        <v>762.81048004868137</v>
      </c>
      <c r="DS86" s="59">
        <f t="shared" si="71"/>
        <v>1036.3791541583776</v>
      </c>
      <c r="DT86" s="59">
        <f ca="1">AVERAGE(OFFSET($DS$3,0,0,'Données projet'!$E$14+1,1))-AVERAGE(OFFSET($H$3,0,0,'Données projet'!$E$14+1,1))</f>
        <v>598.03945725240396</v>
      </c>
      <c r="DU86" s="59">
        <f t="shared" si="98"/>
        <v>313.9014686755695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112.73806590358886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112.73806590358886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10.41</v>
      </c>
      <c r="EJ86" s="12">
        <f>IF('Données projet'!$A$192&gt;35,EJ85+EI86-ER85,IF(A86&lt;'Données projet'!$A$192,$EG$205^A86,IF(A86='Données projet'!$A$192,'Données projet'!$B$192,EJ85+EI86-ER85)))</f>
        <v>367.37</v>
      </c>
      <c r="EK86" s="17">
        <f>EJ86*VLOOKUP('Données projet'!$B$15,Paramètres!$A$1:$I$89,3,0)*VLOOKUP('Données projet'!$B$15,Paramètres!$A$1:$I$89,5,0)</f>
        <v>246.43179599999999</v>
      </c>
      <c r="EL86" s="13">
        <f t="shared" si="99"/>
        <v>59.821225570679459</v>
      </c>
      <c r="EM86" s="20">
        <f t="shared" si="73"/>
        <v>533.39067923560003</v>
      </c>
      <c r="EN86" s="59">
        <f t="shared" si="74"/>
        <v>806.95935334529622</v>
      </c>
      <c r="EO86" s="59">
        <f ca="1">AVERAGE(OFFSET($EN$3,0,0,'Données projet'!$E$15+1,1))-AVERAGE(OFFSET($H$3,0,0,'Données projet'!$E$15+1,1))</f>
        <v>438.27475674276604</v>
      </c>
      <c r="EP86" s="59">
        <f t="shared" si="100"/>
        <v>235.97720136798864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96.372862788551771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96.372862788551771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>
        <f>VLOOKUP(A86,'Données projet'!$A$217:$I$237,2,0)</f>
        <v>516.09</v>
      </c>
      <c r="FC86" s="12">
        <f>VLOOKUP(A86,'Données projet'!$A$217:$I$237,9,0)</f>
        <v>14.338750000000005</v>
      </c>
      <c r="FD86" s="12">
        <f t="array" ref="FD86">INDEX(FC:FC,MIN(IF(ISNUMBER(FC86:FC282),ROW(FC86:FC282),"")))</f>
        <v>14.338750000000005</v>
      </c>
      <c r="FE86" s="12">
        <f>IF('Données projet'!$A$218&gt;35,FE85+FD86-FM85,IF(A86&lt;'Données projet'!$A$218,$FB$205^A86,IF(A86='Données projet'!$A$218,'Données projet'!$B$218,FE85+FD86-FM85)))</f>
        <v>516.08999999999946</v>
      </c>
      <c r="FF86" s="17">
        <f>FE86*VLOOKUP('Données projet'!$B$16,Paramètres!$A$1:$I$89,3,0)*VLOOKUP('Données projet'!$B$16,Paramètres!$A$1:$I$89,5,0)</f>
        <v>241.53011999999973</v>
      </c>
      <c r="FG86" s="13">
        <f t="shared" si="101"/>
        <v>58.768621387125215</v>
      </c>
      <c r="FH86" s="20">
        <f t="shared" si="76"/>
        <v>523.02030791590926</v>
      </c>
      <c r="FI86" s="59">
        <f t="shared" si="77"/>
        <v>796.58898202560545</v>
      </c>
      <c r="FJ86" s="59">
        <f ca="1">AVERAGE(OFFSET($FI$3,0,0,'Données projet'!$E$16+1,1))-AVERAGE(OFFSET($H$3,0,0,'Données projet'!$E$16+1,1))</f>
        <v>329.49463758169588</v>
      </c>
      <c r="FK86" s="59">
        <f t="shared" si="102"/>
        <v>207.1447698203379</v>
      </c>
      <c r="FL86" s="15">
        <f>IF(ISNA(VLOOKUP(A86,'Données projet'!$A$217:$I$237,3,0)),0,VLOOKUP(A86,'Données projet'!$A$217:$I$237,3,0))</f>
        <v>6</v>
      </c>
      <c r="FM86" s="15">
        <f>IF(ISNA(VLOOKUP(A86,'Données projet'!$A$217:$I$237,4,0)),0,VLOOKUP(A86,'Données projet'!$A$217:$I$237,4,0))</f>
        <v>90.24</v>
      </c>
      <c r="FN86" s="16">
        <f>IF(ISNA(VLOOKUP(A86,'Données projet'!$A$217:$I$237,5,0)),0%,VLOOKUP(A86,'Données projet'!$A$217:$I$237,5,0)*VLOOKUP('Données projet'!$B$16,Paramètres!$A$1:$I$89,7,0))</f>
        <v>0.55000000000000004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130.92531449723384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130.92531449723384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763.00000000000057</v>
      </c>
      <c r="GA86" s="17">
        <f>FZ86*VLOOKUP('Données projet'!$B$17,Paramètres!$A$1:$I$89,3,0)*VLOOKUP('Données projet'!$B$17,Paramètres!$A$1:$I$89,5,0)</f>
        <v>456.2740000000004</v>
      </c>
      <c r="GB86" s="13">
        <f t="shared" si="103"/>
        <v>103.09649786611838</v>
      </c>
      <c r="GC86" s="20">
        <f t="shared" si="79"/>
        <v>974.23695045015677</v>
      </c>
      <c r="GD86" s="59">
        <f t="shared" si="80"/>
        <v>1247.805624559853</v>
      </c>
      <c r="GE86" s="59">
        <f ca="1">AVERAGE(OFFSET($GD$3,0,0,'Données projet'!$E$17+1,1))-AVERAGE(OFFSET($H$3,0,0,'Données projet'!$E$17+1,1))</f>
        <v>577.07444926285291</v>
      </c>
      <c r="GF86" s="59">
        <f t="shared" si="104"/>
        <v>501.3762209070419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100.28307786793698</v>
      </c>
      <c r="GM86" s="21">
        <f>EXP(-LN(2)/25)*GM85+(1-EXP(-LN(2)/25))/(LN(2)/25)*Calculateur!GH86*Calculateur!GJ86*VLOOKUP('Données projet'!$B$17,Paramètres!$A$1:$I$89,3,0)*0.475*44/12</f>
        <v>15.049984945630678</v>
      </c>
      <c r="GN86" s="21">
        <f>EXP(-LN(2)/2)*GN85+(1-EXP(-LN(2)/2))/(LN(2)/2)*GH86*GK86*VLOOKUP('Données projet'!$B$17,Paramètres!$A$1:$I$89,3,0)*0.475*44/12</f>
        <v>8.2762988705289195E-10</v>
      </c>
      <c r="GO86" s="21">
        <f t="shared" si="81"/>
        <v>115.33306281439529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64.609638393553482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-5.6843418860808015E-14</v>
      </c>
      <c r="GV86" s="17">
        <f>GU86*VLOOKUP('Données projet'!$B$18,Paramètres!$A$1:$I$89,3,0)*VLOOKUP('Données projet'!$B$18,Paramètres!$A$1:$I$89,5,0)</f>
        <v>-3.0061073630349716E-14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212.75657290802619</v>
      </c>
      <c r="HA86" s="59">
        <f t="shared" si="106"/>
        <v>411.47446316045978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26.909660855314055</v>
      </c>
      <c r="HH86" s="21">
        <f>EXP(-LN(2)/25)*HH85+(1-EXP(-LN(2)/25))/(LN(2)/25)*Calculateur!HC86*Calculateur!HE86*VLOOKUP('Données projet'!$B$18,Paramètres!$A$1:$I$89,3,0)*0.475*44/12</f>
        <v>4.5808198237871229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31.490480679101179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4.60745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16.893983333333335</v>
      </c>
      <c r="H87" s="66">
        <f t="shared" si="56"/>
        <v>189.09073333333333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377.78000000000003</v>
      </c>
      <c r="O87" s="13">
        <f>N87*VLOOKUP('Données projet'!$B$9,Paramètres!$A$1:$I$89,3,0)*VLOOKUP('Données projet'!$B$9,Paramètres!$A$1:$I$89,5,0)</f>
        <v>341.81534400000004</v>
      </c>
      <c r="P87" s="13">
        <f t="shared" si="87"/>
        <v>79.874891668491202</v>
      </c>
      <c r="Q87" s="20">
        <f t="shared" si="54"/>
        <v>734.44382712262222</v>
      </c>
      <c r="R87" s="59">
        <f t="shared" si="55"/>
        <v>1008.3553738826902</v>
      </c>
      <c r="S87" s="59">
        <f ca="1">AVERAGE(OFFSET($R$3,0,0,'Données projet'!$E$9+1,1))-AVERAGE(OFFSET($H$3,0,0,'Données projet'!$E$9+1,1))</f>
        <v>564.49981446852132</v>
      </c>
      <c r="T87" s="59">
        <f t="shared" si="88"/>
        <v>297.54722913785406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</v>
      </c>
      <c r="AI87" s="13">
        <f>IF('Données projet'!$A$62&gt;35,AI86+AH87-AQ86,IF(A87&lt;'Données projet'!$A$62,$AF$205^A87,IF(A87='Données projet'!$A$62,'Données projet'!$B$62,AI86+AH87-AQ86)))</f>
        <v>377.78</v>
      </c>
      <c r="AJ87" s="13">
        <f>AI87*VLOOKUP('Données projet'!$B$10,Paramètres!$A$1:$I$89,3,0)*VLOOKUP('Données projet'!$B$10,Paramètres!$A$1:$I$89,5,0)</f>
        <v>383.06891999999999</v>
      </c>
      <c r="AK87" s="13">
        <f t="shared" si="89"/>
        <v>88.335556417741373</v>
      </c>
      <c r="AL87" s="20">
        <f t="shared" si="58"/>
        <v>821.02946309423294</v>
      </c>
      <c r="AM87" s="59">
        <f t="shared" si="59"/>
        <v>1094.9410098543008</v>
      </c>
      <c r="AN87" s="59">
        <f ca="1">AVERAGE(OFFSET($AM$3,0,0,'Données projet'!$E$10+1,1))-AVERAGE(OFFSET($H$3,0,0,'Données projet'!$E$10+1,1))</f>
        <v>623.16549611107564</v>
      </c>
      <c r="AO87" s="59">
        <f t="shared" si="90"/>
        <v>326.15178903425885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115.8754383492297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115.8754383492297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266.99999999999983</v>
      </c>
      <c r="BE87" s="13">
        <f>BD87*VLOOKUP('Données projet'!$B$11,Paramètres!$A$1:$I$89,3,0)*VLOOKUP('Données projet'!$B$11,Paramètres!$A$1:$I$89,5,0)</f>
        <v>216.59039999999987</v>
      </c>
      <c r="BF87" s="13">
        <f t="shared" si="91"/>
        <v>53.373153688190904</v>
      </c>
      <c r="BG87" s="20">
        <f t="shared" si="61"/>
        <v>470.18652267359886</v>
      </c>
      <c r="BH87" s="59">
        <f t="shared" si="62"/>
        <v>744.09806943366675</v>
      </c>
      <c r="BI87" s="59">
        <f ca="1">AVERAGE(OFFSET($BH$3,0,0,'Données projet'!$E$11+1,1))-AVERAGE(OFFSET($H$3,0,0,'Données projet'!$E$11+1,1))</f>
        <v>326.2912419133811</v>
      </c>
      <c r="BJ87" s="59">
        <f t="shared" si="92"/>
        <v>315.07976787459938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40.868352263023162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40.868352263023162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3.6</v>
      </c>
      <c r="BY87" s="12">
        <f>IF('Données projet'!$A$114&gt;35,BY86+BX87-CG86,IF(A87&lt;'Données projet'!$A$114,$BV$205^A87,IF(A87='Données projet'!$A$114,'Données projet'!$B$114,BY86+BX87-CG86)))</f>
        <v>244.4</v>
      </c>
      <c r="BZ87" s="13">
        <f>BY87*VLOOKUP('Données projet'!$B$12,Paramètres!$A$1:$I$89,3,0)*VLOOKUP('Données projet'!$B$12,Paramètres!$A$1:$I$89,5,0)</f>
        <v>156.31824</v>
      </c>
      <c r="CA87" s="13">
        <f t="shared" si="93"/>
        <v>40.010962373637824</v>
      </c>
      <c r="CB87" s="20">
        <f t="shared" si="64"/>
        <v>341.94002746741921</v>
      </c>
      <c r="CC87" s="59">
        <f t="shared" si="65"/>
        <v>615.85157422748716</v>
      </c>
      <c r="CD87" s="59">
        <f ca="1">AVERAGE(OFFSET($CC$3,0,0,'Données projet'!$E$12+1,1))-AVERAGE(OFFSET($H$3,0,0,'Données projet'!$E$12+1,1))</f>
        <v>297.03992602744393</v>
      </c>
      <c r="CE87" s="59">
        <f t="shared" si="94"/>
        <v>265.2588848922893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38.429711592539768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38.429711592539768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367.99999999999972</v>
      </c>
      <c r="CU87" s="17">
        <f>CT87*VLOOKUP('Données projet'!$B$13,Paramètres!$A$1:$I$89,3,0)*VLOOKUP('Données projet'!$B$13,Paramètres!$A$1:$I$89,5,0)</f>
        <v>292.78079999999977</v>
      </c>
      <c r="CV87" s="13">
        <f t="shared" si="95"/>
        <v>69.660903052386217</v>
      </c>
      <c r="CW87" s="20">
        <f t="shared" si="67"/>
        <v>631.25263281623893</v>
      </c>
      <c r="CX87" s="59">
        <f t="shared" si="68"/>
        <v>905.16417957630688</v>
      </c>
      <c r="CY87" s="59">
        <f ca="1">AVERAGE(OFFSET($CX$3,0,0,'Données projet'!$E$13+1,1))-AVERAGE(OFFSET($H$3,0,0,'Données projet'!$E$13+1,1))</f>
        <v>427.42918901489531</v>
      </c>
      <c r="CZ87" s="59">
        <f t="shared" si="96"/>
        <v>410.68601510655412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56.938718596835606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56.938718596835606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10.41</v>
      </c>
      <c r="DO87" s="12">
        <f>IF('Données projet'!$A$166&gt;35,DO86+DN87-DW86,IF(A87&lt;'Données projet'!$A$166,$DL$205^A87,IF(A87='Données projet'!$A$166,'Données projet'!$B$166,DO86+DN87-DW86)))</f>
        <v>377.78</v>
      </c>
      <c r="DP87" s="17">
        <f>DO87*VLOOKUP('Données projet'!$B$14,Paramètres!$A$1:$I$89,3,0)*VLOOKUP('Données projet'!$B$14,Paramètres!$A$1:$I$89,5,0)</f>
        <v>365.38881599999996</v>
      </c>
      <c r="DQ87" s="13">
        <f t="shared" si="97"/>
        <v>84.72324938333999</v>
      </c>
      <c r="DR87" s="20">
        <f t="shared" si="70"/>
        <v>783.94518054265029</v>
      </c>
      <c r="DS87" s="59">
        <f t="shared" si="71"/>
        <v>1057.8567273027181</v>
      </c>
      <c r="DT87" s="59">
        <f ca="1">AVERAGE(OFFSET($DS$3,0,0,'Données projet'!$E$14+1,1))-AVERAGE(OFFSET($H$3,0,0,'Données projet'!$E$14+1,1))</f>
        <v>598.03945725240396</v>
      </c>
      <c r="DU87" s="59">
        <f t="shared" si="98"/>
        <v>313.9014686755695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110.52734119464986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110.52734119464986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10.41</v>
      </c>
      <c r="EJ87" s="12">
        <f>IF('Données projet'!$A$192&gt;35,EJ86+EI87-ER86,IF(A87&lt;'Données projet'!$A$192,$EG$205^A87,IF(A87='Données projet'!$A$192,'Données projet'!$B$192,EJ86+EI87-ER86)))</f>
        <v>377.78000000000003</v>
      </c>
      <c r="EK87" s="17">
        <f>EJ87*VLOOKUP('Données projet'!$B$15,Paramètres!$A$1:$I$89,3,0)*VLOOKUP('Données projet'!$B$15,Paramètres!$A$1:$I$89,5,0)</f>
        <v>253.41482400000001</v>
      </c>
      <c r="EL87" s="13">
        <f t="shared" si="99"/>
        <v>61.316595641104968</v>
      </c>
      <c r="EM87" s="20">
        <f t="shared" si="73"/>
        <v>548.15722254159118</v>
      </c>
      <c r="EN87" s="59">
        <f t="shared" si="74"/>
        <v>822.06876930165913</v>
      </c>
      <c r="EO87" s="59">
        <f ca="1">AVERAGE(OFFSET($EN$3,0,0,'Données projet'!$E$15+1,1))-AVERAGE(OFFSET($H$3,0,0,'Données projet'!$E$15+1,1))</f>
        <v>438.27475674276604</v>
      </c>
      <c r="EP87" s="59">
        <f t="shared" si="100"/>
        <v>235.97720136798864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94.483049730910366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94.483049730910366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13.233750000000001</v>
      </c>
      <c r="FE87" s="12">
        <f>IF('Données projet'!$A$218&gt;35,FE86+FD87-FM86,IF(A87&lt;'Données projet'!$A$218,$FB$205^A87,IF(A87='Données projet'!$A$218,'Données projet'!$B$218,FE86+FD87-FM86)))</f>
        <v>439.08374999999944</v>
      </c>
      <c r="FF87" s="17">
        <f>FE87*VLOOKUP('Données projet'!$B$16,Paramètres!$A$1:$I$89,3,0)*VLOOKUP('Données projet'!$B$16,Paramètres!$A$1:$I$89,5,0)</f>
        <v>205.49119499999972</v>
      </c>
      <c r="FG87" s="13">
        <f t="shared" si="101"/>
        <v>50.949057217114365</v>
      </c>
      <c r="FH87" s="20">
        <f t="shared" si="76"/>
        <v>446.63343927814032</v>
      </c>
      <c r="FI87" s="59">
        <f t="shared" si="77"/>
        <v>720.54498603820821</v>
      </c>
      <c r="FJ87" s="59">
        <f ca="1">AVERAGE(OFFSET($FI$3,0,0,'Données projet'!$E$16+1,1))-AVERAGE(OFFSET($H$3,0,0,'Données projet'!$E$16+1,1))</f>
        <v>329.49463758169588</v>
      </c>
      <c r="FK87" s="59">
        <f t="shared" si="102"/>
        <v>207.1447698203379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128.35794893649975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128.35794893649975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763.00000000000057</v>
      </c>
      <c r="GA87" s="17">
        <f>FZ87*VLOOKUP('Données projet'!$B$17,Paramètres!$A$1:$I$89,3,0)*VLOOKUP('Données projet'!$B$17,Paramètres!$A$1:$I$89,5,0)</f>
        <v>456.2740000000004</v>
      </c>
      <c r="GB87" s="13">
        <f t="shared" si="103"/>
        <v>103.09649786611838</v>
      </c>
      <c r="GC87" s="20">
        <f t="shared" si="79"/>
        <v>974.23695045015677</v>
      </c>
      <c r="GD87" s="59">
        <f t="shared" si="80"/>
        <v>1248.1484972102246</v>
      </c>
      <c r="GE87" s="59">
        <f ca="1">AVERAGE(OFFSET($GD$3,0,0,'Données projet'!$E$17+1,1))-AVERAGE(OFFSET($H$3,0,0,'Données projet'!$E$17+1,1))</f>
        <v>577.07444926285291</v>
      </c>
      <c r="GF87" s="59">
        <f t="shared" si="104"/>
        <v>501.3762209070419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98.316587877584539</v>
      </c>
      <c r="GM87" s="21">
        <f>EXP(-LN(2)/25)*GM86+(1-EXP(-LN(2)/25))/(LN(2)/25)*Calculateur!GH87*Calculateur!GJ87*VLOOKUP('Données projet'!$B$17,Paramètres!$A$1:$I$89,3,0)*0.475*44/12</f>
        <v>14.638442315848096</v>
      </c>
      <c r="GN87" s="21">
        <f>EXP(-LN(2)/2)*GN86+(1-EXP(-LN(2)/2))/(LN(2)/2)*GH87*GK87*VLOOKUP('Données projet'!$B$17,Paramètres!$A$1:$I$89,3,0)*0.475*44/12</f>
        <v>5.852227054477563E-10</v>
      </c>
      <c r="GO87" s="21">
        <f t="shared" si="81"/>
        <v>112.95503019401785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64.70314911638215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-5.6843418860808015E-14</v>
      </c>
      <c r="GV87" s="17">
        <f>GU87*VLOOKUP('Données projet'!$B$18,Paramètres!$A$1:$I$89,3,0)*VLOOKUP('Données projet'!$B$18,Paramètres!$A$1:$I$89,5,0)</f>
        <v>-3.0061073630349716E-14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212.75657290802619</v>
      </c>
      <c r="HA87" s="59">
        <f t="shared" si="106"/>
        <v>411.47446316045978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26.381978819213792</v>
      </c>
      <c r="HH87" s="21">
        <f>EXP(-LN(2)/25)*HH86+(1-EXP(-LN(2)/25))/(LN(2)/25)*Calculateur!HC87*Calculateur!HE87*VLOOKUP('Données projet'!$B$18,Paramètres!$A$1:$I$89,3,0)*0.475*44/12</f>
        <v>4.4555570648108187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30.837535884024611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4.60745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16.893983333333335</v>
      </c>
      <c r="H88" s="66">
        <f t="shared" si="56"/>
        <v>189.09073333333333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388.19000000000005</v>
      </c>
      <c r="O88" s="13">
        <f>N88*VLOOKUP('Données projet'!$B$9,Paramètres!$A$1:$I$89,3,0)*VLOOKUP('Données projet'!$B$9,Paramètres!$A$1:$I$89,5,0)</f>
        <v>351.23431200000005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1028.4788389976991</v>
      </c>
      <c r="S88" s="59">
        <f ca="1">AVERAGE(OFFSET($R$3,0,0,'Données projet'!$E$9+1,1))-AVERAGE(OFFSET($H$3,0,0,'Données projet'!$E$9+1,1))</f>
        <v>564.49981446852132</v>
      </c>
      <c r="T88" s="59">
        <f t="shared" si="88"/>
        <v>297.54722913785406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</v>
      </c>
      <c r="AI88" s="13">
        <f>IF('Données projet'!$A$62&gt;35,AI87+AH88-AQ87,IF(A88&lt;'Données projet'!$A$62,$AF$205^A88,IF(A88='Données projet'!$A$62,'Données projet'!$B$62,AI87+AH88-AQ87)))</f>
        <v>388.19</v>
      </c>
      <c r="AJ88" s="13">
        <f>AI88*VLOOKUP('Données projet'!$B$10,Paramètres!$A$1:$I$89,3,0)*VLOOKUP('Données projet'!$B$10,Paramètres!$A$1:$I$89,5,0)</f>
        <v>393.62466000000001</v>
      </c>
      <c r="AK88" s="13">
        <f t="shared" si="89"/>
        <v>90.482956763204399</v>
      </c>
      <c r="AL88" s="20">
        <f t="shared" si="58"/>
        <v>843.15409919591423</v>
      </c>
      <c r="AM88" s="59">
        <f t="shared" si="59"/>
        <v>1117.4025705324184</v>
      </c>
      <c r="AN88" s="59">
        <f ca="1">AVERAGE(OFFSET($AM$3,0,0,'Données projet'!$E$10+1,1))-AVERAGE(OFFSET($H$3,0,0,'Données projet'!$E$10+1,1))</f>
        <v>623.16549611107564</v>
      </c>
      <c r="AO88" s="59">
        <f t="shared" si="90"/>
        <v>326.15178903425885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113.60319168023992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113.60319168023992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266.99999999999983</v>
      </c>
      <c r="BE88" s="13">
        <f>BD88*VLOOKUP('Données projet'!$B$11,Paramètres!$A$1:$I$89,3,0)*VLOOKUP('Données projet'!$B$11,Paramètres!$A$1:$I$89,5,0)</f>
        <v>216.59039999999987</v>
      </c>
      <c r="BF88" s="13">
        <f t="shared" si="91"/>
        <v>53.373153688190904</v>
      </c>
      <c r="BG88" s="20">
        <f t="shared" si="61"/>
        <v>470.18652267359886</v>
      </c>
      <c r="BH88" s="59">
        <f t="shared" si="62"/>
        <v>744.43499401010297</v>
      </c>
      <c r="BI88" s="59">
        <f ca="1">AVERAGE(OFFSET($BH$3,0,0,'Données projet'!$E$11+1,1))-AVERAGE(OFFSET($H$3,0,0,'Données projet'!$E$11+1,1))</f>
        <v>326.2912419133811</v>
      </c>
      <c r="BJ88" s="59">
        <f t="shared" si="92"/>
        <v>315.07976787459938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40.066948802378796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40.066948802378796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248</v>
      </c>
      <c r="BW88" s="12">
        <f>VLOOKUP(A88,'Données projet'!$A$113:$I$133,9,0)</f>
        <v>3.6</v>
      </c>
      <c r="BX88" s="12">
        <f t="array" ref="BX88">INDEX(BW:BW,MIN(IF(ISNUMBER(BW88:BW284),ROW(BW88:BW284),"")))</f>
        <v>3.6</v>
      </c>
      <c r="BY88" s="12">
        <f>IF('Données projet'!$A$114&gt;35,BY87+BX88-CG87,IF(A88&lt;'Données projet'!$A$114,$BV$205^A88,IF(A88='Données projet'!$A$114,'Données projet'!$B$114,BY87+BX88-CG87)))</f>
        <v>248</v>
      </c>
      <c r="BZ88" s="13">
        <f>BY88*VLOOKUP('Données projet'!$B$12,Paramètres!$A$1:$I$89,3,0)*VLOOKUP('Données projet'!$B$12,Paramètres!$A$1:$I$89,5,0)</f>
        <v>158.6208</v>
      </c>
      <c r="CA88" s="13">
        <f t="shared" si="93"/>
        <v>40.531276428901542</v>
      </c>
      <c r="CB88" s="20">
        <f t="shared" si="64"/>
        <v>346.8565331136702</v>
      </c>
      <c r="CC88" s="59">
        <f t="shared" si="65"/>
        <v>621.10500445017431</v>
      </c>
      <c r="CD88" s="59">
        <f ca="1">AVERAGE(OFFSET($CC$3,0,0,'Données projet'!$E$12+1,1))-AVERAGE(OFFSET($H$3,0,0,'Données projet'!$E$12+1,1))</f>
        <v>297.03992602744393</v>
      </c>
      <c r="CE88" s="59">
        <f t="shared" si="94"/>
        <v>265.2588848922893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41.932622693610284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41.932622693610284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367.99999999999972</v>
      </c>
      <c r="CU88" s="17">
        <f>CT88*VLOOKUP('Données projet'!$B$13,Paramètres!$A$1:$I$89,3,0)*VLOOKUP('Données projet'!$B$13,Paramètres!$A$1:$I$89,5,0)</f>
        <v>292.78079999999977</v>
      </c>
      <c r="CV88" s="13">
        <f t="shared" si="95"/>
        <v>69.660903052386217</v>
      </c>
      <c r="CW88" s="20">
        <f t="shared" si="67"/>
        <v>631.25263281623893</v>
      </c>
      <c r="CX88" s="59">
        <f t="shared" si="68"/>
        <v>905.50110415274298</v>
      </c>
      <c r="CY88" s="59">
        <f ca="1">AVERAGE(OFFSET($CX$3,0,0,'Données projet'!$E$13+1,1))-AVERAGE(OFFSET($H$3,0,0,'Données projet'!$E$13+1,1))</f>
        <v>427.42918901489531</v>
      </c>
      <c r="CZ88" s="59">
        <f t="shared" si="96"/>
        <v>410.68601510655412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55.822185054340778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55.822185054340778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10.41</v>
      </c>
      <c r="DO88" s="12">
        <f>IF('Données projet'!$A$166&gt;35,DO87+DN88-DW87,IF(A88&lt;'Données projet'!$A$166,$DL$205^A88,IF(A88='Données projet'!$A$166,'Données projet'!$B$166,DO87+DN88-DW87)))</f>
        <v>388.19</v>
      </c>
      <c r="DP88" s="17">
        <f>DO88*VLOOKUP('Données projet'!$B$14,Paramètres!$A$1:$I$89,3,0)*VLOOKUP('Données projet'!$B$14,Paramètres!$A$1:$I$89,5,0)</f>
        <v>375.45736799999997</v>
      </c>
      <c r="DQ88" s="13">
        <f t="shared" si="97"/>
        <v>86.782836059108163</v>
      </c>
      <c r="DR88" s="20">
        <f t="shared" si="70"/>
        <v>805.06835540294651</v>
      </c>
      <c r="DS88" s="59">
        <f t="shared" si="71"/>
        <v>1079.3168267394506</v>
      </c>
      <c r="DT88" s="59">
        <f ca="1">AVERAGE(OFFSET($DS$3,0,0,'Données projet'!$E$14+1,1))-AVERAGE(OFFSET($H$3,0,0,'Données projet'!$E$14+1,1))</f>
        <v>598.03945725240396</v>
      </c>
      <c r="DU88" s="59">
        <f t="shared" si="98"/>
        <v>313.9014686755695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108.35996744884423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108.35996744884423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10.41</v>
      </c>
      <c r="EJ88" s="12">
        <f>IF('Données projet'!$A$192&gt;35,EJ87+EI88-ER87,IF(A88&lt;'Données projet'!$A$192,$EG$205^A88,IF(A88='Données projet'!$A$192,'Données projet'!$B$192,EJ87+EI88-ER87)))</f>
        <v>388.19000000000005</v>
      </c>
      <c r="EK88" s="17">
        <f>EJ88*VLOOKUP('Données projet'!$B$15,Paramètres!$A$1:$I$89,3,0)*VLOOKUP('Données projet'!$B$15,Paramètres!$A$1:$I$89,5,0)</f>
        <v>260.39785200000006</v>
      </c>
      <c r="EL88" s="13">
        <f t="shared" si="99"/>
        <v>62.807176376677155</v>
      </c>
      <c r="EM88" s="20">
        <f t="shared" si="73"/>
        <v>562.91542442271282</v>
      </c>
      <c r="EN88" s="59">
        <f t="shared" si="74"/>
        <v>837.16389575921698</v>
      </c>
      <c r="EO88" s="59">
        <f ca="1">AVERAGE(OFFSET($EN$3,0,0,'Données projet'!$E$15+1,1))-AVERAGE(OFFSET($H$3,0,0,'Données projet'!$E$15+1,1))</f>
        <v>438.27475674276604</v>
      </c>
      <c r="EP88" s="59">
        <f t="shared" si="100"/>
        <v>235.97720136798864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92.630294754657157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92.630294754657157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13.233750000000001</v>
      </c>
      <c r="FE88" s="12">
        <f>IF('Données projet'!$A$218&gt;35,FE87+FD88-FM87,IF(A88&lt;'Données projet'!$A$218,$FB$205^A88,IF(A88='Données projet'!$A$218,'Données projet'!$B$218,FE87+FD88-FM87)))</f>
        <v>452.31749999999943</v>
      </c>
      <c r="FF88" s="17">
        <f>FE88*VLOOKUP('Données projet'!$B$16,Paramètres!$A$1:$I$89,3,0)*VLOOKUP('Données projet'!$B$16,Paramètres!$A$1:$I$89,5,0)</f>
        <v>211.68458999999973</v>
      </c>
      <c r="FG88" s="13">
        <f t="shared" si="101"/>
        <v>52.303539640433733</v>
      </c>
      <c r="FH88" s="20">
        <f t="shared" si="76"/>
        <v>459.77932579042158</v>
      </c>
      <c r="FI88" s="59">
        <f t="shared" si="77"/>
        <v>734.02779712692563</v>
      </c>
      <c r="FJ88" s="59">
        <f ca="1">AVERAGE(OFFSET($FI$3,0,0,'Données projet'!$E$16+1,1))-AVERAGE(OFFSET($H$3,0,0,'Données projet'!$E$16+1,1))</f>
        <v>329.49463758169588</v>
      </c>
      <c r="FK88" s="59">
        <f t="shared" si="102"/>
        <v>207.1447698203379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125.84092784847329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125.84092784847329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763.00000000000057</v>
      </c>
      <c r="GA88" s="17">
        <f>FZ88*VLOOKUP('Données projet'!$B$17,Paramètres!$A$1:$I$89,3,0)*VLOOKUP('Données projet'!$B$17,Paramètres!$A$1:$I$89,5,0)</f>
        <v>456.2740000000004</v>
      </c>
      <c r="GB88" s="13">
        <f t="shared" si="103"/>
        <v>103.09649786611838</v>
      </c>
      <c r="GC88" s="20">
        <f t="shared" si="79"/>
        <v>974.23695045015677</v>
      </c>
      <c r="GD88" s="59">
        <f t="shared" si="80"/>
        <v>1248.4854217866609</v>
      </c>
      <c r="GE88" s="59">
        <f ca="1">AVERAGE(OFFSET($GD$3,0,0,'Données projet'!$E$17+1,1))-AVERAGE(OFFSET($H$3,0,0,'Données projet'!$E$17+1,1))</f>
        <v>577.07444926285291</v>
      </c>
      <c r="GF88" s="59">
        <f t="shared" si="104"/>
        <v>501.3762209070419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96.388659556502446</v>
      </c>
      <c r="GM88" s="21">
        <f>EXP(-LN(2)/25)*GM87+(1-EXP(-LN(2)/25))/(LN(2)/25)*Calculateur!GH88*Calculateur!GJ88*VLOOKUP('Données projet'!$B$17,Paramètres!$A$1:$I$89,3,0)*0.475*44/12</f>
        <v>14.238153340919006</v>
      </c>
      <c r="GN88" s="21">
        <f>EXP(-LN(2)/2)*GN87+(1-EXP(-LN(2)/2))/(LN(2)/2)*GH88*GK88*VLOOKUP('Données projet'!$B$17,Paramètres!$A$1:$I$89,3,0)*0.475*44/12</f>
        <v>4.1381494352644598E-10</v>
      </c>
      <c r="GO88" s="21">
        <f t="shared" si="81"/>
        <v>110.62681289783526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64.795037637228404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-5.6843418860808015E-14</v>
      </c>
      <c r="GV88" s="17">
        <f>GU88*VLOOKUP('Données projet'!$B$18,Paramètres!$A$1:$I$89,3,0)*VLOOKUP('Données projet'!$B$18,Paramètres!$A$1:$I$89,5,0)</f>
        <v>-3.0061073630349716E-14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212.75657290802619</v>
      </c>
      <c r="HA88" s="59">
        <f t="shared" si="106"/>
        <v>411.47446316045978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25.864644305987195</v>
      </c>
      <c r="HH88" s="21">
        <f>EXP(-LN(2)/25)*HH87+(1-EXP(-LN(2)/25))/(LN(2)/25)*Calculateur!HC88*Calculateur!HE88*VLOOKUP('Données projet'!$B$18,Paramètres!$A$1:$I$89,3,0)*0.475*44/12</f>
        <v>4.3337196225660044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30.198363928553199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4.60745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16.893983333333335</v>
      </c>
      <c r="H89" s="66">
        <f t="shared" si="56"/>
        <v>189.09073333333333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398.60000000000008</v>
      </c>
      <c r="O89" s="13">
        <f>N89*VLOOKUP('Données projet'!$B$9,Paramètres!$A$1:$I$89,3,0)*VLOOKUP('Données projet'!$B$9,Paramètres!$A$1:$I$89,5,0)</f>
        <v>360.65328000000005</v>
      </c>
      <c r="P89" s="13">
        <f t="shared" si="87"/>
        <v>83.752289576604468</v>
      </c>
      <c r="Q89" s="20">
        <f t="shared" si="54"/>
        <v>774.00636701258611</v>
      </c>
      <c r="R89" s="59">
        <f t="shared" si="55"/>
        <v>1048.5859180373759</v>
      </c>
      <c r="S89" s="59">
        <f ca="1">AVERAGE(OFFSET($R$3,0,0,'Données projet'!$E$9+1,1))-AVERAGE(OFFSET($H$3,0,0,'Données projet'!$E$9+1,1))</f>
        <v>564.49981446852132</v>
      </c>
      <c r="T89" s="59">
        <f t="shared" si="88"/>
        <v>297.54722913785406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</v>
      </c>
      <c r="AI89" s="13">
        <f>IF('Données projet'!$A$62&gt;35,AI88+AH89-AQ88,IF(A89&lt;'Données projet'!$A$62,$AF$205^A89,IF(A89='Données projet'!$A$62,'Données projet'!$B$62,AI88+AH89-AQ88)))</f>
        <v>398.6</v>
      </c>
      <c r="AJ89" s="13">
        <f>AI89*VLOOKUP('Données projet'!$B$10,Paramètres!$A$1:$I$89,3,0)*VLOOKUP('Données projet'!$B$10,Paramètres!$A$1:$I$89,5,0)</f>
        <v>404.18040000000008</v>
      </c>
      <c r="AK89" s="13">
        <f t="shared" si="89"/>
        <v>92.623663662853104</v>
      </c>
      <c r="AL89" s="20">
        <f t="shared" si="58"/>
        <v>865.26707754613597</v>
      </c>
      <c r="AM89" s="59">
        <f t="shared" si="59"/>
        <v>1139.8466285709258</v>
      </c>
      <c r="AN89" s="59">
        <f ca="1">AVERAGE(OFFSET($AM$3,0,0,'Données projet'!$E$10+1,1))-AVERAGE(OFFSET($H$3,0,0,'Données projet'!$E$10+1,1))</f>
        <v>623.16549611107564</v>
      </c>
      <c r="AO89" s="59">
        <f t="shared" si="90"/>
        <v>326.15178903425885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111.37550238249541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111.37550238249541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266.99999999999983</v>
      </c>
      <c r="BE89" s="13">
        <f>BD89*VLOOKUP('Données projet'!$B$11,Paramètres!$A$1:$I$89,3,0)*VLOOKUP('Données projet'!$B$11,Paramètres!$A$1:$I$89,5,0)</f>
        <v>216.59039999999987</v>
      </c>
      <c r="BF89" s="13">
        <f t="shared" si="91"/>
        <v>53.373153688190904</v>
      </c>
      <c r="BG89" s="20">
        <f t="shared" si="61"/>
        <v>470.18652267359886</v>
      </c>
      <c r="BH89" s="59">
        <f t="shared" si="62"/>
        <v>744.7660736983886</v>
      </c>
      <c r="BI89" s="59">
        <f ca="1">AVERAGE(OFFSET($BH$3,0,0,'Données projet'!$E$11+1,1))-AVERAGE(OFFSET($H$3,0,0,'Données projet'!$E$11+1,1))</f>
        <v>326.2912419133811</v>
      </c>
      <c r="BJ89" s="59">
        <f t="shared" si="92"/>
        <v>315.07976787459938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39.281260374789824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39.281260374789824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</v>
      </c>
      <c r="BY89" s="12">
        <f>IF('Données projet'!$A$114&gt;35,BY88+BX89-CG88,IF(A89&lt;'Données projet'!$A$114,$BV$205^A89,IF(A89='Données projet'!$A$114,'Données projet'!$B$114,BY88+BX89-CG88)))</f>
        <v>237</v>
      </c>
      <c r="BZ89" s="13">
        <f>BY89*VLOOKUP('Données projet'!$B$12,Paramètres!$A$1:$I$89,3,0)*VLOOKUP('Données projet'!$B$12,Paramètres!$A$1:$I$89,5,0)</f>
        <v>151.58519999999999</v>
      </c>
      <c r="CA89" s="13">
        <f t="shared" si="93"/>
        <v>38.938607305837699</v>
      </c>
      <c r="CB89" s="20">
        <f t="shared" si="64"/>
        <v>331.82896439100062</v>
      </c>
      <c r="CC89" s="59">
        <f t="shared" si="65"/>
        <v>606.40851541579036</v>
      </c>
      <c r="CD89" s="59">
        <f ca="1">AVERAGE(OFFSET($CC$3,0,0,'Données projet'!$E$12+1,1))-AVERAGE(OFFSET($H$3,0,0,'Données projet'!$E$12+1,1))</f>
        <v>297.03992602744393</v>
      </c>
      <c r="CE89" s="59">
        <f t="shared" si="94"/>
        <v>265.2588848922893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41.110349538962971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41.110349538962971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367.99999999999972</v>
      </c>
      <c r="CU89" s="17">
        <f>CT89*VLOOKUP('Données projet'!$B$13,Paramètres!$A$1:$I$89,3,0)*VLOOKUP('Données projet'!$B$13,Paramètres!$A$1:$I$89,5,0)</f>
        <v>292.78079999999977</v>
      </c>
      <c r="CV89" s="13">
        <f t="shared" si="95"/>
        <v>69.660903052386217</v>
      </c>
      <c r="CW89" s="20">
        <f t="shared" si="67"/>
        <v>631.25263281623893</v>
      </c>
      <c r="CX89" s="59">
        <f t="shared" si="68"/>
        <v>905.83218384102861</v>
      </c>
      <c r="CY89" s="59">
        <f ca="1">AVERAGE(OFFSET($CX$3,0,0,'Données projet'!$E$13+1,1))-AVERAGE(OFFSET($H$3,0,0,'Données projet'!$E$13+1,1))</f>
        <v>427.42918901489531</v>
      </c>
      <c r="CZ89" s="59">
        <f t="shared" si="96"/>
        <v>410.68601510655412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54.727546053596058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54.727546053596058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10.41</v>
      </c>
      <c r="DO89" s="12">
        <f>IF('Données projet'!$A$166&gt;35,DO88+DN89-DW88,IF(A89&lt;'Données projet'!$A$166,$DL$205^A89,IF(A89='Données projet'!$A$166,'Données projet'!$B$166,DO88+DN89-DW88)))</f>
        <v>398.6</v>
      </c>
      <c r="DP89" s="17">
        <f>DO89*VLOOKUP('Données projet'!$B$14,Paramètres!$A$1:$I$89,3,0)*VLOOKUP('Données projet'!$B$14,Paramètres!$A$1:$I$89,5,0)</f>
        <v>385.52592000000004</v>
      </c>
      <c r="DQ89" s="13">
        <f t="shared" si="97"/>
        <v>88.836003004226697</v>
      </c>
      <c r="DR89" s="20">
        <f t="shared" si="70"/>
        <v>826.18034923236155</v>
      </c>
      <c r="DS89" s="59">
        <f t="shared" si="71"/>
        <v>1100.7599002571512</v>
      </c>
      <c r="DT89" s="59">
        <f ca="1">AVERAGE(OFFSET($DS$3,0,0,'Données projet'!$E$14+1,1))-AVERAGE(OFFSET($H$3,0,0,'Données projet'!$E$14+1,1))</f>
        <v>598.03945725240396</v>
      </c>
      <c r="DU89" s="59">
        <f t="shared" si="98"/>
        <v>313.9014686755695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106.23509458022639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106.23509458022639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10.41</v>
      </c>
      <c r="EJ89" s="12">
        <f>IF('Données projet'!$A$192&gt;35,EJ88+EI89-ER88,IF(A89&lt;'Données projet'!$A$192,$EG$205^A89,IF(A89='Données projet'!$A$192,'Données projet'!$B$192,EJ88+EI89-ER88)))</f>
        <v>398.60000000000008</v>
      </c>
      <c r="EK89" s="17">
        <f>EJ89*VLOOKUP('Données projet'!$B$15,Paramètres!$A$1:$I$89,3,0)*VLOOKUP('Données projet'!$B$15,Paramètres!$A$1:$I$89,5,0)</f>
        <v>267.38088000000005</v>
      </c>
      <c r="EL89" s="13">
        <f t="shared" si="99"/>
        <v>64.293110972833858</v>
      </c>
      <c r="EM89" s="20">
        <f t="shared" si="73"/>
        <v>577.66553427768565</v>
      </c>
      <c r="EN89" s="59">
        <f t="shared" si="74"/>
        <v>852.24508530247545</v>
      </c>
      <c r="EO89" s="59">
        <f ca="1">AVERAGE(OFFSET($EN$3,0,0,'Données projet'!$E$15+1,1))-AVERAGE(OFFSET($H$3,0,0,'Données projet'!$E$15+1,1))</f>
        <v>438.27475674276604</v>
      </c>
      <c r="EP89" s="59">
        <f t="shared" si="100"/>
        <v>235.97720136798864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90.813871173419329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90.813871173419329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13.233750000000001</v>
      </c>
      <c r="FE89" s="12">
        <f>IF('Données projet'!$A$218&gt;35,FE88+FD89-FM88,IF(A89&lt;'Données projet'!$A$218,$FB$205^A89,IF(A89='Données projet'!$A$218,'Données projet'!$B$218,FE88+FD89-FM88)))</f>
        <v>465.55124999999941</v>
      </c>
      <c r="FF89" s="17">
        <f>FE89*VLOOKUP('Données projet'!$B$16,Paramètres!$A$1:$I$89,3,0)*VLOOKUP('Données projet'!$B$16,Paramètres!$A$1:$I$89,5,0)</f>
        <v>217.87798499999974</v>
      </c>
      <c r="FG89" s="13">
        <f t="shared" si="101"/>
        <v>53.653416401808421</v>
      </c>
      <c r="FH89" s="20">
        <f t="shared" si="76"/>
        <v>472.91719077481588</v>
      </c>
      <c r="FI89" s="59">
        <f t="shared" si="77"/>
        <v>747.49674179960562</v>
      </c>
      <c r="FJ89" s="59">
        <f ca="1">AVERAGE(OFFSET($FI$3,0,0,'Données projet'!$E$16+1,1))-AVERAGE(OFFSET($H$3,0,0,'Données projet'!$E$16+1,1))</f>
        <v>329.49463758169588</v>
      </c>
      <c r="FK89" s="59">
        <f t="shared" si="102"/>
        <v>207.1447698203379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123.37326400875175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123.37326400875175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763.00000000000057</v>
      </c>
      <c r="GA89" s="17">
        <f>FZ89*VLOOKUP('Données projet'!$B$17,Paramètres!$A$1:$I$89,3,0)*VLOOKUP('Données projet'!$B$17,Paramètres!$A$1:$I$89,5,0)</f>
        <v>456.2740000000004</v>
      </c>
      <c r="GB89" s="13">
        <f t="shared" si="103"/>
        <v>103.09649786611838</v>
      </c>
      <c r="GC89" s="20">
        <f t="shared" si="79"/>
        <v>974.23695045015677</v>
      </c>
      <c r="GD89" s="59">
        <f t="shared" si="80"/>
        <v>1248.8165014749466</v>
      </c>
      <c r="GE89" s="59">
        <f ca="1">AVERAGE(OFFSET($GD$3,0,0,'Données projet'!$E$17+1,1))-AVERAGE(OFFSET($H$3,0,0,'Données projet'!$E$17+1,1))</f>
        <v>577.07444926285291</v>
      </c>
      <c r="GF89" s="59">
        <f t="shared" si="104"/>
        <v>501.3762209070419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94.498536733876605</v>
      </c>
      <c r="GM89" s="21">
        <f>EXP(-LN(2)/25)*GM88+(1-EXP(-LN(2)/25))/(LN(2)/25)*Calculateur!GH89*Calculateur!GJ89*VLOOKUP('Données projet'!$B$17,Paramètres!$A$1:$I$89,3,0)*0.475*44/12</f>
        <v>13.848810289059633</v>
      </c>
      <c r="GN89" s="21">
        <f>EXP(-LN(2)/2)*GN88+(1-EXP(-LN(2)/2))/(LN(2)/2)*GH89*GK89*VLOOKUP('Données projet'!$B$17,Paramètres!$A$1:$I$89,3,0)*0.475*44/12</f>
        <v>2.9261135272387815E-10</v>
      </c>
      <c r="GO89" s="21">
        <f t="shared" si="81"/>
        <v>108.34734702322885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64.885332097669931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-5.6843418860808015E-14</v>
      </c>
      <c r="GV89" s="17">
        <f>GU89*VLOOKUP('Données projet'!$B$18,Paramètres!$A$1:$I$89,3,0)*VLOOKUP('Données projet'!$B$18,Paramètres!$A$1:$I$89,5,0)</f>
        <v>-3.0061073630349716E-14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212.75657290802619</v>
      </c>
      <c r="HA89" s="59">
        <f t="shared" si="106"/>
        <v>411.47446316045978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25.357454407022075</v>
      </c>
      <c r="HH89" s="21">
        <f>EXP(-LN(2)/25)*HH88+(1-EXP(-LN(2)/25))/(LN(2)/25)*Calculateur!HC89*Calculateur!HE89*VLOOKUP('Données projet'!$B$18,Paramètres!$A$1:$I$89,3,0)*0.475*44/12</f>
        <v>4.2152138315865271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29.572668238608603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4.60745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16.893983333333335</v>
      </c>
      <c r="H90" s="66">
        <f t="shared" si="56"/>
        <v>189.09073333333333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409.0100000000001</v>
      </c>
      <c r="O90" s="13">
        <f>N90*VLOOKUP('Données projet'!$B$9,Paramètres!$A$1:$I$89,3,0)*VLOOKUP('Données projet'!$B$9,Paramètres!$A$1:$I$89,5,0)</f>
        <v>370.07224800000012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1068.6770193440286</v>
      </c>
      <c r="S90" s="59">
        <f ca="1">AVERAGE(OFFSET($R$3,0,0,'Données projet'!$E$9+1,1))-AVERAGE(OFFSET($H$3,0,0,'Données projet'!$E$9+1,1))</f>
        <v>564.49981446852132</v>
      </c>
      <c r="T90" s="59">
        <f t="shared" si="88"/>
        <v>297.54722913785406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10.41</v>
      </c>
      <c r="AI90" s="13">
        <f>IF('Données projet'!$A$62&gt;35,AI89+AH90-AQ89,IF(A90&lt;'Données projet'!$A$62,$AF$205^A90,IF(A90='Données projet'!$A$62,'Données projet'!$B$62,AI89+AH90-AQ89)))</f>
        <v>409.01000000000005</v>
      </c>
      <c r="AJ90" s="13">
        <f>AI90*VLOOKUP('Données projet'!$B$10,Paramètres!$A$1:$I$89,3,0)*VLOOKUP('Données projet'!$B$10,Paramètres!$A$1:$I$89,5,0)</f>
        <v>414.73614000000009</v>
      </c>
      <c r="AK90" s="13">
        <f t="shared" si="89"/>
        <v>94.757872021698574</v>
      </c>
      <c r="AL90" s="20">
        <f t="shared" si="58"/>
        <v>887.36873760445849</v>
      </c>
      <c r="AM90" s="59">
        <f t="shared" si="59"/>
        <v>1162.2736248251254</v>
      </c>
      <c r="AN90" s="59">
        <f ca="1">AVERAGE(OFFSET($AM$3,0,0,'Données projet'!$E$10+1,1))-AVERAGE(OFFSET($H$3,0,0,'Données projet'!$E$10+1,1))</f>
        <v>623.16549611107564</v>
      </c>
      <c r="AO90" s="59">
        <f t="shared" si="90"/>
        <v>326.15178903425885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109.19149671312337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109.19149671312337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266.99999999999983</v>
      </c>
      <c r="BE90" s="13">
        <f>BD90*VLOOKUP('Données projet'!$B$11,Paramètres!$A$1:$I$89,3,0)*VLOOKUP('Données projet'!$B$11,Paramètres!$A$1:$I$89,5,0)</f>
        <v>216.59039999999987</v>
      </c>
      <c r="BF90" s="13">
        <f t="shared" si="91"/>
        <v>53.373153688190904</v>
      </c>
      <c r="BG90" s="20">
        <f t="shared" si="61"/>
        <v>470.18652267359886</v>
      </c>
      <c r="BH90" s="59">
        <f t="shared" si="62"/>
        <v>745.09140989426567</v>
      </c>
      <c r="BI90" s="59">
        <f ca="1">AVERAGE(OFFSET($BH$3,0,0,'Données projet'!$E$11+1,1))-AVERAGE(OFFSET($H$3,0,0,'Données projet'!$E$11+1,1))</f>
        <v>326.2912419133811</v>
      </c>
      <c r="BJ90" s="59">
        <f t="shared" si="92"/>
        <v>315.07976787459938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38.510978818043249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38.510978818043249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</v>
      </c>
      <c r="BY90" s="12">
        <f>IF('Données projet'!$A$114&gt;35,BY89+BX90-CG89,IF(A90&lt;'Données projet'!$A$114,$BV$205^A90,IF(A90='Données projet'!$A$114,'Données projet'!$B$114,BY89+BX90-CG89)))</f>
        <v>240</v>
      </c>
      <c r="BZ90" s="13">
        <f>BY90*VLOOKUP('Données projet'!$B$12,Paramètres!$A$1:$I$89,3,0)*VLOOKUP('Données projet'!$B$12,Paramètres!$A$1:$I$89,5,0)</f>
        <v>153.50399999999999</v>
      </c>
      <c r="CA90" s="13">
        <f t="shared" si="93"/>
        <v>39.373808884365609</v>
      </c>
      <c r="CB90" s="20">
        <f t="shared" si="64"/>
        <v>335.9288504736034</v>
      </c>
      <c r="CC90" s="59">
        <f t="shared" si="65"/>
        <v>610.83373769427021</v>
      </c>
      <c r="CD90" s="59">
        <f ca="1">AVERAGE(OFFSET($CC$3,0,0,'Données projet'!$E$12+1,1))-AVERAGE(OFFSET($H$3,0,0,'Données projet'!$E$12+1,1))</f>
        <v>297.03992602744393</v>
      </c>
      <c r="CE90" s="59">
        <f t="shared" si="94"/>
        <v>265.2588848922893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40.304200659341191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40.304200659341191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367.99999999999972</v>
      </c>
      <c r="CU90" s="17">
        <f>CT90*VLOOKUP('Données projet'!$B$13,Paramètres!$A$1:$I$89,3,0)*VLOOKUP('Données projet'!$B$13,Paramètres!$A$1:$I$89,5,0)</f>
        <v>292.78079999999977</v>
      </c>
      <c r="CV90" s="13">
        <f t="shared" si="95"/>
        <v>69.660903052386217</v>
      </c>
      <c r="CW90" s="20">
        <f t="shared" si="67"/>
        <v>631.25263281623893</v>
      </c>
      <c r="CX90" s="59">
        <f t="shared" si="68"/>
        <v>906.15752003690568</v>
      </c>
      <c r="CY90" s="59">
        <f ca="1">AVERAGE(OFFSET($CX$3,0,0,'Données projet'!$E$13+1,1))-AVERAGE(OFFSET($H$3,0,0,'Données projet'!$E$13+1,1))</f>
        <v>427.42918901489531</v>
      </c>
      <c r="CZ90" s="59">
        <f t="shared" si="96"/>
        <v>410.68601510655412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53.654372255992079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53.654372255992079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10.41</v>
      </c>
      <c r="DO90" s="12">
        <f>IF('Données projet'!$A$166&gt;35,DO89+DN90-DW89,IF(A90&lt;'Données projet'!$A$166,$DL$205^A90,IF(A90='Données projet'!$A$166,'Données projet'!$B$166,DO89+DN90-DW89)))</f>
        <v>409.01000000000005</v>
      </c>
      <c r="DP90" s="17">
        <f>DO90*VLOOKUP('Données projet'!$B$14,Paramètres!$A$1:$I$89,3,0)*VLOOKUP('Données projet'!$B$14,Paramètres!$A$1:$I$89,5,0)</f>
        <v>395.59447200000005</v>
      </c>
      <c r="DQ90" s="13">
        <f t="shared" si="97"/>
        <v>90.882937153454037</v>
      </c>
      <c r="DR90" s="20">
        <f t="shared" si="70"/>
        <v>847.28148760893248</v>
      </c>
      <c r="DS90" s="59">
        <f t="shared" si="71"/>
        <v>1122.1863748295993</v>
      </c>
      <c r="DT90" s="59">
        <f ca="1">AVERAGE(OFFSET($DS$3,0,0,'Données projet'!$E$14+1,1))-AVERAGE(OFFSET($H$3,0,0,'Données projet'!$E$14+1,1))</f>
        <v>598.03945725240396</v>
      </c>
      <c r="DU90" s="59">
        <f t="shared" si="98"/>
        <v>313.9014686755695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104.15188917251767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104.15188917251767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10.41</v>
      </c>
      <c r="EJ90" s="12">
        <f>IF('Données projet'!$A$192&gt;35,EJ89+EI90-ER89,IF(A90&lt;'Données projet'!$A$192,$EG$205^A90,IF(A90='Données projet'!$A$192,'Données projet'!$B$192,EJ89+EI90-ER89)))</f>
        <v>409.0100000000001</v>
      </c>
      <c r="EK90" s="17">
        <f>EJ90*VLOOKUP('Données projet'!$B$15,Paramètres!$A$1:$I$89,3,0)*VLOOKUP('Données projet'!$B$15,Paramètres!$A$1:$I$89,5,0)</f>
        <v>274.36390800000004</v>
      </c>
      <c r="EL90" s="13">
        <f t="shared" si="99"/>
        <v>65.774534719511138</v>
      </c>
      <c r="EM90" s="20">
        <f t="shared" si="73"/>
        <v>592.40778773648196</v>
      </c>
      <c r="EN90" s="59">
        <f t="shared" si="74"/>
        <v>867.31267495714883</v>
      </c>
      <c r="EO90" s="59">
        <f ca="1">AVERAGE(OFFSET($EN$3,0,0,'Données projet'!$E$15+1,1))-AVERAGE(OFFSET($H$3,0,0,'Données projet'!$E$15+1,1))</f>
        <v>438.27475674276604</v>
      </c>
      <c r="EP90" s="59">
        <f t="shared" si="100"/>
        <v>235.97720136798864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89.033066550700582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89.033066550700582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13.233750000000001</v>
      </c>
      <c r="FE90" s="12">
        <f>IF('Données projet'!$A$218&gt;35,FE89+FD90-FM89,IF(A90&lt;'Données projet'!$A$218,$FB$205^A90,IF(A90='Données projet'!$A$218,'Données projet'!$B$218,FE89+FD90-FM89)))</f>
        <v>478.7849999999994</v>
      </c>
      <c r="FF90" s="17">
        <f>FE90*VLOOKUP('Données projet'!$B$16,Paramètres!$A$1:$I$89,3,0)*VLOOKUP('Données projet'!$B$16,Paramètres!$A$1:$I$89,5,0)</f>
        <v>224.07137999999972</v>
      </c>
      <c r="FG90" s="13">
        <f t="shared" si="101"/>
        <v>54.998833459119965</v>
      </c>
      <c r="FH90" s="20">
        <f t="shared" si="76"/>
        <v>486.04728844130017</v>
      </c>
      <c r="FI90" s="59">
        <f t="shared" si="77"/>
        <v>760.95217566196698</v>
      </c>
      <c r="FJ90" s="59">
        <f ca="1">AVERAGE(OFFSET($FI$3,0,0,'Données projet'!$E$16+1,1))-AVERAGE(OFFSET($H$3,0,0,'Données projet'!$E$16+1,1))</f>
        <v>329.49463758169588</v>
      </c>
      <c r="FK90" s="59">
        <f t="shared" si="102"/>
        <v>207.1447698203379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120.95398955180083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120.95398955180083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763.00000000000057</v>
      </c>
      <c r="GA90" s="17">
        <f>FZ90*VLOOKUP('Données projet'!$B$17,Paramètres!$A$1:$I$89,3,0)*VLOOKUP('Données projet'!$B$17,Paramètres!$A$1:$I$89,5,0)</f>
        <v>456.2740000000004</v>
      </c>
      <c r="GB90" s="13">
        <f t="shared" si="103"/>
        <v>103.09649786611838</v>
      </c>
      <c r="GC90" s="20">
        <f t="shared" si="79"/>
        <v>974.23695045015677</v>
      </c>
      <c r="GD90" s="59">
        <f t="shared" si="80"/>
        <v>1249.1418376708236</v>
      </c>
      <c r="GE90" s="59">
        <f ca="1">AVERAGE(OFFSET($GD$3,0,0,'Données projet'!$E$17+1,1))-AVERAGE(OFFSET($H$3,0,0,'Données projet'!$E$17+1,1))</f>
        <v>577.07444926285291</v>
      </c>
      <c r="GF90" s="59">
        <f t="shared" si="104"/>
        <v>501.3762209070419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92.645478066941365</v>
      </c>
      <c r="GM90" s="21">
        <f>EXP(-LN(2)/25)*GM89+(1-EXP(-LN(2)/25))/(LN(2)/25)*Calculateur!GH90*Calculateur!GJ90*VLOOKUP('Données projet'!$B$17,Paramètres!$A$1:$I$89,3,0)*0.475*44/12</f>
        <v>13.470113843428017</v>
      </c>
      <c r="GN90" s="21">
        <f>EXP(-LN(2)/2)*GN89+(1-EXP(-LN(2)/2))/(LN(2)/2)*GH90*GK90*VLOOKUP('Données projet'!$B$17,Paramètres!$A$1:$I$89,3,0)*0.475*44/12</f>
        <v>2.0690747176322299E-10</v>
      </c>
      <c r="GO90" s="21">
        <f t="shared" si="81"/>
        <v>106.11559191057628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64.974060151090953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-5.6843418860808015E-14</v>
      </c>
      <c r="GV90" s="17">
        <f>GU90*VLOOKUP('Données projet'!$B$18,Paramètres!$A$1:$I$89,3,0)*VLOOKUP('Données projet'!$B$18,Paramètres!$A$1:$I$89,5,0)</f>
        <v>-3.0061073630349716E-14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212.75657290802619</v>
      </c>
      <c r="HA90" s="59">
        <f t="shared" si="106"/>
        <v>411.47446316045978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24.860210192620368</v>
      </c>
      <c r="HH90" s="21">
        <f>EXP(-LN(2)/25)*HH89+(1-EXP(-LN(2)/25))/(LN(2)/25)*Calculateur!HC90*Calculateur!HE90*VLOOKUP('Données projet'!$B$18,Paramètres!$A$1:$I$89,3,0)*0.475*44/12</f>
        <v>4.0999485876933317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28.960158780313698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4.60745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16.893983333333335</v>
      </c>
      <c r="H91" s="66">
        <f t="shared" si="56"/>
        <v>189.09073333333333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419.42000000000013</v>
      </c>
      <c r="O91" s="13">
        <f>N91*VLOOKUP('Données projet'!$B$9,Paramètres!$A$1:$I$89,3,0)*VLOOKUP('Données projet'!$B$9,Paramètres!$A$1:$I$89,5,0)</f>
        <v>379.49121600000012</v>
      </c>
      <c r="P91" s="13">
        <f t="shared" si="87"/>
        <v>87.606173526430752</v>
      </c>
      <c r="Q91" s="20">
        <f t="shared" si="54"/>
        <v>813.52795342520051</v>
      </c>
      <c r="R91" s="59">
        <f t="shared" si="55"/>
        <v>1088.7525329860889</v>
      </c>
      <c r="S91" s="59">
        <f ca="1">AVERAGE(OFFSET($R$3,0,0,'Données projet'!$E$9+1,1))-AVERAGE(OFFSET($H$3,0,0,'Données projet'!$E$9+1,1))</f>
        <v>564.49981446852132</v>
      </c>
      <c r="T91" s="59">
        <f t="shared" si="88"/>
        <v>297.54722913785406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10.41</v>
      </c>
      <c r="AI91" s="13">
        <f>IF('Données projet'!$A$62&gt;35,AI90+AH91-AQ90,IF(A91&lt;'Données projet'!$A$62,$AF$205^A91,IF(A91='Données projet'!$A$62,'Données projet'!$B$62,AI90+AH91-AQ90)))</f>
        <v>419.42000000000007</v>
      </c>
      <c r="AJ91" s="13">
        <f>AI91*VLOOKUP('Données projet'!$B$10,Paramètres!$A$1:$I$89,3,0)*VLOOKUP('Données projet'!$B$10,Paramètres!$A$1:$I$89,5,0)</f>
        <v>425.29188000000011</v>
      </c>
      <c r="AK91" s="13">
        <f t="shared" si="89"/>
        <v>96.885766258124534</v>
      </c>
      <c r="AL91" s="20">
        <f t="shared" si="58"/>
        <v>909.45940056623385</v>
      </c>
      <c r="AM91" s="59">
        <f t="shared" si="59"/>
        <v>1184.6839801271221</v>
      </c>
      <c r="AN91" s="59">
        <f ca="1">AVERAGE(OFFSET($AM$3,0,0,'Données projet'!$E$10+1,1))-AVERAGE(OFFSET($H$3,0,0,'Données projet'!$E$10+1,1))</f>
        <v>623.16549611107564</v>
      </c>
      <c r="AO91" s="59">
        <f t="shared" si="90"/>
        <v>326.15178903425885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107.05031806281579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107.05031806281579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266.99999999999983</v>
      </c>
      <c r="BE91" s="13">
        <f>BD91*VLOOKUP('Données projet'!$B$11,Paramètres!$A$1:$I$89,3,0)*VLOOKUP('Données projet'!$B$11,Paramètres!$A$1:$I$89,5,0)</f>
        <v>216.59039999999987</v>
      </c>
      <c r="BF91" s="13">
        <f t="shared" si="91"/>
        <v>53.373153688190904</v>
      </c>
      <c r="BG91" s="20">
        <f t="shared" si="61"/>
        <v>470.18652267359886</v>
      </c>
      <c r="BH91" s="59">
        <f t="shared" si="62"/>
        <v>745.4111022344872</v>
      </c>
      <c r="BI91" s="59">
        <f ca="1">AVERAGE(OFFSET($BH$3,0,0,'Données projet'!$E$11+1,1))-AVERAGE(OFFSET($H$3,0,0,'Données projet'!$E$11+1,1))</f>
        <v>326.2912419133811</v>
      </c>
      <c r="BJ91" s="59">
        <f t="shared" si="92"/>
        <v>315.07976787459938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37.755802012799116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37.755802012799116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</v>
      </c>
      <c r="BY91" s="12">
        <f>IF('Données projet'!$A$114&gt;35,BY90+BX91-CG90,IF(A91&lt;'Données projet'!$A$114,$BV$205^A91,IF(A91='Données projet'!$A$114,'Données projet'!$B$114,BY90+BX91-CG90)))</f>
        <v>243</v>
      </c>
      <c r="BZ91" s="13">
        <f>BY91*VLOOKUP('Données projet'!$B$12,Paramètres!$A$1:$I$89,3,0)*VLOOKUP('Données projet'!$B$12,Paramètres!$A$1:$I$89,5,0)</f>
        <v>155.4228</v>
      </c>
      <c r="CA91" s="13">
        <f t="shared" si="93"/>
        <v>39.808377687614154</v>
      </c>
      <c r="CB91" s="20">
        <f t="shared" si="64"/>
        <v>340.02763447259463</v>
      </c>
      <c r="CC91" s="59">
        <f t="shared" si="65"/>
        <v>615.25221403348291</v>
      </c>
      <c r="CD91" s="59">
        <f ca="1">AVERAGE(OFFSET($CC$3,0,0,'Données projet'!$E$12+1,1))-AVERAGE(OFFSET($H$3,0,0,'Données projet'!$E$12+1,1))</f>
        <v>297.03992602744393</v>
      </c>
      <c r="CE91" s="59">
        <f t="shared" si="94"/>
        <v>265.2588848922893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39.513859867546529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39.513859867546529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367.99999999999972</v>
      </c>
      <c r="CU91" s="17">
        <f>CT91*VLOOKUP('Données projet'!$B$13,Paramètres!$A$1:$I$89,3,0)*VLOOKUP('Données projet'!$B$13,Paramètres!$A$1:$I$89,5,0)</f>
        <v>292.78079999999977</v>
      </c>
      <c r="CV91" s="13">
        <f t="shared" si="95"/>
        <v>69.660903052386217</v>
      </c>
      <c r="CW91" s="20">
        <f t="shared" si="67"/>
        <v>631.25263281623893</v>
      </c>
      <c r="CX91" s="59">
        <f t="shared" si="68"/>
        <v>906.47721237712722</v>
      </c>
      <c r="CY91" s="59">
        <f ca="1">AVERAGE(OFFSET($CX$3,0,0,'Données projet'!$E$13+1,1))-AVERAGE(OFFSET($H$3,0,0,'Données projet'!$E$13+1,1))</f>
        <v>427.42918901489531</v>
      </c>
      <c r="CZ91" s="59">
        <f t="shared" si="96"/>
        <v>410.68601510655412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52.60224274198773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52.60224274198773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10.41</v>
      </c>
      <c r="DO91" s="12">
        <f>IF('Données projet'!$A$166&gt;35,DO90+DN91-DW90,IF(A91&lt;'Données projet'!$A$166,$DL$205^A91,IF(A91='Données projet'!$A$166,'Données projet'!$B$166,DO90+DN91-DW90)))</f>
        <v>419.42000000000007</v>
      </c>
      <c r="DP91" s="17">
        <f>DO91*VLOOKUP('Données projet'!$B$14,Paramètres!$A$1:$I$89,3,0)*VLOOKUP('Données projet'!$B$14,Paramètres!$A$1:$I$89,5,0)</f>
        <v>405.66302400000006</v>
      </c>
      <c r="DQ91" s="13">
        <f t="shared" si="97"/>
        <v>92.923815383750451</v>
      </c>
      <c r="DR91" s="20">
        <f t="shared" si="70"/>
        <v>868.37207859336559</v>
      </c>
      <c r="DS91" s="59">
        <f t="shared" si="71"/>
        <v>1143.5966581542539</v>
      </c>
      <c r="DT91" s="59">
        <f ca="1">AVERAGE(OFFSET($DS$3,0,0,'Données projet'!$E$14+1,1))-AVERAGE(OFFSET($H$3,0,0,'Données projet'!$E$14+1,1))</f>
        <v>598.03945725240396</v>
      </c>
      <c r="DU91" s="59">
        <f t="shared" si="98"/>
        <v>313.9014686755695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102.10953415222428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102.10953415222428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10.41</v>
      </c>
      <c r="EJ91" s="12">
        <f>IF('Données projet'!$A$192&gt;35,EJ90+EI91-ER90,IF(A91&lt;'Données projet'!$A$192,$EG$205^A91,IF(A91='Données projet'!$A$192,'Données projet'!$B$192,EJ90+EI91-ER90)))</f>
        <v>419.42000000000013</v>
      </c>
      <c r="EK91" s="17">
        <f>EJ91*VLOOKUP('Données projet'!$B$15,Paramètres!$A$1:$I$89,3,0)*VLOOKUP('Données projet'!$B$15,Paramètres!$A$1:$I$89,5,0)</f>
        <v>281.34693600000008</v>
      </c>
      <c r="EL91" s="13">
        <f t="shared" si="99"/>
        <v>67.251575627534038</v>
      </c>
      <c r="EM91" s="20">
        <f t="shared" si="73"/>
        <v>607.14240775128849</v>
      </c>
      <c r="EN91" s="59">
        <f t="shared" si="74"/>
        <v>882.36698731217689</v>
      </c>
      <c r="EO91" s="59">
        <f ca="1">AVERAGE(OFFSET($EN$3,0,0,'Données projet'!$E$15+1,1))-AVERAGE(OFFSET($H$3,0,0,'Données projet'!$E$15+1,1))</f>
        <v>438.27475674276604</v>
      </c>
      <c r="EP91" s="59">
        <f t="shared" si="100"/>
        <v>235.97720136798864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87.287182420449781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87.287182420449781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13.233750000000001</v>
      </c>
      <c r="FE91" s="12">
        <f>IF('Données projet'!$A$218&gt;35,FE90+FD91-FM90,IF(A91&lt;'Données projet'!$A$218,$FB$205^A91,IF(A91='Données projet'!$A$218,'Données projet'!$B$218,FE90+FD91-FM90)))</f>
        <v>492.01874999999939</v>
      </c>
      <c r="FF91" s="17">
        <f>FE91*VLOOKUP('Données projet'!$B$16,Paramètres!$A$1:$I$89,3,0)*VLOOKUP('Données projet'!$B$16,Paramètres!$A$1:$I$89,5,0)</f>
        <v>230.2647749999997</v>
      </c>
      <c r="FG91" s="13">
        <f t="shared" si="101"/>
        <v>56.33992824246085</v>
      </c>
      <c r="FH91" s="20">
        <f t="shared" si="76"/>
        <v>499.16985814728554</v>
      </c>
      <c r="FI91" s="59">
        <f t="shared" si="77"/>
        <v>774.39443770817388</v>
      </c>
      <c r="FJ91" s="59">
        <f ca="1">AVERAGE(OFFSET($FI$3,0,0,'Données projet'!$E$16+1,1))-AVERAGE(OFFSET($H$3,0,0,'Données projet'!$E$16+1,1))</f>
        <v>329.49463758169588</v>
      </c>
      <c r="FK91" s="59">
        <f t="shared" si="102"/>
        <v>207.1447698203379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118.582155591339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118.582155591339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763.00000000000057</v>
      </c>
      <c r="GA91" s="17">
        <f>FZ91*VLOOKUP('Données projet'!$B$17,Paramètres!$A$1:$I$89,3,0)*VLOOKUP('Données projet'!$B$17,Paramètres!$A$1:$I$89,5,0)</f>
        <v>456.2740000000004</v>
      </c>
      <c r="GB91" s="13">
        <f t="shared" si="103"/>
        <v>103.09649786611838</v>
      </c>
      <c r="GC91" s="20">
        <f t="shared" si="79"/>
        <v>974.23695045015677</v>
      </c>
      <c r="GD91" s="59">
        <f t="shared" si="80"/>
        <v>1249.4615300110452</v>
      </c>
      <c r="GE91" s="59">
        <f ca="1">AVERAGE(OFFSET($GD$3,0,0,'Données projet'!$E$17+1,1))-AVERAGE(OFFSET($H$3,0,0,'Données projet'!$E$17+1,1))</f>
        <v>577.07444926285291</v>
      </c>
      <c r="GF91" s="59">
        <f t="shared" si="104"/>
        <v>501.3762209070419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90.828756750210545</v>
      </c>
      <c r="GM91" s="21">
        <f>EXP(-LN(2)/25)*GM90+(1-EXP(-LN(2)/25))/(LN(2)/25)*Calculateur!GH91*Calculateur!GJ91*VLOOKUP('Données projet'!$B$17,Paramètres!$A$1:$I$89,3,0)*0.475*44/12</f>
        <v>13.101772872016976</v>
      </c>
      <c r="GN91" s="21">
        <f>EXP(-LN(2)/2)*GN90+(1-EXP(-LN(2)/2))/(LN(2)/2)*GH91*GK91*VLOOKUP('Données projet'!$B$17,Paramètres!$A$1:$I$89,3,0)*0.475*44/12</f>
        <v>1.4630567636193908E-10</v>
      </c>
      <c r="GO91" s="21">
        <f t="shared" si="81"/>
        <v>103.93052962237383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65.061248971151358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-5.6843418860808015E-14</v>
      </c>
      <c r="GV91" s="17">
        <f>GU91*VLOOKUP('Données projet'!$B$18,Paramètres!$A$1:$I$89,3,0)*VLOOKUP('Données projet'!$B$18,Paramètres!$A$1:$I$89,5,0)</f>
        <v>-3.0061073630349716E-14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212.75657290802619</v>
      </c>
      <c r="HA91" s="59">
        <f t="shared" si="106"/>
        <v>411.47446316045978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24.372716633974054</v>
      </c>
      <c r="HH91" s="21">
        <f>EXP(-LN(2)/25)*HH90+(1-EXP(-LN(2)/25))/(LN(2)/25)*Calculateur!HC91*Calculateur!HE91*VLOOKUP('Données projet'!$B$18,Paramètres!$A$1:$I$89,3,0)*0.475*44/12</f>
        <v>3.9878352779559321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28.360551911929985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4.60745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16.893983333333335</v>
      </c>
      <c r="H92" s="66">
        <f t="shared" si="56"/>
        <v>189.09073333333333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429.83000000000015</v>
      </c>
      <c r="O92" s="13">
        <f>N92*VLOOKUP('Données projet'!$B$9,Paramètres!$A$1:$I$89,3,0)*VLOOKUP('Données projet'!$B$9,Paramètres!$A$1:$I$89,5,0)</f>
        <v>388.91018400000013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1108.8128320647193</v>
      </c>
      <c r="S92" s="59">
        <f ca="1">AVERAGE(OFFSET($R$3,0,0,'Données projet'!$E$9+1,1))-AVERAGE(OFFSET($H$3,0,0,'Données projet'!$E$9+1,1))</f>
        <v>564.49981446852132</v>
      </c>
      <c r="T92" s="59">
        <f t="shared" si="88"/>
        <v>297.54722913785406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429.83</v>
      </c>
      <c r="AG92" s="12">
        <f>VLOOKUP(A92,'Données projet'!$A$61:$I$81,9,0)</f>
        <v>10.41</v>
      </c>
      <c r="AH92" s="12">
        <f t="array" ref="AH92">INDEX(AG:AG,MIN(IF(ISNUMBER(AG92:AG288),ROW(AG92:AG288),"")))</f>
        <v>10.41</v>
      </c>
      <c r="AI92" s="13">
        <f>IF('Données projet'!$A$62&gt;35,AI91+AH92-AQ91,IF(A92&lt;'Données projet'!$A$62,$AF$205^A92,IF(A92='Données projet'!$A$62,'Données projet'!$B$62,AI91+AH92-AQ91)))</f>
        <v>429.8300000000001</v>
      </c>
      <c r="AJ92" s="13">
        <f>AI92*VLOOKUP('Données projet'!$B$10,Paramètres!$A$1:$I$89,3,0)*VLOOKUP('Données projet'!$B$10,Paramètres!$A$1:$I$89,5,0)</f>
        <v>435.84762000000012</v>
      </c>
      <c r="AK92" s="13">
        <f t="shared" si="89"/>
        <v>99.007521114182325</v>
      </c>
      <c r="AL92" s="20">
        <f t="shared" si="58"/>
        <v>931.53937077386763</v>
      </c>
      <c r="AM92" s="59">
        <f t="shared" si="59"/>
        <v>1207.0780967275996</v>
      </c>
      <c r="AN92" s="59">
        <f ca="1">AVERAGE(OFFSET($AM$3,0,0,'Données projet'!$E$10+1,1))-AVERAGE(OFFSET($H$3,0,0,'Données projet'!$E$10+1,1))</f>
        <v>623.16549611107564</v>
      </c>
      <c r="AO92" s="59">
        <f t="shared" si="90"/>
        <v>326.15178903425885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64.5</v>
      </c>
      <c r="AR92" s="16">
        <f>IF(ISNA(VLOOKUP(A92,'Données projet'!$A$61:$I$81,5,0)),0%,VLOOKUP(A92,'Données projet'!$A$61:$I$81,5,0)*VLOOKUP('Données projet'!$B$10,Paramètres!$A$1:$I$89,7,0))</f>
        <v>0.43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136.04059068986595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136.04059068986595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266.99999999999983</v>
      </c>
      <c r="BE92" s="13">
        <f>BD92*VLOOKUP('Données projet'!$B$11,Paramètres!$A$1:$I$89,3,0)*VLOOKUP('Données projet'!$B$11,Paramètres!$A$1:$I$89,5,0)</f>
        <v>216.59039999999987</v>
      </c>
      <c r="BF92" s="13">
        <f t="shared" si="91"/>
        <v>53.373153688190904</v>
      </c>
      <c r="BG92" s="20">
        <f t="shared" si="61"/>
        <v>470.18652267359886</v>
      </c>
      <c r="BH92" s="59">
        <f t="shared" si="62"/>
        <v>745.72524862733076</v>
      </c>
      <c r="BI92" s="59">
        <f ca="1">AVERAGE(OFFSET($BH$3,0,0,'Données projet'!$E$11+1,1))-AVERAGE(OFFSET($H$3,0,0,'Données projet'!$E$11+1,1))</f>
        <v>326.2912419133811</v>
      </c>
      <c r="BJ92" s="59">
        <f t="shared" si="92"/>
        <v>315.07976787459938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37.015433764093451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37.015433764093451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</v>
      </c>
      <c r="BY92" s="12">
        <f>IF('Données projet'!$A$114&gt;35,BY91+BX92-CG91,IF(A92&lt;'Données projet'!$A$114,$BV$205^A92,IF(A92='Données projet'!$A$114,'Données projet'!$B$114,BY91+BX92-CG91)))</f>
        <v>246</v>
      </c>
      <c r="BZ92" s="13">
        <f>BY92*VLOOKUP('Données projet'!$B$12,Paramètres!$A$1:$I$89,3,0)*VLOOKUP('Données projet'!$B$12,Paramètres!$A$1:$I$89,5,0)</f>
        <v>157.3416</v>
      </c>
      <c r="CA92" s="13">
        <f t="shared" si="93"/>
        <v>40.24232243112715</v>
      </c>
      <c r="CB92" s="20">
        <f t="shared" si="64"/>
        <v>344.12533156754643</v>
      </c>
      <c r="CC92" s="59">
        <f t="shared" si="65"/>
        <v>619.66405752127832</v>
      </c>
      <c r="CD92" s="59">
        <f ca="1">AVERAGE(OFFSET($CC$3,0,0,'Données projet'!$E$12+1,1))-AVERAGE(OFFSET($H$3,0,0,'Données projet'!$E$12+1,1))</f>
        <v>297.03992602744393</v>
      </c>
      <c r="CE92" s="59">
        <f t="shared" si="94"/>
        <v>265.2588848922893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38.739017176618674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38.739017176618674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367.99999999999972</v>
      </c>
      <c r="CU92" s="17">
        <f>CT92*VLOOKUP('Données projet'!$B$13,Paramètres!$A$1:$I$89,3,0)*VLOOKUP('Données projet'!$B$13,Paramètres!$A$1:$I$89,5,0)</f>
        <v>292.78079999999977</v>
      </c>
      <c r="CV92" s="13">
        <f t="shared" si="95"/>
        <v>69.660903052386217</v>
      </c>
      <c r="CW92" s="20">
        <f t="shared" si="67"/>
        <v>631.25263281623893</v>
      </c>
      <c r="CX92" s="59">
        <f t="shared" si="68"/>
        <v>906.79135876997088</v>
      </c>
      <c r="CY92" s="59">
        <f ca="1">AVERAGE(OFFSET($CX$3,0,0,'Données projet'!$E$13+1,1))-AVERAGE(OFFSET($H$3,0,0,'Données projet'!$E$13+1,1))</f>
        <v>427.42918901489531</v>
      </c>
      <c r="CZ92" s="59">
        <f t="shared" si="96"/>
        <v>410.68601510655412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51.570744846017369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51.570744846017369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>
        <f>VLOOKUP(A92,'Données projet'!$A$165:$I$185,2,0)</f>
        <v>429.83</v>
      </c>
      <c r="DM92" s="12">
        <f>VLOOKUP(A92,'Données projet'!$A$165:$I$185,9,0)</f>
        <v>10.41</v>
      </c>
      <c r="DN92" s="12">
        <f t="array" ref="DN92">INDEX(DM:DM,MIN(IF(ISNUMBER(DM92:DM288),ROW(DM92:DM288),"")))</f>
        <v>10.41</v>
      </c>
      <c r="DO92" s="12">
        <f>IF('Données projet'!$A$166&gt;35,DO91+DN92-DW91,IF(A92&lt;'Données projet'!$A$166,$DL$205^A92,IF(A92='Données projet'!$A$166,'Données projet'!$B$166,DO91+DN92-DW91)))</f>
        <v>429.8300000000001</v>
      </c>
      <c r="DP92" s="17">
        <f>DO92*VLOOKUP('Données projet'!$B$14,Paramètres!$A$1:$I$89,3,0)*VLOOKUP('Données projet'!$B$14,Paramètres!$A$1:$I$89,5,0)</f>
        <v>415.73157600000008</v>
      </c>
      <c r="DQ92" s="13">
        <f t="shared" si="97"/>
        <v>94.958805291438409</v>
      </c>
      <c r="DR92" s="20">
        <f t="shared" si="70"/>
        <v>889.45241408258869</v>
      </c>
      <c r="DS92" s="59">
        <f t="shared" si="71"/>
        <v>1164.9911400363205</v>
      </c>
      <c r="DT92" s="59">
        <f ca="1">AVERAGE(OFFSET($DS$3,0,0,'Données projet'!$E$14+1,1))-AVERAGE(OFFSET($H$3,0,0,'Données projet'!$E$14+1,1))</f>
        <v>598.03945725240396</v>
      </c>
      <c r="DU92" s="59">
        <f t="shared" si="98"/>
        <v>313.9014686755695</v>
      </c>
      <c r="DV92" s="15">
        <f>IF(ISNA(VLOOKUP(A92,'Données projet'!$A$165:$I$185,3,0)),0,VLOOKUP(A92,'Données projet'!$A$165:$I$185,3,0))</f>
        <v>8</v>
      </c>
      <c r="DW92" s="15">
        <f>IF(ISNA(VLOOKUP(A92,'Données projet'!$A$165:$I$185,4,0)),0,VLOOKUP(A92,'Données projet'!$A$165:$I$185,4,0))</f>
        <v>64.5</v>
      </c>
      <c r="DX92" s="16">
        <f>IF(ISNA(VLOOKUP(A92,'Données projet'!$A$165:$I$185,5,0)),0%,VLOOKUP(A92,'Données projet'!$A$165:$I$185,5,0)*VLOOKUP('Données projet'!$B$14,Paramètres!$A$1:$I$89,7,0))</f>
        <v>0.43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129.7617941964875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129.7617941964875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>
        <f>VLOOKUP(A92,'Données projet'!$A$191:$I$211,2,0)</f>
        <v>429.83</v>
      </c>
      <c r="EH92" s="12">
        <f>VLOOKUP(A92,'Données projet'!$A$191:$I$211,9,0)</f>
        <v>10.41</v>
      </c>
      <c r="EI92" s="12">
        <f t="array" ref="EI92">INDEX(EH:EH,MIN(IF(ISNUMBER(EH92:EH288),ROW(EH92:EH288),"")))</f>
        <v>10.41</v>
      </c>
      <c r="EJ92" s="12">
        <f>IF('Données projet'!$A$192&gt;35,EJ91+EI92-ER91,IF(A92&lt;'Données projet'!$A$192,$EG$205^A92,IF(A92='Données projet'!$A$192,'Données projet'!$B$192,EJ91+EI92-ER91)))</f>
        <v>429.83000000000015</v>
      </c>
      <c r="EK92" s="17">
        <f>EJ92*VLOOKUP('Données projet'!$B$15,Paramètres!$A$1:$I$89,3,0)*VLOOKUP('Données projet'!$B$15,Paramètres!$A$1:$I$89,5,0)</f>
        <v>288.32996400000007</v>
      </c>
      <c r="EL92" s="13">
        <f t="shared" si="99"/>
        <v>68.72435499106922</v>
      </c>
      <c r="EM92" s="20">
        <f t="shared" si="73"/>
        <v>621.86960557611235</v>
      </c>
      <c r="EN92" s="59">
        <f t="shared" si="74"/>
        <v>897.40833152984419</v>
      </c>
      <c r="EO92" s="59">
        <f ca="1">AVERAGE(OFFSET($EN$3,0,0,'Données projet'!$E$15+1,1))-AVERAGE(OFFSET($H$3,0,0,'Données projet'!$E$15+1,1))</f>
        <v>438.27475674276604</v>
      </c>
      <c r="EP92" s="59">
        <f t="shared" si="100"/>
        <v>235.97720136798864</v>
      </c>
      <c r="EQ92" s="15">
        <f>IF(ISNA(VLOOKUP(A92,'Données projet'!$A$191:$I$211,3,0)),0,VLOOKUP(A92,'Données projet'!$A$191:$I$211,3,0))</f>
        <v>8</v>
      </c>
      <c r="ER92" s="15">
        <f>IF(ISNA(VLOOKUP(A92,'Données projet'!$A$191:$I$211,4,0)),0,VLOOKUP(A92,'Données projet'!$A$191:$I$211,4,0))</f>
        <v>64.5</v>
      </c>
      <c r="ES92" s="16">
        <f>IF(ISNA(VLOOKUP(A92,'Données projet'!$A$191:$I$211,5,0)),0%,VLOOKUP(A92,'Données projet'!$A$191:$I$211,5,0)*VLOOKUP('Données projet'!$B$15,Paramètres!$A$1:$I$89,7,0))</f>
        <v>0.53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110.92540471635222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110.92540471635222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13.233750000000001</v>
      </c>
      <c r="FE92" s="12">
        <f>IF('Données projet'!$A$218&gt;35,FE91+FD92-FM91,IF(A92&lt;'Données projet'!$A$218,$FB$205^A92,IF(A92='Données projet'!$A$218,'Données projet'!$B$218,FE91+FD92-FM91)))</f>
        <v>505.25249999999937</v>
      </c>
      <c r="FF92" s="17">
        <f>FE92*VLOOKUP('Données projet'!$B$16,Paramètres!$A$1:$I$89,3,0)*VLOOKUP('Données projet'!$B$16,Paramètres!$A$1:$I$89,5,0)</f>
        <v>236.45816999999968</v>
      </c>
      <c r="FG92" s="13">
        <f t="shared" si="101"/>
        <v>57.676830368175608</v>
      </c>
      <c r="FH92" s="20">
        <f t="shared" si="76"/>
        <v>512.28512564123855</v>
      </c>
      <c r="FI92" s="59">
        <f t="shared" si="77"/>
        <v>787.82385159497039</v>
      </c>
      <c r="FJ92" s="59">
        <f ca="1">AVERAGE(OFFSET($FI$3,0,0,'Données projet'!$E$16+1,1))-AVERAGE(OFFSET($H$3,0,0,'Données projet'!$E$16+1,1))</f>
        <v>329.49463758169588</v>
      </c>
      <c r="FK92" s="59">
        <f t="shared" si="102"/>
        <v>207.1447698203379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116.25683184816596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116.25683184816596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763.00000000000057</v>
      </c>
      <c r="GA92" s="17">
        <f>FZ92*VLOOKUP('Données projet'!$B$17,Paramètres!$A$1:$I$89,3,0)*VLOOKUP('Données projet'!$B$17,Paramètres!$A$1:$I$89,5,0)</f>
        <v>456.2740000000004</v>
      </c>
      <c r="GB92" s="13">
        <f t="shared" si="103"/>
        <v>103.09649786611838</v>
      </c>
      <c r="GC92" s="20">
        <f t="shared" si="79"/>
        <v>974.23695045015677</v>
      </c>
      <c r="GD92" s="59">
        <f t="shared" si="80"/>
        <v>1249.7756764038886</v>
      </c>
      <c r="GE92" s="59">
        <f ca="1">AVERAGE(OFFSET($GD$3,0,0,'Données projet'!$E$17+1,1))-AVERAGE(OFFSET($H$3,0,0,'Données projet'!$E$17+1,1))</f>
        <v>577.07444926285291</v>
      </c>
      <c r="GF92" s="59">
        <f t="shared" si="104"/>
        <v>501.3762209070419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89.04766023041023</v>
      </c>
      <c r="GM92" s="21">
        <f>EXP(-LN(2)/25)*GM91+(1-EXP(-LN(2)/25))/(LN(2)/25)*Calculateur!GH92*Calculateur!GJ92*VLOOKUP('Données projet'!$B$17,Paramètres!$A$1:$I$89,3,0)*0.475*44/12</f>
        <v>12.743504203839381</v>
      </c>
      <c r="GN92" s="21">
        <f>EXP(-LN(2)/2)*GN91+(1-EXP(-LN(2)/2))/(LN(2)/2)*GH92*GK92*VLOOKUP('Données projet'!$B$17,Paramètres!$A$1:$I$89,3,0)*0.475*44/12</f>
        <v>1.0345373588161149E-10</v>
      </c>
      <c r="GO92" s="21">
        <f t="shared" si="81"/>
        <v>101.79116443435306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65.146925260108702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-5.6843418860808015E-14</v>
      </c>
      <c r="GV92" s="17">
        <f>GU92*VLOOKUP('Données projet'!$B$18,Paramètres!$A$1:$I$89,3,0)*VLOOKUP('Données projet'!$B$18,Paramètres!$A$1:$I$89,5,0)</f>
        <v>-3.0061073630349716E-14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212.75657290802619</v>
      </c>
      <c r="HA92" s="59">
        <f t="shared" si="106"/>
        <v>411.47446316045978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23.894782526671086</v>
      </c>
      <c r="HH92" s="21">
        <f>EXP(-LN(2)/25)*HH91+(1-EXP(-LN(2)/25))/(LN(2)/25)*Calculateur!HC92*Calculateur!HE92*VLOOKUP('Données projet'!$B$18,Paramètres!$A$1:$I$89,3,0)*0.475*44/12</f>
        <v>3.8787877125690842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27.773570239240172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4.60745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16.893983333333335</v>
      </c>
      <c r="H93" s="66">
        <f t="shared" si="56"/>
        <v>189.09073333333333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375.27700000000016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1005.5321289118402</v>
      </c>
      <c r="S93" s="59">
        <f ca="1">AVERAGE(OFFSET($R$3,0,0,'Données projet'!$E$9+1,1))-AVERAGE(OFFSET($H$3,0,0,'Données projet'!$E$9+1,1))</f>
        <v>564.49981446852132</v>
      </c>
      <c r="T93" s="59">
        <f t="shared" si="88"/>
        <v>297.54722913785406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9.9470000000000027</v>
      </c>
      <c r="AI93" s="13">
        <f>IF('Données projet'!$A$62&gt;35,AI92+AH93-AQ92,IF(A93&lt;'Données projet'!$A$62,$AF$205^A93,IF(A93='Données projet'!$A$62,'Données projet'!$B$62,AI92+AH93-AQ92)))</f>
        <v>375.2770000000001</v>
      </c>
      <c r="AJ93" s="13">
        <f>AI93*VLOOKUP('Données projet'!$B$10,Paramètres!$A$1:$I$89,3,0)*VLOOKUP('Données projet'!$B$10,Paramètres!$A$1:$I$89,5,0)</f>
        <v>380.53087800000014</v>
      </c>
      <c r="AK93" s="13">
        <f t="shared" si="89"/>
        <v>87.818210540641346</v>
      </c>
      <c r="AL93" s="20">
        <f t="shared" si="58"/>
        <v>815.70799587495048</v>
      </c>
      <c r="AM93" s="59">
        <f t="shared" si="59"/>
        <v>1091.5554184839361</v>
      </c>
      <c r="AN93" s="59">
        <f ca="1">AVERAGE(OFFSET($AM$3,0,0,'Données projet'!$E$10+1,1))-AVERAGE(OFFSET($H$3,0,0,'Données projet'!$E$10+1,1))</f>
        <v>623.16549611107564</v>
      </c>
      <c r="AO93" s="59">
        <f t="shared" si="90"/>
        <v>326.15178903425885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133.37291768300474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133.37291768300474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266.99999999999983</v>
      </c>
      <c r="BE93" s="13">
        <f>BD93*VLOOKUP('Données projet'!$B$11,Paramètres!$A$1:$I$89,3,0)*VLOOKUP('Données projet'!$B$11,Paramètres!$A$1:$I$89,5,0)</f>
        <v>216.59039999999987</v>
      </c>
      <c r="BF93" s="13">
        <f t="shared" si="91"/>
        <v>53.373153688190904</v>
      </c>
      <c r="BG93" s="20">
        <f t="shared" si="61"/>
        <v>470.18652267359886</v>
      </c>
      <c r="BH93" s="59">
        <f t="shared" si="62"/>
        <v>746.03394528258468</v>
      </c>
      <c r="BI93" s="59">
        <f ca="1">AVERAGE(OFFSET($BH$3,0,0,'Données projet'!$E$11+1,1))-AVERAGE(OFFSET($H$3,0,0,'Données projet'!$E$11+1,1))</f>
        <v>326.2912419133811</v>
      </c>
      <c r="BJ93" s="59">
        <f t="shared" si="92"/>
        <v>315.07976787459938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36.289583685164864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36.289583685164864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249</v>
      </c>
      <c r="BW93" s="12">
        <f>VLOOKUP(A93,'Données projet'!$A$113:$I$133,9,0)</f>
        <v>3</v>
      </c>
      <c r="BX93" s="12">
        <f t="array" ref="BX93">INDEX(BW:BW,MIN(IF(ISNUMBER(BW93:BW289),ROW(BW93:BW289),"")))</f>
        <v>3</v>
      </c>
      <c r="BY93" s="12">
        <f>IF('Données projet'!$A$114&gt;35,BY92+BX93-CG92,IF(A93&lt;'Données projet'!$A$114,$BV$205^A93,IF(A93='Données projet'!$A$114,'Données projet'!$B$114,BY92+BX93-CG92)))</f>
        <v>249</v>
      </c>
      <c r="BZ93" s="13">
        <f>BY93*VLOOKUP('Données projet'!$B$12,Paramètres!$A$1:$I$89,3,0)*VLOOKUP('Données projet'!$B$12,Paramètres!$A$1:$I$89,5,0)</f>
        <v>159.26039999999998</v>
      </c>
      <c r="CA93" s="13">
        <f t="shared" si="93"/>
        <v>40.675651605645328</v>
      </c>
      <c r="CB93" s="20">
        <f t="shared" si="64"/>
        <v>348.22195654649892</v>
      </c>
      <c r="CC93" s="59">
        <f t="shared" si="65"/>
        <v>624.06937915548474</v>
      </c>
      <c r="CD93" s="59">
        <f ca="1">AVERAGE(OFFSET($CC$3,0,0,'Données projet'!$E$12+1,1))-AVERAGE(OFFSET($H$3,0,0,'Données projet'!$E$12+1,1))</f>
        <v>297.03992602744393</v>
      </c>
      <c r="CE93" s="59">
        <f t="shared" si="94"/>
        <v>265.2588848922893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12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41.627792368758797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41.627792368758797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367.99999999999972</v>
      </c>
      <c r="CU93" s="17">
        <f>CT93*VLOOKUP('Données projet'!$B$13,Paramètres!$A$1:$I$89,3,0)*VLOOKUP('Données projet'!$B$13,Paramètres!$A$1:$I$89,5,0)</f>
        <v>292.78079999999977</v>
      </c>
      <c r="CV93" s="13">
        <f t="shared" si="95"/>
        <v>69.660903052386217</v>
      </c>
      <c r="CW93" s="20">
        <f t="shared" si="67"/>
        <v>631.25263281623893</v>
      </c>
      <c r="CX93" s="59">
        <f t="shared" si="68"/>
        <v>907.1000554252247</v>
      </c>
      <c r="CY93" s="59">
        <f ca="1">AVERAGE(OFFSET($CX$3,0,0,'Données projet'!$E$13+1,1))-AVERAGE(OFFSET($H$3,0,0,'Données projet'!$E$13+1,1))</f>
        <v>427.42918901489531</v>
      </c>
      <c r="CZ93" s="59">
        <f t="shared" si="96"/>
        <v>410.68601510655412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50.559473994635397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50.559473994635397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9.9470000000000027</v>
      </c>
      <c r="DO93" s="12">
        <f>IF('Données projet'!$A$166&gt;35,DO92+DN93-DW92,IF(A93&lt;'Données projet'!$A$166,$DL$205^A93,IF(A93='Données projet'!$A$166,'Données projet'!$B$166,DO92+DN93-DW92)))</f>
        <v>375.2770000000001</v>
      </c>
      <c r="DP93" s="17">
        <f>DO93*VLOOKUP('Données projet'!$B$14,Paramètres!$A$1:$I$89,3,0)*VLOOKUP('Données projet'!$B$14,Paramètres!$A$1:$I$89,5,0)</f>
        <v>362.9679144000001</v>
      </c>
      <c r="DQ93" s="13">
        <f t="shared" si="97"/>
        <v>84.227059337785704</v>
      </c>
      <c r="DR93" s="20">
        <f t="shared" si="70"/>
        <v>778.86457925997695</v>
      </c>
      <c r="DS93" s="59">
        <f t="shared" si="71"/>
        <v>1054.7120018689627</v>
      </c>
      <c r="DT93" s="59">
        <f ca="1">AVERAGE(OFFSET($DS$3,0,0,'Données projet'!$E$14+1,1))-AVERAGE(OFFSET($H$3,0,0,'Données projet'!$E$14+1,1))</f>
        <v>598.03945725240396</v>
      </c>
      <c r="DU93" s="59">
        <f t="shared" si="98"/>
        <v>313.9014686755695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127.21724455917374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127.21724455917374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9.9470000000000027</v>
      </c>
      <c r="EJ93" s="12">
        <f>IF('Données projet'!$A$192&gt;35,EJ92+EI93-ER92,IF(A93&lt;'Données projet'!$A$192,$EG$205^A93,IF(A93='Données projet'!$A$192,'Données projet'!$B$192,EJ92+EI93-ER92)))</f>
        <v>375.27700000000016</v>
      </c>
      <c r="EK93" s="17">
        <f>EJ93*VLOOKUP('Données projet'!$B$15,Paramètres!$A$1:$I$89,3,0)*VLOOKUP('Données projet'!$B$15,Paramètres!$A$1:$I$89,5,0)</f>
        <v>251.73581160000012</v>
      </c>
      <c r="EL93" s="13">
        <f t="shared" si="99"/>
        <v>60.957488966067835</v>
      </c>
      <c r="EM93" s="20">
        <f t="shared" si="73"/>
        <v>544.6074984859016</v>
      </c>
      <c r="EN93" s="59">
        <f t="shared" si="74"/>
        <v>820.45492109488737</v>
      </c>
      <c r="EO93" s="59">
        <f ca="1">AVERAGE(OFFSET($EN$3,0,0,'Données projet'!$E$15+1,1))-AVERAGE(OFFSET($H$3,0,0,'Données projet'!$E$15+1,1))</f>
        <v>438.27475674276604</v>
      </c>
      <c r="EP93" s="59">
        <f t="shared" si="100"/>
        <v>235.97720136798864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108.75022518768077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108.75022518768077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13.233750000000001</v>
      </c>
      <c r="FE93" s="12">
        <f>IF('Données projet'!$A$218&gt;35,FE92+FD93-FM92,IF(A93&lt;'Données projet'!$A$218,$FB$205^A93,IF(A93='Données projet'!$A$218,'Données projet'!$B$218,FE92+FD93-FM92)))</f>
        <v>518.48624999999936</v>
      </c>
      <c r="FF93" s="17">
        <f>FE93*VLOOKUP('Données projet'!$B$16,Paramètres!$A$1:$I$89,3,0)*VLOOKUP('Données projet'!$B$16,Paramètres!$A$1:$I$89,5,0)</f>
        <v>242.65156499999969</v>
      </c>
      <c r="FG93" s="13">
        <f t="shared" si="101"/>
        <v>59.009662275987814</v>
      </c>
      <c r="FH93" s="20">
        <f t="shared" si="76"/>
        <v>525.39330417234487</v>
      </c>
      <c r="FI93" s="59">
        <f t="shared" si="77"/>
        <v>801.24072678133064</v>
      </c>
      <c r="FJ93" s="59">
        <f ca="1">AVERAGE(OFFSET($FI$3,0,0,'Données projet'!$E$16+1,1))-AVERAGE(OFFSET($H$3,0,0,'Données projet'!$E$16+1,1))</f>
        <v>329.49463758169588</v>
      </c>
      <c r="FK93" s="59">
        <f t="shared" si="102"/>
        <v>207.1447698203379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113.97710628528911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113.97710628528911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763.00000000000057</v>
      </c>
      <c r="GA93" s="17">
        <f>FZ93*VLOOKUP('Données projet'!$B$17,Paramètres!$A$1:$I$89,3,0)*VLOOKUP('Données projet'!$B$17,Paramètres!$A$1:$I$89,5,0)</f>
        <v>456.2740000000004</v>
      </c>
      <c r="GB93" s="13">
        <f t="shared" si="103"/>
        <v>103.09649786611838</v>
      </c>
      <c r="GC93" s="20">
        <f t="shared" si="79"/>
        <v>974.23695045015677</v>
      </c>
      <c r="GD93" s="59">
        <f t="shared" si="80"/>
        <v>1250.0843730591425</v>
      </c>
      <c r="GE93" s="59">
        <f ca="1">AVERAGE(OFFSET($GD$3,0,0,'Données projet'!$E$17+1,1))-AVERAGE(OFFSET($H$3,0,0,'Données projet'!$E$17+1,1))</f>
        <v>577.07444926285291</v>
      </c>
      <c r="GF93" s="59">
        <f t="shared" si="104"/>
        <v>501.3762209070419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87.301489927001597</v>
      </c>
      <c r="GM93" s="21">
        <f>EXP(-LN(2)/25)*GM92+(1-EXP(-LN(2)/25))/(LN(2)/25)*Calculateur!GH93*Calculateur!GJ93*VLOOKUP('Données projet'!$B$17,Paramètres!$A$1:$I$89,3,0)*0.475*44/12</f>
        <v>12.395032411233633</v>
      </c>
      <c r="GN93" s="21">
        <f>EXP(-LN(2)/2)*GN92+(1-EXP(-LN(2)/2))/(LN(2)/2)*GH93*GK93*VLOOKUP('Données projet'!$B$17,Paramètres!$A$1:$I$89,3,0)*0.475*44/12</f>
        <v>7.3152838180969538E-11</v>
      </c>
      <c r="GO93" s="21">
        <f t="shared" si="81"/>
        <v>99.696522338308384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65.231115256996119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-5.6843418860808015E-14</v>
      </c>
      <c r="GV93" s="17">
        <f>GU93*VLOOKUP('Données projet'!$B$18,Paramètres!$A$1:$I$89,3,0)*VLOOKUP('Données projet'!$B$18,Paramètres!$A$1:$I$89,5,0)</f>
        <v>-3.0061073630349716E-14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212.75657290802619</v>
      </c>
      <c r="HA93" s="59">
        <f t="shared" si="106"/>
        <v>411.47446316045978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23.426220415701309</v>
      </c>
      <c r="HH93" s="21">
        <f>EXP(-LN(2)/25)*HH92+(1-EXP(-LN(2)/25))/(LN(2)/25)*Calculateur!HC93*Calculateur!HE93*VLOOKUP('Données projet'!$B$18,Paramètres!$A$1:$I$89,3,0)*0.475*44/12</f>
        <v>3.772722058592302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27.198942474293609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4.60745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16.893983333333335</v>
      </c>
      <c r="H94" s="66">
        <f t="shared" si="56"/>
        <v>189.09073333333333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385.22400000000016</v>
      </c>
      <c r="O94" s="13">
        <f>N94*VLOOKUP('Données projet'!$B$9,Paramètres!$A$1:$I$89,3,0)*VLOOKUP('Données projet'!$B$9,Paramètres!$A$1:$I$89,5,0)</f>
        <v>348.55067520000011</v>
      </c>
      <c r="P94" s="13">
        <f t="shared" si="87"/>
        <v>81.264008176199866</v>
      </c>
      <c r="Q94" s="20">
        <f t="shared" si="54"/>
        <v>748.59390688021494</v>
      </c>
      <c r="R94" s="59">
        <f t="shared" si="55"/>
        <v>1024.7446709476283</v>
      </c>
      <c r="S94" s="59">
        <f ca="1">AVERAGE(OFFSET($R$3,0,0,'Données projet'!$E$9+1,1))-AVERAGE(OFFSET($H$3,0,0,'Données projet'!$E$9+1,1))</f>
        <v>564.49981446852132</v>
      </c>
      <c r="T94" s="59">
        <f t="shared" si="88"/>
        <v>297.54722913785406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9.9470000000000027</v>
      </c>
      <c r="AI94" s="13">
        <f>IF('Données projet'!$A$62&gt;35,AI93+AH94-AQ93,IF(A94&lt;'Données projet'!$A$62,$AF$205^A94,IF(A94='Données projet'!$A$62,'Données projet'!$B$62,AI93+AH94-AQ93)))</f>
        <v>385.2240000000001</v>
      </c>
      <c r="AJ94" s="13">
        <f>AI94*VLOOKUP('Données projet'!$B$10,Paramètres!$A$1:$I$89,3,0)*VLOOKUP('Données projet'!$B$10,Paramètres!$A$1:$I$89,5,0)</f>
        <v>390.61713600000013</v>
      </c>
      <c r="AK94" s="13">
        <f t="shared" si="89"/>
        <v>89.871813645441875</v>
      </c>
      <c r="AL94" s="20">
        <f t="shared" si="58"/>
        <v>836.85158729914474</v>
      </c>
      <c r="AM94" s="59">
        <f t="shared" si="59"/>
        <v>1113.0023513665581</v>
      </c>
      <c r="AN94" s="59">
        <f ca="1">AVERAGE(OFFSET($AM$3,0,0,'Données projet'!$E$10+1,1))-AVERAGE(OFFSET($H$3,0,0,'Données projet'!$E$10+1,1))</f>
        <v>623.16549611107564</v>
      </c>
      <c r="AO94" s="59">
        <f t="shared" si="90"/>
        <v>326.15178903425885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130.75755611668822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130.75755611668822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266.99999999999983</v>
      </c>
      <c r="BE94" s="13">
        <f>BD94*VLOOKUP('Données projet'!$B$11,Paramètres!$A$1:$I$89,3,0)*VLOOKUP('Données projet'!$B$11,Paramètres!$A$1:$I$89,5,0)</f>
        <v>216.59039999999987</v>
      </c>
      <c r="BF94" s="13">
        <f t="shared" si="91"/>
        <v>53.373153688190904</v>
      </c>
      <c r="BG94" s="20">
        <f t="shared" si="61"/>
        <v>470.18652267359886</v>
      </c>
      <c r="BH94" s="59">
        <f t="shared" si="62"/>
        <v>746.33728674101212</v>
      </c>
      <c r="BI94" s="59">
        <f ca="1">AVERAGE(OFFSET($BH$3,0,0,'Données projet'!$E$11+1,1))-AVERAGE(OFFSET($H$3,0,0,'Données projet'!$E$11+1,1))</f>
        <v>326.2912419133811</v>
      </c>
      <c r="BJ94" s="59">
        <f t="shared" si="92"/>
        <v>315.07976787459938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35.57796708355923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35.57796708355923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</v>
      </c>
      <c r="BY94" s="12">
        <f>IF('Données projet'!$A$114&gt;35,BY93+BX94-CG93,IF(A94&lt;'Données projet'!$A$114,$BV$205^A94,IF(A94='Données projet'!$A$114,'Données projet'!$B$114,BY93+BX94-CG93)))</f>
        <v>240</v>
      </c>
      <c r="BZ94" s="13">
        <f>BY94*VLOOKUP('Données projet'!$B$12,Paramètres!$A$1:$I$89,3,0)*VLOOKUP('Données projet'!$B$12,Paramètres!$A$1:$I$89,5,0)</f>
        <v>153.50399999999999</v>
      </c>
      <c r="CA94" s="13">
        <f t="shared" si="93"/>
        <v>39.373808884365609</v>
      </c>
      <c r="CB94" s="20">
        <f t="shared" si="64"/>
        <v>335.9288504736034</v>
      </c>
      <c r="CC94" s="59">
        <f t="shared" si="65"/>
        <v>612.07961454101678</v>
      </c>
      <c r="CD94" s="59">
        <f ca="1">AVERAGE(OFFSET($CC$3,0,0,'Données projet'!$E$12+1,1))-AVERAGE(OFFSET($H$3,0,0,'Données projet'!$E$12+1,1))</f>
        <v>297.03992602744393</v>
      </c>
      <c r="CE94" s="59">
        <f t="shared" si="94"/>
        <v>265.2588848922893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40.811496750853685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40.811496750853685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367.99999999999972</v>
      </c>
      <c r="CU94" s="17">
        <f>CT94*VLOOKUP('Données projet'!$B$13,Paramètres!$A$1:$I$89,3,0)*VLOOKUP('Données projet'!$B$13,Paramètres!$A$1:$I$89,5,0)</f>
        <v>292.78079999999977</v>
      </c>
      <c r="CV94" s="13">
        <f t="shared" si="95"/>
        <v>69.660903052386217</v>
      </c>
      <c r="CW94" s="20">
        <f t="shared" si="67"/>
        <v>631.25263281623893</v>
      </c>
      <c r="CX94" s="59">
        <f t="shared" si="68"/>
        <v>907.40339688365225</v>
      </c>
      <c r="CY94" s="59">
        <f ca="1">AVERAGE(OFFSET($CX$3,0,0,'Données projet'!$E$13+1,1))-AVERAGE(OFFSET($H$3,0,0,'Données projet'!$E$13+1,1))</f>
        <v>427.42918901489531</v>
      </c>
      <c r="CZ94" s="59">
        <f t="shared" si="96"/>
        <v>410.68601510655412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49.568033547834709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49.568033547834709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9.9470000000000027</v>
      </c>
      <c r="DO94" s="12">
        <f>IF('Données projet'!$A$166&gt;35,DO93+DN94-DW93,IF(A94&lt;'Données projet'!$A$166,$DL$205^A94,IF(A94='Données projet'!$A$166,'Données projet'!$B$166,DO93+DN94-DW93)))</f>
        <v>385.2240000000001</v>
      </c>
      <c r="DP94" s="17">
        <f>DO94*VLOOKUP('Données projet'!$B$14,Paramètres!$A$1:$I$89,3,0)*VLOOKUP('Données projet'!$B$14,Paramètres!$A$1:$I$89,5,0)</f>
        <v>372.58865280000015</v>
      </c>
      <c r="DQ94" s="13">
        <f t="shared" si="97"/>
        <v>86.196684424648993</v>
      </c>
      <c r="DR94" s="20">
        <f t="shared" si="70"/>
        <v>799.05112899959715</v>
      </c>
      <c r="DS94" s="59">
        <f t="shared" si="71"/>
        <v>1075.2018930670106</v>
      </c>
      <c r="DT94" s="59">
        <f ca="1">AVERAGE(OFFSET($DS$3,0,0,'Données projet'!$E$14+1,1))-AVERAGE(OFFSET($H$3,0,0,'Données projet'!$E$14+1,1))</f>
        <v>598.03945725240396</v>
      </c>
      <c r="DU94" s="59">
        <f t="shared" si="98"/>
        <v>313.9014686755695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124.72259198822566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124.72259198822566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9.9470000000000027</v>
      </c>
      <c r="EJ94" s="12">
        <f>IF('Données projet'!$A$192&gt;35,EJ93+EI94-ER93,IF(A94&lt;'Données projet'!$A$192,$EG$205^A94,IF(A94='Données projet'!$A$192,'Données projet'!$B$192,EJ93+EI94-ER93)))</f>
        <v>385.22400000000016</v>
      </c>
      <c r="EK94" s="17">
        <f>EJ94*VLOOKUP('Données projet'!$B$15,Paramètres!$A$1:$I$89,3,0)*VLOOKUP('Données projet'!$B$15,Paramètres!$A$1:$I$89,5,0)</f>
        <v>258.40825920000009</v>
      </c>
      <c r="EL94" s="13">
        <f t="shared" si="99"/>
        <v>62.382961972530694</v>
      </c>
      <c r="EM94" s="20">
        <f t="shared" si="73"/>
        <v>558.71137687549106</v>
      </c>
      <c r="EN94" s="59">
        <f t="shared" si="74"/>
        <v>834.86214094290438</v>
      </c>
      <c r="EO94" s="59">
        <f ca="1">AVERAGE(OFFSET($EN$3,0,0,'Données projet'!$E$15+1,1))-AVERAGE(OFFSET($H$3,0,0,'Données projet'!$E$15+1,1))</f>
        <v>438.27475674276604</v>
      </c>
      <c r="EP94" s="59">
        <f t="shared" si="100"/>
        <v>235.97720136798864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106.61769960283806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106.61769960283806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>
        <f>VLOOKUP(A94,'Données projet'!$A$217:$I$237,2,0)</f>
        <v>531.72</v>
      </c>
      <c r="FC94" s="12">
        <f>VLOOKUP(A94,'Données projet'!$A$217:$I$237,9,0)</f>
        <v>13.233750000000001</v>
      </c>
      <c r="FD94" s="12">
        <f t="array" ref="FD94">INDEX(FC:FC,MIN(IF(ISNUMBER(FC94:FC290),ROW(FC94:FC290),"")))</f>
        <v>13.233750000000001</v>
      </c>
      <c r="FE94" s="12">
        <f>IF('Données projet'!$A$218&gt;35,FE93+FD94-FM93,IF(A94&lt;'Données projet'!$A$218,$FB$205^A94,IF(A94='Données projet'!$A$218,'Données projet'!$B$218,FE93+FD94-FM93)))</f>
        <v>531.71999999999935</v>
      </c>
      <c r="FF94" s="17">
        <f>FE94*VLOOKUP('Données projet'!$B$16,Paramètres!$A$1:$I$89,3,0)*VLOOKUP('Données projet'!$B$16,Paramètres!$A$1:$I$89,5,0)</f>
        <v>248.8449599999997</v>
      </c>
      <c r="FG94" s="13">
        <f t="shared" si="101"/>
        <v>60.338539799248501</v>
      </c>
      <c r="FH94" s="20">
        <f t="shared" si="76"/>
        <v>538.49459548369055</v>
      </c>
      <c r="FI94" s="59">
        <f t="shared" si="77"/>
        <v>814.64535955110387</v>
      </c>
      <c r="FJ94" s="59">
        <f ca="1">AVERAGE(OFFSET($FI$3,0,0,'Données projet'!$E$16+1,1))-AVERAGE(OFFSET($H$3,0,0,'Données projet'!$E$16+1,1))</f>
        <v>329.49463758169588</v>
      </c>
      <c r="FK94" s="59">
        <f t="shared" si="102"/>
        <v>207.1447698203379</v>
      </c>
      <c r="FL94" s="15">
        <f>IF(ISNA(VLOOKUP(A94,'Données projet'!$A$217:$I$237,3,0)),0,VLOOKUP(A94,'Données projet'!$A$217:$I$237,3,0))</f>
        <v>7</v>
      </c>
      <c r="FM94" s="15">
        <f>IF(ISNA(VLOOKUP(A94,'Données projet'!$A$217:$I$237,4,0)),0,VLOOKUP(A94,'Données projet'!$A$217:$I$237,4,0))</f>
        <v>260.64</v>
      </c>
      <c r="FN94" s="16">
        <f>IF(ISNA(VLOOKUP(A94,'Données projet'!$A$217:$I$237,5,0)),0%,VLOOKUP(A94,'Données projet'!$A$217:$I$237,5,0)*VLOOKUP('Données projet'!$B$16,Paramètres!$A$1:$I$89,7,0))</f>
        <v>0.55000000000000004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200.73961728817204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200.73961728817204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763.00000000000057</v>
      </c>
      <c r="GA94" s="17">
        <f>FZ94*VLOOKUP('Données projet'!$B$17,Paramètres!$A$1:$I$89,3,0)*VLOOKUP('Données projet'!$B$17,Paramètres!$A$1:$I$89,5,0)</f>
        <v>456.2740000000004</v>
      </c>
      <c r="GB94" s="13">
        <f t="shared" si="103"/>
        <v>103.09649786611838</v>
      </c>
      <c r="GC94" s="20">
        <f t="shared" si="79"/>
        <v>974.23695045015677</v>
      </c>
      <c r="GD94" s="59">
        <f t="shared" si="80"/>
        <v>1250.3877145175702</v>
      </c>
      <c r="GE94" s="59">
        <f ca="1">AVERAGE(OFFSET($GD$3,0,0,'Données projet'!$E$17+1,1))-AVERAGE(OFFSET($H$3,0,0,'Données projet'!$E$17+1,1))</f>
        <v>577.07444926285291</v>
      </c>
      <c r="GF94" s="59">
        <f t="shared" si="104"/>
        <v>501.3762209070419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85.58956095818408</v>
      </c>
      <c r="GM94" s="21">
        <f>EXP(-LN(2)/25)*GM93+(1-EXP(-LN(2)/25))/(LN(2)/25)*Calculateur!GH94*Calculateur!GJ94*VLOOKUP('Données projet'!$B$17,Paramètres!$A$1:$I$89,3,0)*0.475*44/12</f>
        <v>12.056089598122023</v>
      </c>
      <c r="GN94" s="21">
        <f>EXP(-LN(2)/2)*GN93+(1-EXP(-LN(2)/2))/(LN(2)/2)*GH94*GK94*VLOOKUP('Données projet'!$B$17,Paramètres!$A$1:$I$89,3,0)*0.475*44/12</f>
        <v>5.1726867940805747E-11</v>
      </c>
      <c r="GO94" s="21">
        <f t="shared" si="81"/>
        <v>97.645650556357836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65.313844745658173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-5.6843418860808015E-14</v>
      </c>
      <c r="GV94" s="17">
        <f>GU94*VLOOKUP('Données projet'!$B$18,Paramètres!$A$1:$I$89,3,0)*VLOOKUP('Données projet'!$B$18,Paramètres!$A$1:$I$89,5,0)</f>
        <v>-3.0061073630349716E-14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212.75657290802619</v>
      </c>
      <c r="HA94" s="59">
        <f t="shared" si="106"/>
        <v>411.47446316045978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22.966846521932979</v>
      </c>
      <c r="HH94" s="21">
        <f>EXP(-LN(2)/25)*HH93+(1-EXP(-LN(2)/25))/(LN(2)/25)*Calculateur!HC94*Calculateur!HE94*VLOOKUP('Données projet'!$B$18,Paramètres!$A$1:$I$89,3,0)*0.475*44/12</f>
        <v>3.669556775501265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26.636403297434242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4.60745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16.893983333333335</v>
      </c>
      <c r="H95" s="66">
        <f t="shared" si="56"/>
        <v>189.09073333333333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395.17100000000016</v>
      </c>
      <c r="O95" s="13">
        <f>N95*VLOOKUP('Données projet'!$B$9,Paramètres!$A$1:$I$89,3,0)*VLOOKUP('Données projet'!$B$9,Paramètres!$A$1:$I$89,5,0)</f>
        <v>357.55072080000014</v>
      </c>
      <c r="P95" s="13">
        <f t="shared" si="87"/>
        <v>83.115346428782544</v>
      </c>
      <c r="Q95" s="20">
        <f t="shared" si="54"/>
        <v>767.49340042346319</v>
      </c>
      <c r="R95" s="59">
        <f t="shared" si="55"/>
        <v>1043.9422436531702</v>
      </c>
      <c r="S95" s="59">
        <f ca="1">AVERAGE(OFFSET($R$3,0,0,'Données projet'!$E$9+1,1))-AVERAGE(OFFSET($H$3,0,0,'Données projet'!$E$9+1,1))</f>
        <v>564.49981446852132</v>
      </c>
      <c r="T95" s="59">
        <f t="shared" si="88"/>
        <v>297.54722913785406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9.9470000000000027</v>
      </c>
      <c r="AI95" s="13">
        <f>IF('Données projet'!$A$62&gt;35,AI94+AH95-AQ94,IF(A95&lt;'Données projet'!$A$62,$AF$205^A95,IF(A95='Données projet'!$A$62,'Données projet'!$B$62,AI94+AH95-AQ94)))</f>
        <v>395.17100000000011</v>
      </c>
      <c r="AJ95" s="13">
        <f>AI95*VLOOKUP('Données projet'!$B$10,Paramètres!$A$1:$I$89,3,0)*VLOOKUP('Données projet'!$B$10,Paramètres!$A$1:$I$89,5,0)</f>
        <v>400.70339400000012</v>
      </c>
      <c r="AK95" s="13">
        <f t="shared" si="89"/>
        <v>91.919252975163644</v>
      </c>
      <c r="AL95" s="20">
        <f t="shared" si="58"/>
        <v>857.9844434817436</v>
      </c>
      <c r="AM95" s="59">
        <f t="shared" si="59"/>
        <v>1134.4332867114506</v>
      </c>
      <c r="AN95" s="59">
        <f ca="1">AVERAGE(OFFSET($AM$3,0,0,'Données projet'!$E$10+1,1))-AVERAGE(OFFSET($H$3,0,0,'Données projet'!$E$10+1,1))</f>
        <v>623.16549611107564</v>
      </c>
      <c r="AO95" s="59">
        <f t="shared" si="90"/>
        <v>326.15178903425885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128.19348019547411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128.19348019547411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266.99999999999983</v>
      </c>
      <c r="BE95" s="13">
        <f>BD95*VLOOKUP('Données projet'!$B$11,Paramètres!$A$1:$I$89,3,0)*VLOOKUP('Données projet'!$B$11,Paramètres!$A$1:$I$89,5,0)</f>
        <v>216.59039999999987</v>
      </c>
      <c r="BF95" s="13">
        <f t="shared" si="91"/>
        <v>53.373153688190904</v>
      </c>
      <c r="BG95" s="20">
        <f t="shared" si="61"/>
        <v>470.18652267359886</v>
      </c>
      <c r="BH95" s="59">
        <f t="shared" si="62"/>
        <v>746.63536590330591</v>
      </c>
      <c r="BI95" s="59">
        <f ca="1">AVERAGE(OFFSET($BH$3,0,0,'Données projet'!$E$11+1,1))-AVERAGE(OFFSET($H$3,0,0,'Données projet'!$E$11+1,1))</f>
        <v>326.2912419133811</v>
      </c>
      <c r="BJ95" s="59">
        <f t="shared" si="92"/>
        <v>315.07976787459938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34.880304849467819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34.880304849467819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</v>
      </c>
      <c r="BY95" s="12">
        <f>IF('Données projet'!$A$114&gt;35,BY94+BX95-CG94,IF(A95&lt;'Données projet'!$A$114,$BV$205^A95,IF(A95='Données projet'!$A$114,'Données projet'!$B$114,BY94+BX95-CG94)))</f>
        <v>243</v>
      </c>
      <c r="BZ95" s="13">
        <f>BY95*VLOOKUP('Données projet'!$B$12,Paramètres!$A$1:$I$89,3,0)*VLOOKUP('Données projet'!$B$12,Paramètres!$A$1:$I$89,5,0)</f>
        <v>155.4228</v>
      </c>
      <c r="CA95" s="13">
        <f t="shared" si="93"/>
        <v>39.808377687614154</v>
      </c>
      <c r="CB95" s="20">
        <f t="shared" si="64"/>
        <v>340.02763447259463</v>
      </c>
      <c r="CC95" s="59">
        <f t="shared" si="65"/>
        <v>616.47647770230174</v>
      </c>
      <c r="CD95" s="59">
        <f ca="1">AVERAGE(OFFSET($CC$3,0,0,'Données projet'!$E$12+1,1))-AVERAGE(OFFSET($H$3,0,0,'Données projet'!$E$12+1,1))</f>
        <v>297.03992602744393</v>
      </c>
      <c r="CE95" s="59">
        <f t="shared" si="94"/>
        <v>265.2588848922893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40.011208192124528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40.011208192124528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367.99999999999972</v>
      </c>
      <c r="CU95" s="17">
        <f>CT95*VLOOKUP('Données projet'!$B$13,Paramètres!$A$1:$I$89,3,0)*VLOOKUP('Données projet'!$B$13,Paramètres!$A$1:$I$89,5,0)</f>
        <v>292.78079999999977</v>
      </c>
      <c r="CV95" s="13">
        <f t="shared" si="95"/>
        <v>69.660903052386217</v>
      </c>
      <c r="CW95" s="20">
        <f t="shared" si="67"/>
        <v>631.25263281623893</v>
      </c>
      <c r="CX95" s="59">
        <f t="shared" si="68"/>
        <v>907.70147604594604</v>
      </c>
      <c r="CY95" s="59">
        <f ca="1">AVERAGE(OFFSET($CX$3,0,0,'Données projet'!$E$13+1,1))-AVERAGE(OFFSET($H$3,0,0,'Données projet'!$E$13+1,1))</f>
        <v>427.42918901489531</v>
      </c>
      <c r="CZ95" s="59">
        <f t="shared" si="96"/>
        <v>410.68601510655412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48.59603464347682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48.59603464347682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9.9470000000000027</v>
      </c>
      <c r="DO95" s="12">
        <f>IF('Données projet'!$A$166&gt;35,DO94+DN95-DW94,IF(A95&lt;'Données projet'!$A$166,$DL$205^A95,IF(A95='Données projet'!$A$166,'Données projet'!$B$166,DO94+DN95-DW94)))</f>
        <v>395.17100000000011</v>
      </c>
      <c r="DP95" s="17">
        <f>DO95*VLOOKUP('Données projet'!$B$14,Paramètres!$A$1:$I$89,3,0)*VLOOKUP('Données projet'!$B$14,Paramètres!$A$1:$I$89,5,0)</f>
        <v>382.20939120000008</v>
      </c>
      <c r="DQ95" s="13">
        <f t="shared" si="97"/>
        <v>88.160397791766499</v>
      </c>
      <c r="DR95" s="20">
        <f t="shared" si="70"/>
        <v>819.22738249399345</v>
      </c>
      <c r="DS95" s="59">
        <f t="shared" si="71"/>
        <v>1095.6762257237006</v>
      </c>
      <c r="DT95" s="59">
        <f ca="1">AVERAGE(OFFSET($DS$3,0,0,'Données projet'!$E$14+1,1))-AVERAGE(OFFSET($H$3,0,0,'Données projet'!$E$14+1,1))</f>
        <v>598.03945725240396</v>
      </c>
      <c r="DU95" s="59">
        <f t="shared" si="98"/>
        <v>313.9014686755695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122.27685803260606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122.27685803260606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9.9470000000000027</v>
      </c>
      <c r="EJ95" s="12">
        <f>IF('Données projet'!$A$192&gt;35,EJ94+EI95-ER94,IF(A95&lt;'Données projet'!$A$192,$EG$205^A95,IF(A95='Données projet'!$A$192,'Données projet'!$B$192,EJ94+EI95-ER94)))</f>
        <v>395.17100000000016</v>
      </c>
      <c r="EK95" s="17">
        <f>EJ95*VLOOKUP('Données projet'!$B$15,Paramètres!$A$1:$I$89,3,0)*VLOOKUP('Données projet'!$B$15,Paramètres!$A$1:$I$89,5,0)</f>
        <v>265.08070680000009</v>
      </c>
      <c r="EL95" s="13">
        <f t="shared" si="99"/>
        <v>63.804156501340273</v>
      </c>
      <c r="EM95" s="20">
        <f t="shared" si="73"/>
        <v>572.80780358316781</v>
      </c>
      <c r="EN95" s="59">
        <f t="shared" si="74"/>
        <v>849.25664681287481</v>
      </c>
      <c r="EO95" s="59">
        <f ca="1">AVERAGE(OFFSET($EN$3,0,0,'Données projet'!$E$15+1,1))-AVERAGE(OFFSET($H$3,0,0,'Données projet'!$E$15+1,1))</f>
        <v>438.27475674276604</v>
      </c>
      <c r="EP95" s="59">
        <f t="shared" si="100"/>
        <v>235.97720136798864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104.52699154400194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104.52699154400194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8.5349999999999966</v>
      </c>
      <c r="FE95" s="12">
        <f>IF('Données projet'!$A$218&gt;35,FE94+FD95-FM94,IF(A95&lt;'Données projet'!$A$218,$FB$205^A95,IF(A95='Données projet'!$A$218,'Données projet'!$B$218,FE94+FD95-FM94)))</f>
        <v>279.61499999999933</v>
      </c>
      <c r="FF95" s="17">
        <f>FE95*VLOOKUP('Données projet'!$B$16,Paramètres!$A$1:$I$89,3,0)*VLOOKUP('Données projet'!$B$16,Paramètres!$A$1:$I$89,5,0)</f>
        <v>130.8598199999997</v>
      </c>
      <c r="FG95" s="13">
        <f t="shared" si="101"/>
        <v>34.194962198471394</v>
      </c>
      <c r="FH95" s="20">
        <f t="shared" si="76"/>
        <v>287.47041232900375</v>
      </c>
      <c r="FI95" s="59">
        <f t="shared" si="77"/>
        <v>563.9192555587108</v>
      </c>
      <c r="FJ95" s="59">
        <f ca="1">AVERAGE(OFFSET($FI$3,0,0,'Données projet'!$E$16+1,1))-AVERAGE(OFFSET($H$3,0,0,'Données projet'!$E$16+1,1))</f>
        <v>329.49463758169588</v>
      </c>
      <c r="FK95" s="59">
        <f t="shared" si="102"/>
        <v>207.1447698203379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196.80323583222767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196.80323583222767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763.00000000000057</v>
      </c>
      <c r="GA95" s="17">
        <f>FZ95*VLOOKUP('Données projet'!$B$17,Paramètres!$A$1:$I$89,3,0)*VLOOKUP('Données projet'!$B$17,Paramètres!$A$1:$I$89,5,0)</f>
        <v>456.2740000000004</v>
      </c>
      <c r="GB95" s="13">
        <f t="shared" si="103"/>
        <v>103.09649786611838</v>
      </c>
      <c r="GC95" s="20">
        <f t="shared" si="79"/>
        <v>974.23695045015677</v>
      </c>
      <c r="GD95" s="59">
        <f t="shared" si="80"/>
        <v>1250.6857936798638</v>
      </c>
      <c r="GE95" s="59">
        <f ca="1">AVERAGE(OFFSET($GD$3,0,0,'Données projet'!$E$17+1,1))-AVERAGE(OFFSET($H$3,0,0,'Données projet'!$E$17+1,1))</f>
        <v>577.07444926285291</v>
      </c>
      <c r="GF95" s="59">
        <f t="shared" si="104"/>
        <v>501.3762209070419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83.911201872271505</v>
      </c>
      <c r="GM95" s="21">
        <f>EXP(-LN(2)/25)*GM94+(1-EXP(-LN(2)/25))/(LN(2)/25)*Calculateur!GH95*Calculateur!GJ95*VLOOKUP('Données projet'!$B$17,Paramètres!$A$1:$I$89,3,0)*0.475*44/12</f>
        <v>11.726415194059179</v>
      </c>
      <c r="GN95" s="21">
        <f>EXP(-LN(2)/2)*GN94+(1-EXP(-LN(2)/2))/(LN(2)/2)*GH95*GK95*VLOOKUP('Données projet'!$B$17,Paramètres!$A$1:$I$89,3,0)*0.475*44/12</f>
        <v>3.6576419090484769E-11</v>
      </c>
      <c r="GO95" s="21">
        <f t="shared" si="81"/>
        <v>95.637617066367255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65.395139062647374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-5.6843418860808015E-14</v>
      </c>
      <c r="GV95" s="17">
        <f>GU95*VLOOKUP('Données projet'!$B$18,Paramètres!$A$1:$I$89,3,0)*VLOOKUP('Données projet'!$B$18,Paramètres!$A$1:$I$89,5,0)</f>
        <v>-3.0061073630349716E-14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212.75657290802619</v>
      </c>
      <c r="HA95" s="59">
        <f t="shared" si="106"/>
        <v>411.47446316045978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22.516480670031036</v>
      </c>
      <c r="HH95" s="21">
        <f>EXP(-LN(2)/25)*HH94+(1-EXP(-LN(2)/25))/(LN(2)/25)*Calculateur!HC95*Calculateur!HE95*VLOOKUP('Données projet'!$B$18,Paramètres!$A$1:$I$89,3,0)*0.475*44/12</f>
        <v>3.569212552501579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26.085693222532615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4.60745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16.893983333333335</v>
      </c>
      <c r="H96" s="66">
        <f t="shared" si="56"/>
        <v>189.09073333333333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405.11800000000017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1063.1252107570906</v>
      </c>
      <c r="S96" s="59">
        <f ca="1">AVERAGE(OFFSET($R$3,0,0,'Données projet'!$E$9+1,1))-AVERAGE(OFFSET($H$3,0,0,'Données projet'!$E$9+1,1))</f>
        <v>564.49981446852132</v>
      </c>
      <c r="T96" s="59">
        <f t="shared" si="88"/>
        <v>297.54722913785406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9.9470000000000027</v>
      </c>
      <c r="AI96" s="13">
        <f>IF('Données projet'!$A$62&gt;35,AI95+AH96-AQ95,IF(A96&lt;'Données projet'!$A$62,$AF$205^A96,IF(A96='Données projet'!$A$62,'Données projet'!$B$62,AI95+AH96-AQ95)))</f>
        <v>405.11800000000011</v>
      </c>
      <c r="AJ96" s="13">
        <f>AI96*VLOOKUP('Données projet'!$B$10,Paramètres!$A$1:$I$89,3,0)*VLOOKUP('Données projet'!$B$10,Paramètres!$A$1:$I$89,5,0)</f>
        <v>410.7896520000001</v>
      </c>
      <c r="AK96" s="13">
        <f t="shared" si="89"/>
        <v>93.960701523544898</v>
      </c>
      <c r="AL96" s="20">
        <f t="shared" si="58"/>
        <v>879.10686572017414</v>
      </c>
      <c r="AM96" s="59">
        <f t="shared" si="59"/>
        <v>1155.8486171051143</v>
      </c>
      <c r="AN96" s="59">
        <f ca="1">AVERAGE(OFFSET($AM$3,0,0,'Données projet'!$E$10+1,1))-AVERAGE(OFFSET($H$3,0,0,'Données projet'!$E$10+1,1))</f>
        <v>623.16549611107564</v>
      </c>
      <c r="AO96" s="59">
        <f t="shared" si="90"/>
        <v>326.15178903425885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125.67968423914313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125.67968423914313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266.99999999999983</v>
      </c>
      <c r="BE96" s="13">
        <f>BD96*VLOOKUP('Données projet'!$B$11,Paramètres!$A$1:$I$89,3,0)*VLOOKUP('Données projet'!$B$11,Paramètres!$A$1:$I$89,5,0)</f>
        <v>216.59039999999987</v>
      </c>
      <c r="BF96" s="13">
        <f t="shared" si="91"/>
        <v>53.373153688190904</v>
      </c>
      <c r="BG96" s="20">
        <f t="shared" si="61"/>
        <v>470.18652267359886</v>
      </c>
      <c r="BH96" s="59">
        <f t="shared" si="62"/>
        <v>746.92827405853905</v>
      </c>
      <c r="BI96" s="59">
        <f ca="1">AVERAGE(OFFSET($BH$3,0,0,'Données projet'!$E$11+1,1))-AVERAGE(OFFSET($H$3,0,0,'Données projet'!$E$11+1,1))</f>
        <v>326.2912419133811</v>
      </c>
      <c r="BJ96" s="59">
        <f t="shared" si="92"/>
        <v>315.07976787459938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34.196323346254992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34.196323346254992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</v>
      </c>
      <c r="BY96" s="12">
        <f>IF('Données projet'!$A$114&gt;35,BY95+BX96-CG95,IF(A96&lt;'Données projet'!$A$114,$BV$205^A96,IF(A96='Données projet'!$A$114,'Données projet'!$B$114,BY95+BX96-CG95)))</f>
        <v>246</v>
      </c>
      <c r="BZ96" s="13">
        <f>BY96*VLOOKUP('Données projet'!$B$12,Paramètres!$A$1:$I$89,3,0)*VLOOKUP('Données projet'!$B$12,Paramètres!$A$1:$I$89,5,0)</f>
        <v>157.3416</v>
      </c>
      <c r="CA96" s="13">
        <f t="shared" si="93"/>
        <v>40.24232243112715</v>
      </c>
      <c r="CB96" s="20">
        <f t="shared" si="64"/>
        <v>344.12533156754643</v>
      </c>
      <c r="CC96" s="59">
        <f t="shared" si="65"/>
        <v>620.86708295248661</v>
      </c>
      <c r="CD96" s="59">
        <f ca="1">AVERAGE(OFFSET($CC$3,0,0,'Données projet'!$E$12+1,1))-AVERAGE(OFFSET($H$3,0,0,'Données projet'!$E$12+1,1))</f>
        <v>297.03992602744393</v>
      </c>
      <c r="CE96" s="59">
        <f t="shared" si="94"/>
        <v>265.2588848922893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39.226612803904224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39.226612803904224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367.99999999999972</v>
      </c>
      <c r="CU96" s="17">
        <f>CT96*VLOOKUP('Données projet'!$B$13,Paramètres!$A$1:$I$89,3,0)*VLOOKUP('Données projet'!$B$13,Paramètres!$A$1:$I$89,5,0)</f>
        <v>292.78079999999977</v>
      </c>
      <c r="CV96" s="13">
        <f t="shared" si="95"/>
        <v>69.660903052386217</v>
      </c>
      <c r="CW96" s="20">
        <f t="shared" si="67"/>
        <v>631.25263281623893</v>
      </c>
      <c r="CX96" s="59">
        <f t="shared" si="68"/>
        <v>907.99438420117917</v>
      </c>
      <c r="CY96" s="59">
        <f ca="1">AVERAGE(OFFSET($CX$3,0,0,'Données projet'!$E$13+1,1))-AVERAGE(OFFSET($H$3,0,0,'Données projet'!$E$13+1,1))</f>
        <v>427.42918901489531</v>
      </c>
      <c r="CZ96" s="59">
        <f t="shared" si="96"/>
        <v>410.68601510655412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47.643096044772598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47.643096044772598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9.9470000000000027</v>
      </c>
      <c r="DO96" s="12">
        <f>IF('Données projet'!$A$166&gt;35,DO95+DN96-DW95,IF(A96&lt;'Données projet'!$A$166,$DL$205^A96,IF(A96='Données projet'!$A$166,'Données projet'!$B$166,DO95+DN96-DW95)))</f>
        <v>405.11800000000011</v>
      </c>
      <c r="DP96" s="17">
        <f>DO96*VLOOKUP('Données projet'!$B$14,Paramètres!$A$1:$I$89,3,0)*VLOOKUP('Données projet'!$B$14,Paramètres!$A$1:$I$89,5,0)</f>
        <v>391.83012960000008</v>
      </c>
      <c r="DQ96" s="13">
        <f t="shared" si="97"/>
        <v>90.118365358641142</v>
      </c>
      <c r="DR96" s="20">
        <f t="shared" si="70"/>
        <v>839.3936287196334</v>
      </c>
      <c r="DS96" s="59">
        <f t="shared" si="71"/>
        <v>1116.1353801045736</v>
      </c>
      <c r="DT96" s="59">
        <f ca="1">AVERAGE(OFFSET($DS$3,0,0,'Données projet'!$E$14+1,1))-AVERAGE(OFFSET($H$3,0,0,'Données projet'!$E$14+1,1))</f>
        <v>598.03945725240396</v>
      </c>
      <c r="DU96" s="59">
        <f t="shared" si="98"/>
        <v>313.9014686755695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119.87908342810574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119.87908342810574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9.9470000000000027</v>
      </c>
      <c r="EJ96" s="12">
        <f>IF('Données projet'!$A$192&gt;35,EJ95+EI96-ER95,IF(A96&lt;'Données projet'!$A$192,$EG$205^A96,IF(A96='Données projet'!$A$192,'Données projet'!$B$192,EJ95+EI96-ER95)))</f>
        <v>405.11800000000017</v>
      </c>
      <c r="EK96" s="17">
        <f>EJ96*VLOOKUP('Données projet'!$B$15,Paramètres!$A$1:$I$89,3,0)*VLOOKUP('Données projet'!$B$15,Paramètres!$A$1:$I$89,5,0)</f>
        <v>271.75315440000014</v>
      </c>
      <c r="EL96" s="13">
        <f t="shared" si="99"/>
        <v>65.221192633102035</v>
      </c>
      <c r="EM96" s="20">
        <f t="shared" si="73"/>
        <v>586.89698774931958</v>
      </c>
      <c r="EN96" s="59">
        <f t="shared" si="74"/>
        <v>863.63873913425982</v>
      </c>
      <c r="EO96" s="59">
        <f ca="1">AVERAGE(OFFSET($EN$3,0,0,'Données projet'!$E$15+1,1))-AVERAGE(OFFSET($H$3,0,0,'Données projet'!$E$15+1,1))</f>
        <v>438.27475674276604</v>
      </c>
      <c r="EP96" s="59">
        <f t="shared" si="100"/>
        <v>235.97720136798864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102.47728099499361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102.47728099499361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8.5349999999999966</v>
      </c>
      <c r="FE96" s="12">
        <f>IF('Données projet'!$A$218&gt;35,FE95+FD96-FM95,IF(A96&lt;'Données projet'!$A$218,$FB$205^A96,IF(A96='Données projet'!$A$218,'Données projet'!$B$218,FE95+FD96-FM95)))</f>
        <v>288.1499999999993</v>
      </c>
      <c r="FF96" s="17">
        <f>FE96*VLOOKUP('Données projet'!$B$16,Paramètres!$A$1:$I$89,3,0)*VLOOKUP('Données projet'!$B$16,Paramètres!$A$1:$I$89,5,0)</f>
        <v>134.85419999999968</v>
      </c>
      <c r="FG96" s="13">
        <f t="shared" si="101"/>
        <v>35.115618062108894</v>
      </c>
      <c r="FH96" s="20">
        <f t="shared" si="76"/>
        <v>296.03076645817242</v>
      </c>
      <c r="FI96" s="59">
        <f t="shared" si="77"/>
        <v>572.77251784311261</v>
      </c>
      <c r="FJ96" s="59">
        <f ca="1">AVERAGE(OFFSET($FI$3,0,0,'Données projet'!$E$16+1,1))-AVERAGE(OFFSET($H$3,0,0,'Données projet'!$E$16+1,1))</f>
        <v>329.49463758169588</v>
      </c>
      <c r="FK96" s="59">
        <f t="shared" si="102"/>
        <v>207.1447698203379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192.94404441567877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192.94404441567877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763.00000000000057</v>
      </c>
      <c r="GA96" s="17">
        <f>FZ96*VLOOKUP('Données projet'!$B$17,Paramètres!$A$1:$I$89,3,0)*VLOOKUP('Données projet'!$B$17,Paramètres!$A$1:$I$89,5,0)</f>
        <v>456.2740000000004</v>
      </c>
      <c r="GB96" s="13">
        <f t="shared" si="103"/>
        <v>103.09649786611838</v>
      </c>
      <c r="GC96" s="20">
        <f t="shared" si="79"/>
        <v>974.23695045015677</v>
      </c>
      <c r="GD96" s="59">
        <f t="shared" si="80"/>
        <v>1250.9787018350969</v>
      </c>
      <c r="GE96" s="59">
        <f ca="1">AVERAGE(OFFSET($GD$3,0,0,'Données projet'!$E$17+1,1))-AVERAGE(OFFSET($H$3,0,0,'Données projet'!$E$17+1,1))</f>
        <v>577.07444926285291</v>
      </c>
      <c r="GF96" s="59">
        <f t="shared" si="104"/>
        <v>501.3762209070419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82.265754384335722</v>
      </c>
      <c r="GM96" s="21">
        <f>EXP(-LN(2)/25)*GM95+(1-EXP(-LN(2)/25))/(LN(2)/25)*Calculateur!GH96*Calculateur!GJ96*VLOOKUP('Données projet'!$B$17,Paramètres!$A$1:$I$89,3,0)*0.475*44/12</f>
        <v>11.405755753912256</v>
      </c>
      <c r="GN96" s="21">
        <f>EXP(-LN(2)/2)*GN95+(1-EXP(-LN(2)/2))/(LN(2)/2)*GH96*GK96*VLOOKUP('Données projet'!$B$17,Paramètres!$A$1:$I$89,3,0)*0.475*44/12</f>
        <v>2.5863433970402874E-11</v>
      </c>
      <c r="GO96" s="21">
        <f t="shared" si="81"/>
        <v>93.671510138273845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65.475023104983677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-5.6843418860808015E-14</v>
      </c>
      <c r="GV96" s="17">
        <f>GU96*VLOOKUP('Données projet'!$B$18,Paramètres!$A$1:$I$89,3,0)*VLOOKUP('Données projet'!$B$18,Paramètres!$A$1:$I$89,5,0)</f>
        <v>-3.0061073630349716E-14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212.75657290802619</v>
      </c>
      <c r="HA96" s="59">
        <f t="shared" si="106"/>
        <v>411.47446316045978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22.074946217788845</v>
      </c>
      <c r="HH96" s="21">
        <f>EXP(-LN(2)/25)*HH95+(1-EXP(-LN(2)/25))/(LN(2)/25)*Calculateur!HC96*Calculateur!HE96*VLOOKUP('Données projet'!$B$18,Paramètres!$A$1:$I$89,3,0)*0.475*44/12</f>
        <v>3.4716122475566928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25.546558465345537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4.60745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16.893983333333335</v>
      </c>
      <c r="H97" s="66">
        <f t="shared" si="56"/>
        <v>189.09073333333333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415.06500000000017</v>
      </c>
      <c r="O97" s="13">
        <f>N97*VLOOKUP('Données projet'!$B$9,Paramètres!$A$1:$I$89,3,0)*VLOOKUP('Données projet'!$B$9,Paramètres!$A$1:$I$89,5,0)</f>
        <v>375.55081200000012</v>
      </c>
      <c r="P97" s="13">
        <f t="shared" si="87"/>
        <v>86.801920262883286</v>
      </c>
      <c r="Q97" s="20">
        <f t="shared" si="54"/>
        <v>805.26434202452185</v>
      </c>
      <c r="R97" s="59">
        <f t="shared" si="55"/>
        <v>1082.2939202630464</v>
      </c>
      <c r="S97" s="59">
        <f ca="1">AVERAGE(OFFSET($R$3,0,0,'Données projet'!$E$9+1,1))-AVERAGE(OFFSET($H$3,0,0,'Données projet'!$E$9+1,1))</f>
        <v>564.49981446852132</v>
      </c>
      <c r="T97" s="59">
        <f t="shared" si="88"/>
        <v>297.54722913785406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9.9470000000000027</v>
      </c>
      <c r="AI97" s="13">
        <f>IF('Données projet'!$A$62&gt;35,AI96+AH97-AQ96,IF(A97&lt;'Données projet'!$A$62,$AF$205^A97,IF(A97='Données projet'!$A$62,'Données projet'!$B$62,AI96+AH97-AQ96)))</f>
        <v>415.06500000000011</v>
      </c>
      <c r="AJ97" s="13">
        <f>AI97*VLOOKUP('Données projet'!$B$10,Paramètres!$A$1:$I$89,3,0)*VLOOKUP('Données projet'!$B$10,Paramètres!$A$1:$I$89,5,0)</f>
        <v>420.87591000000015</v>
      </c>
      <c r="AK97" s="13">
        <f t="shared" si="89"/>
        <v>95.996323304873258</v>
      </c>
      <c r="AL97" s="20">
        <f t="shared" si="58"/>
        <v>900.21913967265436</v>
      </c>
      <c r="AM97" s="59">
        <f t="shared" si="59"/>
        <v>1177.2487179111788</v>
      </c>
      <c r="AN97" s="59">
        <f ca="1">AVERAGE(OFFSET($AM$3,0,0,'Données projet'!$E$10+1,1))-AVERAGE(OFFSET($H$3,0,0,'Données projet'!$E$10+1,1))</f>
        <v>623.16549611107564</v>
      </c>
      <c r="AO97" s="59">
        <f t="shared" si="90"/>
        <v>326.15178903425885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123.21518228825167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123.21518228825167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266.99999999999983</v>
      </c>
      <c r="BE97" s="13">
        <f>BD97*VLOOKUP('Données projet'!$B$11,Paramètres!$A$1:$I$89,3,0)*VLOOKUP('Données projet'!$B$11,Paramètres!$A$1:$I$89,5,0)</f>
        <v>216.59039999999987</v>
      </c>
      <c r="BF97" s="13">
        <f t="shared" si="91"/>
        <v>53.373153688190904</v>
      </c>
      <c r="BG97" s="20">
        <f t="shared" si="61"/>
        <v>470.18652267359886</v>
      </c>
      <c r="BH97" s="59">
        <f t="shared" si="62"/>
        <v>747.21610091212335</v>
      </c>
      <c r="BI97" s="59">
        <f ca="1">AVERAGE(OFFSET($BH$3,0,0,'Données projet'!$E$11+1,1))-AVERAGE(OFFSET($H$3,0,0,'Données projet'!$E$11+1,1))</f>
        <v>326.2912419133811</v>
      </c>
      <c r="BJ97" s="59">
        <f t="shared" si="92"/>
        <v>315.07976787459938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33.525754303132643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33.525754303132643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</v>
      </c>
      <c r="BY97" s="12">
        <f>IF('Données projet'!$A$114&gt;35,BY96+BX97-CG96,IF(A97&lt;'Données projet'!$A$114,$BV$205^A97,IF(A97='Données projet'!$A$114,'Données projet'!$B$114,BY96+BX97-CG96)))</f>
        <v>249</v>
      </c>
      <c r="BZ97" s="13">
        <f>BY97*VLOOKUP('Données projet'!$B$12,Paramètres!$A$1:$I$89,3,0)*VLOOKUP('Données projet'!$B$12,Paramètres!$A$1:$I$89,5,0)</f>
        <v>159.26039999999998</v>
      </c>
      <c r="CA97" s="13">
        <f t="shared" si="93"/>
        <v>40.675651605645328</v>
      </c>
      <c r="CB97" s="20">
        <f t="shared" si="64"/>
        <v>348.22195654649892</v>
      </c>
      <c r="CC97" s="59">
        <f t="shared" si="65"/>
        <v>625.25153478502341</v>
      </c>
      <c r="CD97" s="59">
        <f ca="1">AVERAGE(OFFSET($CC$3,0,0,'Données projet'!$E$12+1,1))-AVERAGE(OFFSET($H$3,0,0,'Données projet'!$E$12+1,1))</f>
        <v>297.03992602744393</v>
      </c>
      <c r="CE97" s="59">
        <f t="shared" si="94"/>
        <v>265.2588848922893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38.45740285269099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38.45740285269099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367.99999999999972</v>
      </c>
      <c r="CU97" s="17">
        <f>CT97*VLOOKUP('Données projet'!$B$13,Paramètres!$A$1:$I$89,3,0)*VLOOKUP('Données projet'!$B$13,Paramètres!$A$1:$I$89,5,0)</f>
        <v>292.78079999999977</v>
      </c>
      <c r="CV97" s="13">
        <f t="shared" si="95"/>
        <v>69.660903052386217</v>
      </c>
      <c r="CW97" s="20">
        <f t="shared" si="67"/>
        <v>631.25263281623893</v>
      </c>
      <c r="CX97" s="59">
        <f t="shared" si="68"/>
        <v>908.28221105476337</v>
      </c>
      <c r="CY97" s="59">
        <f ca="1">AVERAGE(OFFSET($CX$3,0,0,'Données projet'!$E$13+1,1))-AVERAGE(OFFSET($H$3,0,0,'Données projet'!$E$13+1,1))</f>
        <v>427.42918901489531</v>
      </c>
      <c r="CZ97" s="59">
        <f t="shared" si="96"/>
        <v>410.68601510655412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46.708843990753813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46.708843990753813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9.9470000000000027</v>
      </c>
      <c r="DO97" s="12">
        <f>IF('Données projet'!$A$166&gt;35,DO96+DN97-DW96,IF(A97&lt;'Données projet'!$A$166,$DL$205^A97,IF(A97='Données projet'!$A$166,'Données projet'!$B$166,DO96+DN97-DW96)))</f>
        <v>415.06500000000011</v>
      </c>
      <c r="DP97" s="17">
        <f>DO97*VLOOKUP('Données projet'!$B$14,Paramètres!$A$1:$I$89,3,0)*VLOOKUP('Données projet'!$B$14,Paramètres!$A$1:$I$89,5,0)</f>
        <v>401.45086800000013</v>
      </c>
      <c r="DQ97" s="13">
        <f t="shared" si="97"/>
        <v>92.070744432522162</v>
      </c>
      <c r="DR97" s="20">
        <f t="shared" si="70"/>
        <v>859.55014165330965</v>
      </c>
      <c r="DS97" s="59">
        <f t="shared" si="71"/>
        <v>1136.5797198918342</v>
      </c>
      <c r="DT97" s="59">
        <f ca="1">AVERAGE(OFFSET($DS$3,0,0,'Données projet'!$E$14+1,1))-AVERAGE(OFFSET($H$3,0,0,'Données projet'!$E$14+1,1))</f>
        <v>598.03945725240396</v>
      </c>
      <c r="DU97" s="59">
        <f t="shared" si="98"/>
        <v>313.9014686755695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117.52832772110158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117.52832772110158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9.9470000000000027</v>
      </c>
      <c r="EJ97" s="12">
        <f>IF('Données projet'!$A$192&gt;35,EJ96+EI97-ER96,IF(A97&lt;'Données projet'!$A$192,$EG$205^A97,IF(A97='Données projet'!$A$192,'Données projet'!$B$192,EJ96+EI97-ER96)))</f>
        <v>415.06500000000017</v>
      </c>
      <c r="EK97" s="17">
        <f>EJ97*VLOOKUP('Données projet'!$B$15,Paramètres!$A$1:$I$89,3,0)*VLOOKUP('Données projet'!$B$15,Paramètres!$A$1:$I$89,5,0)</f>
        <v>278.42560200000014</v>
      </c>
      <c r="EL97" s="13">
        <f t="shared" si="99"/>
        <v>66.634184215491203</v>
      </c>
      <c r="EM97" s="20">
        <f t="shared" si="73"/>
        <v>600.97912765864737</v>
      </c>
      <c r="EN97" s="59">
        <f t="shared" si="74"/>
        <v>878.00870589717192</v>
      </c>
      <c r="EO97" s="59">
        <f ca="1">AVERAGE(OFFSET($EN$3,0,0,'Données projet'!$E$15+1,1))-AVERAGE(OFFSET($H$3,0,0,'Données projet'!$E$15+1,1))</f>
        <v>438.27475674276604</v>
      </c>
      <c r="EP97" s="59">
        <f t="shared" si="100"/>
        <v>235.97720136798864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100.46776401965134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100.46776401965134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8.5349999999999966</v>
      </c>
      <c r="FE97" s="12">
        <f>IF('Données projet'!$A$218&gt;35,FE96+FD97-FM96,IF(A97&lt;'Données projet'!$A$218,$FB$205^A97,IF(A97='Données projet'!$A$218,'Données projet'!$B$218,FE96+FD97-FM96)))</f>
        <v>296.68499999999926</v>
      </c>
      <c r="FF97" s="17">
        <f>FE97*VLOOKUP('Données projet'!$B$16,Paramètres!$A$1:$I$89,3,0)*VLOOKUP('Données projet'!$B$16,Paramètres!$A$1:$I$89,5,0)</f>
        <v>138.84857999999966</v>
      </c>
      <c r="FG97" s="13">
        <f t="shared" si="101"/>
        <v>36.033104695067792</v>
      </c>
      <c r="FH97" s="20">
        <f t="shared" si="76"/>
        <v>304.58560084390916</v>
      </c>
      <c r="FI97" s="59">
        <f t="shared" si="77"/>
        <v>581.61517908243366</v>
      </c>
      <c r="FJ97" s="59">
        <f ca="1">AVERAGE(OFFSET($FI$3,0,0,'Données projet'!$E$16+1,1))-AVERAGE(OFFSET($H$3,0,0,'Données projet'!$E$16+1,1))</f>
        <v>329.49463758169588</v>
      </c>
      <c r="FK97" s="59">
        <f t="shared" si="102"/>
        <v>207.1447698203379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189.16052938893407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189.16052938893407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763.00000000000057</v>
      </c>
      <c r="GA97" s="17">
        <f>FZ97*VLOOKUP('Données projet'!$B$17,Paramètres!$A$1:$I$89,3,0)*VLOOKUP('Données projet'!$B$17,Paramètres!$A$1:$I$89,5,0)</f>
        <v>456.2740000000004</v>
      </c>
      <c r="GB97" s="13">
        <f t="shared" si="103"/>
        <v>103.09649786611838</v>
      </c>
      <c r="GC97" s="20">
        <f t="shared" si="79"/>
        <v>974.23695045015677</v>
      </c>
      <c r="GD97" s="59">
        <f t="shared" si="80"/>
        <v>1251.2665286886813</v>
      </c>
      <c r="GE97" s="59">
        <f ca="1">AVERAGE(OFFSET($GD$3,0,0,'Données projet'!$E$17+1,1))-AVERAGE(OFFSET($H$3,0,0,'Données projet'!$E$17+1,1))</f>
        <v>577.07444926285291</v>
      </c>
      <c r="GF97" s="59">
        <f t="shared" si="104"/>
        <v>501.3762209070419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80.652573118014487</v>
      </c>
      <c r="GM97" s="21">
        <f>EXP(-LN(2)/25)*GM96+(1-EXP(-LN(2)/25))/(LN(2)/25)*Calculateur!GH97*Calculateur!GJ97*VLOOKUP('Données projet'!$B$17,Paramètres!$A$1:$I$89,3,0)*0.475*44/12</f>
        <v>11.0938647630189</v>
      </c>
      <c r="GN97" s="21">
        <f>EXP(-LN(2)/2)*GN96+(1-EXP(-LN(2)/2))/(LN(2)/2)*GH97*GK97*VLOOKUP('Données projet'!$B$17,Paramètres!$A$1:$I$89,3,0)*0.475*44/12</f>
        <v>1.8288209545242385E-11</v>
      </c>
      <c r="GO97" s="21">
        <f t="shared" si="81"/>
        <v>91.746437881051676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65.553521337779415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-5.6843418860808015E-14</v>
      </c>
      <c r="GV97" s="17">
        <f>GU97*VLOOKUP('Données projet'!$B$18,Paramètres!$A$1:$I$89,3,0)*VLOOKUP('Données projet'!$B$18,Paramètres!$A$1:$I$89,5,0)</f>
        <v>-3.0061073630349716E-14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212.75657290802619</v>
      </c>
      <c r="HA97" s="59">
        <f t="shared" si="106"/>
        <v>411.47446316045978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21.642069986845701</v>
      </c>
      <c r="HH97" s="21">
        <f>EXP(-LN(2)/25)*HH96+(1-EXP(-LN(2)/25))/(LN(2)/25)*Calculateur!HC97*Calculateur!HE97*VLOOKUP('Données projet'!$B$18,Paramètres!$A$1:$I$89,3,0)*0.475*44/12</f>
        <v>3.3766808280831015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25.018750814928804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4.60745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16.893983333333335</v>
      </c>
      <c r="H98" s="66">
        <f t="shared" si="56"/>
        <v>189.09073333333333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425.01200000000017</v>
      </c>
      <c r="O98" s="13">
        <f>N98*VLOOKUP('Données projet'!$B$9,Paramètres!$A$1:$I$89,3,0)*VLOOKUP('Données projet'!$B$9,Paramètres!$A$1:$I$89,5,0)</f>
        <v>384.55085760000014</v>
      </c>
      <c r="P98" s="13">
        <f t="shared" si="87"/>
        <v>88.637444941196293</v>
      </c>
      <c r="Q98" s="20">
        <f t="shared" si="54"/>
        <v>824.13629359258368</v>
      </c>
      <c r="R98" s="59">
        <f t="shared" si="55"/>
        <v>1101.4487055322672</v>
      </c>
      <c r="S98" s="59">
        <f ca="1">AVERAGE(OFFSET($R$3,0,0,'Données projet'!$E$9+1,1))-AVERAGE(OFFSET($H$3,0,0,'Données projet'!$E$9+1,1))</f>
        <v>564.49981446852132</v>
      </c>
      <c r="T98" s="59">
        <f t="shared" si="88"/>
        <v>297.54722913785406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9.9470000000000027</v>
      </c>
      <c r="AI98" s="13">
        <f>IF('Données projet'!$A$62&gt;35,AI97+AH98-AQ97,IF(A98&lt;'Données projet'!$A$62,$AF$205^A98,IF(A98='Données projet'!$A$62,'Données projet'!$B$62,AI97+AH98-AQ97)))</f>
        <v>425.01200000000011</v>
      </c>
      <c r="AJ98" s="13">
        <f>AI98*VLOOKUP('Données projet'!$B$10,Paramètres!$A$1:$I$89,3,0)*VLOOKUP('Données projet'!$B$10,Paramètres!$A$1:$I$89,5,0)</f>
        <v>430.96216800000013</v>
      </c>
      <c r="AK98" s="13">
        <f t="shared" si="89"/>
        <v>98.026274023933112</v>
      </c>
      <c r="AL98" s="20">
        <f t="shared" si="58"/>
        <v>921.321536525017</v>
      </c>
      <c r="AM98" s="59">
        <f t="shared" si="59"/>
        <v>1198.6339484647006</v>
      </c>
      <c r="AN98" s="59">
        <f ca="1">AVERAGE(OFFSET($AM$3,0,0,'Données projet'!$E$10+1,1))-AVERAGE(OFFSET($H$3,0,0,'Données projet'!$E$10+1,1))</f>
        <v>623.16549611107564</v>
      </c>
      <c r="AO98" s="59">
        <f t="shared" si="90"/>
        <v>326.15178903425885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120.79900771741943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120.79900771741943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266.99999999999983</v>
      </c>
      <c r="BE98" s="13">
        <f>BD98*VLOOKUP('Données projet'!$B$11,Paramètres!$A$1:$I$89,3,0)*VLOOKUP('Données projet'!$B$11,Paramètres!$A$1:$I$89,5,0)</f>
        <v>216.59039999999987</v>
      </c>
      <c r="BF98" s="13">
        <f t="shared" si="91"/>
        <v>53.373153688190904</v>
      </c>
      <c r="BG98" s="20">
        <f t="shared" si="61"/>
        <v>470.18652267359886</v>
      </c>
      <c r="BH98" s="59">
        <f t="shared" si="62"/>
        <v>747.49893461328247</v>
      </c>
      <c r="BI98" s="59">
        <f ca="1">AVERAGE(OFFSET($BH$3,0,0,'Données projet'!$E$11+1,1))-AVERAGE(OFFSET($H$3,0,0,'Données projet'!$E$11+1,1))</f>
        <v>326.2912419133811</v>
      </c>
      <c r="BJ98" s="59">
        <f t="shared" si="92"/>
        <v>315.07976787459938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32.868334709939198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32.868334709939198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</v>
      </c>
      <c r="BW98" s="12">
        <f>VLOOKUP(A98,'Données projet'!$A$113:$I$133,9,0)</f>
        <v>3</v>
      </c>
      <c r="BX98" s="12">
        <f t="array" ref="BX98">INDEX(BW:BW,MIN(IF(ISNUMBER(BW98:BW294),ROW(BW98:BW294),"")))</f>
        <v>3</v>
      </c>
      <c r="BY98" s="12">
        <f>IF('Données projet'!$A$114&gt;35,BY97+BX98-CG97,IF(A98&lt;'Données projet'!$A$114,$BV$205^A98,IF(A98='Données projet'!$A$114,'Données projet'!$B$114,BY97+BX98-CG97)))</f>
        <v>252</v>
      </c>
      <c r="BZ98" s="13">
        <f>BY98*VLOOKUP('Données projet'!$B$12,Paramètres!$A$1:$I$89,3,0)*VLOOKUP('Données projet'!$B$12,Paramètres!$A$1:$I$89,5,0)</f>
        <v>161.17920000000001</v>
      </c>
      <c r="CA98" s="13">
        <f t="shared" si="93"/>
        <v>41.108373485541968</v>
      </c>
      <c r="CB98" s="20">
        <f t="shared" si="64"/>
        <v>352.31752382065224</v>
      </c>
      <c r="CC98" s="59">
        <f t="shared" si="65"/>
        <v>629.62993576033591</v>
      </c>
      <c r="CD98" s="59">
        <f ca="1">AVERAGE(OFFSET($CC$3,0,0,'Données projet'!$E$12+1,1))-AVERAGE(OFFSET($H$3,0,0,'Données projet'!$E$12+1,1))</f>
        <v>297.03992602744393</v>
      </c>
      <c r="CE98" s="59">
        <f t="shared" si="94"/>
        <v>265.2588848922893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12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41.351700329955555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41.351700329955555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367.99999999999972</v>
      </c>
      <c r="CU98" s="17">
        <f>CT98*VLOOKUP('Données projet'!$B$13,Paramètres!$A$1:$I$89,3,0)*VLOOKUP('Données projet'!$B$13,Paramètres!$A$1:$I$89,5,0)</f>
        <v>292.78079999999977</v>
      </c>
      <c r="CV98" s="13">
        <f t="shared" si="95"/>
        <v>69.660903052386217</v>
      </c>
      <c r="CW98" s="20">
        <f t="shared" si="67"/>
        <v>631.25263281623893</v>
      </c>
      <c r="CX98" s="59">
        <f t="shared" si="68"/>
        <v>908.5650447559226</v>
      </c>
      <c r="CY98" s="59">
        <f ca="1">AVERAGE(OFFSET($CX$3,0,0,'Données projet'!$E$13+1,1))-AVERAGE(OFFSET($H$3,0,0,'Données projet'!$E$13+1,1))</f>
        <v>427.42918901489531</v>
      </c>
      <c r="CZ98" s="59">
        <f t="shared" si="96"/>
        <v>410.68601510655412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45.79291204967685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45.79291204967685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9.9470000000000027</v>
      </c>
      <c r="DO98" s="12">
        <f>IF('Données projet'!$A$166&gt;35,DO97+DN98-DW97,IF(A98&lt;'Données projet'!$A$166,$DL$205^A98,IF(A98='Données projet'!$A$166,'Données projet'!$B$166,DO97+DN98-DW97)))</f>
        <v>425.01200000000011</v>
      </c>
      <c r="DP98" s="17">
        <f>DO98*VLOOKUP('Données projet'!$B$14,Paramètres!$A$1:$I$89,3,0)*VLOOKUP('Données projet'!$B$14,Paramètres!$A$1:$I$89,5,0)</f>
        <v>411.07160640000018</v>
      </c>
      <c r="DQ98" s="13">
        <f t="shared" si="97"/>
        <v>94.017684350956372</v>
      </c>
      <c r="DR98" s="20">
        <f t="shared" si="70"/>
        <v>879.69718139124927</v>
      </c>
      <c r="DS98" s="59">
        <f t="shared" si="71"/>
        <v>1157.0095933309328</v>
      </c>
      <c r="DT98" s="59">
        <f ca="1">AVERAGE(OFFSET($DS$3,0,0,'Données projet'!$E$14+1,1))-AVERAGE(OFFSET($H$3,0,0,'Données projet'!$E$14+1,1))</f>
        <v>598.03945725240396</v>
      </c>
      <c r="DU98" s="59">
        <f t="shared" si="98"/>
        <v>313.9014686755695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115.22366889969236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115.22366889969236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9.9470000000000027</v>
      </c>
      <c r="EJ98" s="12">
        <f>IF('Données projet'!$A$192&gt;35,EJ97+EI98-ER97,IF(A98&lt;'Données projet'!$A$192,$EG$205^A98,IF(A98='Données projet'!$A$192,'Données projet'!$B$192,EJ97+EI98-ER97)))</f>
        <v>425.01200000000017</v>
      </c>
      <c r="EK98" s="17">
        <f>EJ98*VLOOKUP('Données projet'!$B$15,Paramètres!$A$1:$I$89,3,0)*VLOOKUP('Données projet'!$B$15,Paramètres!$A$1:$I$89,5,0)</f>
        <v>285.09804960000014</v>
      </c>
      <c r="EL98" s="13">
        <f t="shared" si="99"/>
        <v>68.043239328285679</v>
      </c>
      <c r="EM98" s="20">
        <f t="shared" si="73"/>
        <v>615.05441155009771</v>
      </c>
      <c r="EN98" s="59">
        <f t="shared" si="74"/>
        <v>892.36682348978138</v>
      </c>
      <c r="EO98" s="59">
        <f ca="1">AVERAGE(OFFSET($EN$3,0,0,'Données projet'!$E$15+1,1))-AVERAGE(OFFSET($H$3,0,0,'Données projet'!$E$15+1,1))</f>
        <v>438.27475674276604</v>
      </c>
      <c r="EP98" s="59">
        <f t="shared" si="100"/>
        <v>235.97720136798864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98.497652446511196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98.497652446511196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8.5349999999999966</v>
      </c>
      <c r="FE98" s="12">
        <f>IF('Données projet'!$A$218&gt;35,FE97+FD98-FM97,IF(A98&lt;'Données projet'!$A$218,$FB$205^A98,IF(A98='Données projet'!$A$218,'Données projet'!$B$218,FE97+FD98-FM97)))</f>
        <v>305.21999999999923</v>
      </c>
      <c r="FF98" s="17">
        <f>FE98*VLOOKUP('Données projet'!$B$16,Paramètres!$A$1:$I$89,3,0)*VLOOKUP('Données projet'!$B$16,Paramètres!$A$1:$I$89,5,0)</f>
        <v>142.84295999999964</v>
      </c>
      <c r="FG98" s="13">
        <f t="shared" si="101"/>
        <v>36.947523740027073</v>
      </c>
      <c r="FH98" s="20">
        <f t="shared" si="76"/>
        <v>313.13509251387984</v>
      </c>
      <c r="FI98" s="59">
        <f t="shared" si="77"/>
        <v>590.4475044535634</v>
      </c>
      <c r="FJ98" s="59">
        <f ca="1">AVERAGE(OFFSET($FI$3,0,0,'Données projet'!$E$16+1,1))-AVERAGE(OFFSET($H$3,0,0,'Données projet'!$E$16+1,1))</f>
        <v>329.49463758169588</v>
      </c>
      <c r="FK98" s="59">
        <f t="shared" si="102"/>
        <v>207.1447698203379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185.4512067841475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185.4512067841475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763.00000000000057</v>
      </c>
      <c r="GA98" s="17">
        <f>FZ98*VLOOKUP('Données projet'!$B$17,Paramètres!$A$1:$I$89,3,0)*VLOOKUP('Données projet'!$B$17,Paramètres!$A$1:$I$89,5,0)</f>
        <v>456.2740000000004</v>
      </c>
      <c r="GB98" s="13">
        <f t="shared" si="103"/>
        <v>103.09649786611838</v>
      </c>
      <c r="GC98" s="20">
        <f t="shared" si="79"/>
        <v>974.23695045015677</v>
      </c>
      <c r="GD98" s="59">
        <f t="shared" si="80"/>
        <v>1251.5493623898403</v>
      </c>
      <c r="GE98" s="59">
        <f ca="1">AVERAGE(OFFSET($GD$3,0,0,'Données projet'!$E$17+1,1))-AVERAGE(OFFSET($H$3,0,0,'Données projet'!$E$17+1,1))</f>
        <v>577.07444926285291</v>
      </c>
      <c r="GF98" s="59">
        <f t="shared" si="104"/>
        <v>501.3762209070419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79.071025352382392</v>
      </c>
      <c r="GM98" s="21">
        <f>EXP(-LN(2)/25)*GM97+(1-EXP(-LN(2)/25))/(LN(2)/25)*Calculateur!GH98*Calculateur!GJ98*VLOOKUP('Données projet'!$B$17,Paramètres!$A$1:$I$89,3,0)*0.475*44/12</f>
        <v>10.790502447673155</v>
      </c>
      <c r="GN98" s="21">
        <f>EXP(-LN(2)/2)*GN97+(1-EXP(-LN(2)/2))/(LN(2)/2)*GH98*GK98*VLOOKUP('Données projet'!$B$17,Paramètres!$A$1:$I$89,3,0)*0.475*44/12</f>
        <v>1.2931716985201437E-11</v>
      </c>
      <c r="GO98" s="21">
        <f t="shared" si="81"/>
        <v>89.861527800068473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65.6306578017319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-5.6843418860808015E-14</v>
      </c>
      <c r="GV98" s="17">
        <f>GU98*VLOOKUP('Données projet'!$B$18,Paramètres!$A$1:$I$89,3,0)*VLOOKUP('Données projet'!$B$18,Paramètres!$A$1:$I$89,5,0)</f>
        <v>-3.0061073630349716E-14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212.75657290802619</v>
      </c>
      <c r="HA98" s="59">
        <f t="shared" si="106"/>
        <v>411.47446316045978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21.217682194762922</v>
      </c>
      <c r="HH98" s="21">
        <f>EXP(-LN(2)/25)*HH97+(1-EXP(-LN(2)/25))/(LN(2)/25)*Calculateur!HC98*Calculateur!HE98*VLOOKUP('Données projet'!$B$18,Paramètres!$A$1:$I$89,3,0)*0.475*44/12</f>
        <v>3.284345313267242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24.502027508030164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4.60745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16.893983333333335</v>
      </c>
      <c r="H99" s="66">
        <f t="shared" si="56"/>
        <v>189.09073333333333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434.95900000000017</v>
      </c>
      <c r="O99" s="13">
        <f>N99*VLOOKUP('Données projet'!$B$9,Paramètres!$A$1:$I$89,3,0)*VLOOKUP('Données projet'!$B$9,Paramètres!$A$1:$I$89,5,0)</f>
        <v>393.55090320000016</v>
      </c>
      <c r="P99" s="13">
        <f t="shared" si="87"/>
        <v>90.467975549637174</v>
      </c>
      <c r="Q99" s="20">
        <f t="shared" ref="Q99:Q130" si="107">(O99+P99)*0.475*44/12</f>
        <v>842.99954715561842</v>
      </c>
      <c r="R99" s="59">
        <f t="shared" si="55"/>
        <v>1120.5898862640674</v>
      </c>
      <c r="S99" s="59">
        <f ca="1">AVERAGE(OFFSET($R$3,0,0,'Données projet'!$E$9+1,1))-AVERAGE(OFFSET($H$3,0,0,'Données projet'!$E$9+1,1))</f>
        <v>564.49981446852132</v>
      </c>
      <c r="T99" s="59">
        <f t="shared" si="88"/>
        <v>297.54722913785406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9.9470000000000027</v>
      </c>
      <c r="AI99" s="13">
        <f>IF('Données projet'!$A$62&gt;35,AI98+AH99-AQ98,IF(A99&lt;'Données projet'!$A$62,$AF$205^A99,IF(A99='Données projet'!$A$62,'Données projet'!$B$62,AI98+AH99-AQ98)))</f>
        <v>434.95900000000012</v>
      </c>
      <c r="AJ99" s="13">
        <f>AI99*VLOOKUP('Données projet'!$B$10,Paramètres!$A$1:$I$89,3,0)*VLOOKUP('Données projet'!$B$10,Paramètres!$A$1:$I$89,5,0)</f>
        <v>441.04842600000018</v>
      </c>
      <c r="AK99" s="13">
        <f t="shared" si="89"/>
        <v>100.05070168146835</v>
      </c>
      <c r="AL99" s="20">
        <f t="shared" si="58"/>
        <v>942.41431404522439</v>
      </c>
      <c r="AM99" s="59">
        <f t="shared" si="59"/>
        <v>1220.0046531536734</v>
      </c>
      <c r="AN99" s="59">
        <f ca="1">AVERAGE(OFFSET($AM$3,0,0,'Données projet'!$E$10+1,1))-AVERAGE(OFFSET($H$3,0,0,'Données projet'!$E$10+1,1))</f>
        <v>623.16549611107564</v>
      </c>
      <c r="AO99" s="59">
        <f t="shared" si="90"/>
        <v>326.15178903425885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118.43021285620023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118.43021285620023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266.99999999999983</v>
      </c>
      <c r="BE99" s="13">
        <f>BD99*VLOOKUP('Données projet'!$B$11,Paramètres!$A$1:$I$89,3,0)*VLOOKUP('Données projet'!$B$11,Paramètres!$A$1:$I$89,5,0)</f>
        <v>216.59039999999987</v>
      </c>
      <c r="BF99" s="13">
        <f t="shared" si="91"/>
        <v>53.373153688190904</v>
      </c>
      <c r="BG99" s="20">
        <f t="shared" si="61"/>
        <v>470.18652267359886</v>
      </c>
      <c r="BH99" s="59">
        <f t="shared" si="62"/>
        <v>747.77686178204794</v>
      </c>
      <c r="BI99" s="59">
        <f ca="1">AVERAGE(OFFSET($BH$3,0,0,'Données projet'!$E$11+1,1))-AVERAGE(OFFSET($H$3,0,0,'Données projet'!$E$11+1,1))</f>
        <v>326.2912419133811</v>
      </c>
      <c r="BJ99" s="59">
        <f t="shared" si="92"/>
        <v>315.07976787459938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32.223806713981915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32.223806713981915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243</v>
      </c>
      <c r="BZ99" s="13">
        <f>BY99*VLOOKUP('Données projet'!$B$12,Paramètres!$A$1:$I$89,3,0)*VLOOKUP('Données projet'!$B$12,Paramètres!$A$1:$I$89,5,0)</f>
        <v>155.4228</v>
      </c>
      <c r="CA99" s="13">
        <f t="shared" si="93"/>
        <v>39.808377687614154</v>
      </c>
      <c r="CB99" s="20">
        <f t="shared" si="64"/>
        <v>340.02763447259463</v>
      </c>
      <c r="CC99" s="59">
        <f t="shared" si="65"/>
        <v>617.61797358104377</v>
      </c>
      <c r="CD99" s="59">
        <f ca="1">AVERAGE(OFFSET($CC$3,0,0,'Données projet'!$E$12+1,1))-AVERAGE(OFFSET($H$3,0,0,'Données projet'!$E$12+1,1))</f>
        <v>297.03992602744393</v>
      </c>
      <c r="CE99" s="59">
        <f t="shared" si="94"/>
        <v>265.2588848922893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40.540818708531859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40.540818708531859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367.99999999999972</v>
      </c>
      <c r="CU99" s="17">
        <f>CT99*VLOOKUP('Données projet'!$B$13,Paramètres!$A$1:$I$89,3,0)*VLOOKUP('Données projet'!$B$13,Paramètres!$A$1:$I$89,5,0)</f>
        <v>292.78079999999977</v>
      </c>
      <c r="CV99" s="13">
        <f t="shared" si="95"/>
        <v>69.660903052386217</v>
      </c>
      <c r="CW99" s="20">
        <f t="shared" si="67"/>
        <v>631.25263281623893</v>
      </c>
      <c r="CX99" s="59">
        <f t="shared" si="68"/>
        <v>908.84297192468807</v>
      </c>
      <c r="CY99" s="59">
        <f ca="1">AVERAGE(OFFSET($CX$3,0,0,'Données projet'!$E$13+1,1))-AVERAGE(OFFSET($H$3,0,0,'Données projet'!$E$13+1,1))</f>
        <v>427.42918901489531</v>
      </c>
      <c r="CZ99" s="59">
        <f t="shared" si="96"/>
        <v>410.68601510655412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44.89494097530109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44.89494097530109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9.9470000000000027</v>
      </c>
      <c r="DO99" s="12">
        <f>IF('Données projet'!$A$166&gt;35,DO98+DN99-DW98,IF(A99&lt;'Données projet'!$A$166,$DL$205^A99,IF(A99='Données projet'!$A$166,'Données projet'!$B$166,DO98+DN99-DW98)))</f>
        <v>434.95900000000012</v>
      </c>
      <c r="DP99" s="17">
        <f>DO99*VLOOKUP('Données projet'!$B$14,Paramètres!$A$1:$I$89,3,0)*VLOOKUP('Données projet'!$B$14,Paramètres!$A$1:$I$89,5,0)</f>
        <v>420.69234480000011</v>
      </c>
      <c r="DQ99" s="13">
        <f t="shared" si="97"/>
        <v>95.959327062491468</v>
      </c>
      <c r="DR99" s="20">
        <f t="shared" si="70"/>
        <v>899.83499516050631</v>
      </c>
      <c r="DS99" s="59">
        <f t="shared" si="71"/>
        <v>1177.4253342689553</v>
      </c>
      <c r="DT99" s="59">
        <f ca="1">AVERAGE(OFFSET($DS$3,0,0,'Données projet'!$E$14+1,1))-AVERAGE(OFFSET($H$3,0,0,'Données projet'!$E$14+1,1))</f>
        <v>598.03945725240396</v>
      </c>
      <c r="DU99" s="59">
        <f t="shared" si="98"/>
        <v>313.9014686755695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112.9642030320679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112.9642030320679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9.9470000000000027</v>
      </c>
      <c r="EJ99" s="12">
        <f>IF('Données projet'!$A$192&gt;35,EJ98+EI99-ER98,IF(A99&lt;'Données projet'!$A$192,$EG$205^A99,IF(A99='Données projet'!$A$192,'Données projet'!$B$192,EJ98+EI99-ER98)))</f>
        <v>434.95900000000017</v>
      </c>
      <c r="EK99" s="17">
        <f>EJ99*VLOOKUP('Données projet'!$B$15,Paramètres!$A$1:$I$89,3,0)*VLOOKUP('Données projet'!$B$15,Paramètres!$A$1:$I$89,5,0)</f>
        <v>291.77049720000014</v>
      </c>
      <c r="EL99" s="13">
        <f t="shared" si="99"/>
        <v>69.448460703636997</v>
      </c>
      <c r="EM99" s="20">
        <f t="shared" si="73"/>
        <v>629.12301834883465</v>
      </c>
      <c r="EN99" s="59">
        <f t="shared" si="74"/>
        <v>906.71335745728379</v>
      </c>
      <c r="EO99" s="59">
        <f ca="1">AVERAGE(OFFSET($EN$3,0,0,'Données projet'!$E$15+1,1))-AVERAGE(OFFSET($H$3,0,0,'Données projet'!$E$15+1,1))</f>
        <v>438.27475674276604</v>
      </c>
      <c r="EP99" s="59">
        <f t="shared" si="100"/>
        <v>235.97720136798864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96.566173559670929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96.566173559670929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8.5349999999999966</v>
      </c>
      <c r="FE99" s="12">
        <f>IF('Données projet'!$A$218&gt;35,FE98+FD99-FM98,IF(A99&lt;'Données projet'!$A$218,$FB$205^A99,IF(A99='Données projet'!$A$218,'Données projet'!$B$218,FE98+FD99-FM98)))</f>
        <v>313.7549999999992</v>
      </c>
      <c r="FF99" s="17">
        <f>FE99*VLOOKUP('Données projet'!$B$16,Paramètres!$A$1:$I$89,3,0)*VLOOKUP('Données projet'!$B$16,Paramètres!$A$1:$I$89,5,0)</f>
        <v>146.83733999999961</v>
      </c>
      <c r="FG99" s="13">
        <f t="shared" si="101"/>
        <v>37.858970831678995</v>
      </c>
      <c r="FH99" s="20">
        <f t="shared" si="76"/>
        <v>321.67940803184018</v>
      </c>
      <c r="FI99" s="59">
        <f t="shared" si="77"/>
        <v>599.26974714028927</v>
      </c>
      <c r="FJ99" s="59">
        <f ca="1">AVERAGE(OFFSET($FI$3,0,0,'Données projet'!$E$16+1,1))-AVERAGE(OFFSET($H$3,0,0,'Données projet'!$E$16+1,1))</f>
        <v>329.49463758169588</v>
      </c>
      <c r="FK99" s="59">
        <f t="shared" si="102"/>
        <v>207.1447698203379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181.81462173317743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181.81462173317743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763.00000000000057</v>
      </c>
      <c r="GA99" s="17">
        <f>FZ99*VLOOKUP('Données projet'!$B$17,Paramètres!$A$1:$I$89,3,0)*VLOOKUP('Données projet'!$B$17,Paramètres!$A$1:$I$89,5,0)</f>
        <v>456.2740000000004</v>
      </c>
      <c r="GB99" s="13">
        <f t="shared" si="103"/>
        <v>103.09649786611838</v>
      </c>
      <c r="GC99" s="20">
        <f t="shared" si="79"/>
        <v>974.23695045015677</v>
      </c>
      <c r="GD99" s="59">
        <f t="shared" si="80"/>
        <v>1251.8272895586058</v>
      </c>
      <c r="GE99" s="59">
        <f ca="1">AVERAGE(OFFSET($GD$3,0,0,'Données projet'!$E$17+1,1))-AVERAGE(OFFSET($H$3,0,0,'Données projet'!$E$17+1,1))</f>
        <v>577.07444926285291</v>
      </c>
      <c r="GF99" s="59">
        <f t="shared" si="104"/>
        <v>501.3762209070419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77.520490773785468</v>
      </c>
      <c r="GM99" s="21">
        <f>EXP(-LN(2)/25)*GM98+(1-EXP(-LN(2)/25))/(LN(2)/25)*Calculateur!GH99*Calculateur!GJ99*VLOOKUP('Données projet'!$B$17,Paramètres!$A$1:$I$89,3,0)*0.475*44/12</f>
        <v>10.49543559079367</v>
      </c>
      <c r="GN99" s="21">
        <f>EXP(-LN(2)/2)*GN98+(1-EXP(-LN(2)/2))/(LN(2)/2)*GH99*GK99*VLOOKUP('Données projet'!$B$17,Paramètres!$A$1:$I$89,3,0)*0.475*44/12</f>
        <v>9.1441047726211923E-12</v>
      </c>
      <c r="GO99" s="21">
        <f t="shared" si="81"/>
        <v>88.015926364588282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65.706456120486109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-5.6843418860808015E-14</v>
      </c>
      <c r="GV99" s="17">
        <f>GU99*VLOOKUP('Données projet'!$B$18,Paramètres!$A$1:$I$89,3,0)*VLOOKUP('Données projet'!$B$18,Paramètres!$A$1:$I$89,5,0)</f>
        <v>-3.0061073630349716E-14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212.75657290802619</v>
      </c>
      <c r="HA99" s="59">
        <f t="shared" si="106"/>
        <v>411.47446316045978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20.801616388431892</v>
      </c>
      <c r="HH99" s="21">
        <f>EXP(-LN(2)/25)*HH98+(1-EXP(-LN(2)/25))/(LN(2)/25)*Calculateur!HC99*Calculateur!HE99*VLOOKUP('Données projet'!$B$18,Paramètres!$A$1:$I$89,3,0)*0.475*44/12</f>
        <v>3.1945347179597356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23.996151106391629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4.60745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16.893983333333335</v>
      </c>
      <c r="H100" s="66">
        <f t="shared" si="56"/>
        <v>189.09073333333333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444.90600000000018</v>
      </c>
      <c r="O100" s="13">
        <f>N100*VLOOKUP('Données projet'!$B$9,Paramètres!$A$1:$I$89,3,0)*VLOOKUP('Données projet'!$B$9,Paramètres!$A$1:$I$89,5,0)</f>
        <v>402.55094880000019</v>
      </c>
      <c r="P100" s="13">
        <f t="shared" si="87"/>
        <v>92.293639443453927</v>
      </c>
      <c r="Q100" s="20">
        <f t="shared" si="107"/>
        <v>861.85432452401585</v>
      </c>
      <c r="R100" s="59">
        <f t="shared" si="55"/>
        <v>1139.7177693862043</v>
      </c>
      <c r="S100" s="59">
        <f ca="1">AVERAGE(OFFSET($R$3,0,0,'Données projet'!$E$9+1,1))-AVERAGE(OFFSET($H$3,0,0,'Données projet'!$E$9+1,1))</f>
        <v>564.49981446852132</v>
      </c>
      <c r="T100" s="59">
        <f t="shared" si="88"/>
        <v>297.54722913785406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9.9470000000000027</v>
      </c>
      <c r="AI100" s="13">
        <f>IF('Données projet'!$A$62&gt;35,AI99+AH100-AQ99,IF(A100&lt;'Données projet'!$A$62,$AF$205^A100,IF(A100='Données projet'!$A$62,'Données projet'!$B$62,AI99+AH100-AQ99)))</f>
        <v>444.90600000000012</v>
      </c>
      <c r="AJ100" s="13">
        <f>AI100*VLOOKUP('Données projet'!$B$10,Paramètres!$A$1:$I$89,3,0)*VLOOKUP('Données projet'!$B$10,Paramètres!$A$1:$I$89,5,0)</f>
        <v>451.13468400000016</v>
      </c>
      <c r="AK100" s="13">
        <f t="shared" si="89"/>
        <v>102.0697471226993</v>
      </c>
      <c r="AL100" s="20">
        <f t="shared" si="58"/>
        <v>963.49771753870164</v>
      </c>
      <c r="AM100" s="59">
        <f t="shared" si="59"/>
        <v>1241.3611624008902</v>
      </c>
      <c r="AN100" s="59">
        <f ca="1">AVERAGE(OFFSET($AM$3,0,0,'Données projet'!$E$10+1,1))-AVERAGE(OFFSET($H$3,0,0,'Données projet'!$E$10+1,1))</f>
        <v>623.16549611107564</v>
      </c>
      <c r="AO100" s="59">
        <f t="shared" si="90"/>
        <v>326.15178903425885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116.10786861738734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116.10786861738734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266.99999999999983</v>
      </c>
      <c r="BE100" s="13">
        <f>BD100*VLOOKUP('Données projet'!$B$11,Paramètres!$A$1:$I$89,3,0)*VLOOKUP('Données projet'!$B$11,Paramètres!$A$1:$I$89,5,0)</f>
        <v>216.59039999999987</v>
      </c>
      <c r="BF100" s="13">
        <f t="shared" si="91"/>
        <v>53.373153688190904</v>
      </c>
      <c r="BG100" s="20">
        <f t="shared" si="61"/>
        <v>470.18652267359886</v>
      </c>
      <c r="BH100" s="59">
        <f t="shared" si="62"/>
        <v>748.04996753578735</v>
      </c>
      <c r="BI100" s="59">
        <f ca="1">AVERAGE(OFFSET($BH$3,0,0,'Données projet'!$E$11+1,1))-AVERAGE(OFFSET($H$3,0,0,'Données projet'!$E$11+1,1))</f>
        <v>326.2912419133811</v>
      </c>
      <c r="BJ100" s="59">
        <f t="shared" si="92"/>
        <v>315.07976787459938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31.591917518902097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31.591917518902097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246</v>
      </c>
      <c r="BZ100" s="13">
        <f>BY100*VLOOKUP('Données projet'!$B$12,Paramètres!$A$1:$I$89,3,0)*VLOOKUP('Données projet'!$B$12,Paramètres!$A$1:$I$89,5,0)</f>
        <v>157.3416</v>
      </c>
      <c r="CA100" s="13">
        <f t="shared" si="93"/>
        <v>40.24232243112715</v>
      </c>
      <c r="CB100" s="20">
        <f t="shared" si="64"/>
        <v>344.12533156754643</v>
      </c>
      <c r="CC100" s="59">
        <f t="shared" si="65"/>
        <v>621.98877642973491</v>
      </c>
      <c r="CD100" s="59">
        <f ca="1">AVERAGE(OFFSET($CC$3,0,0,'Données projet'!$E$12+1,1))-AVERAGE(OFFSET($H$3,0,0,'Données projet'!$E$12+1,1))</f>
        <v>297.03992602744393</v>
      </c>
      <c r="CE100" s="59">
        <f t="shared" si="94"/>
        <v>265.2588848922893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39.745837981115329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39.745837981115329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367.99999999999972</v>
      </c>
      <c r="CU100" s="17">
        <f>CT100*VLOOKUP('Données projet'!$B$13,Paramètres!$A$1:$I$89,3,0)*VLOOKUP('Données projet'!$B$13,Paramètres!$A$1:$I$89,5,0)</f>
        <v>292.78079999999977</v>
      </c>
      <c r="CV100" s="13">
        <f t="shared" si="95"/>
        <v>69.660903052386217</v>
      </c>
      <c r="CW100" s="20">
        <f t="shared" si="67"/>
        <v>631.25263281623893</v>
      </c>
      <c r="CX100" s="59">
        <f t="shared" si="68"/>
        <v>909.11607767842747</v>
      </c>
      <c r="CY100" s="59">
        <f ca="1">AVERAGE(OFFSET($CX$3,0,0,'Données projet'!$E$13+1,1))-AVERAGE(OFFSET($H$3,0,0,'Données projet'!$E$13+1,1))</f>
        <v>427.42918901489531</v>
      </c>
      <c r="CZ100" s="59">
        <f t="shared" si="96"/>
        <v>410.68601510655412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44.014578565985566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44.014578565985566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9.9470000000000027</v>
      </c>
      <c r="DO100" s="12">
        <f>IF('Données projet'!$A$166&gt;35,DO99+DN100-DW99,IF(A100&lt;'Données projet'!$A$166,$DL$205^A100,IF(A100='Données projet'!$A$166,'Données projet'!$B$166,DO99+DN100-DW99)))</f>
        <v>444.90600000000012</v>
      </c>
      <c r="DP100" s="17">
        <f>DO100*VLOOKUP('Données projet'!$B$14,Paramètres!$A$1:$I$89,3,0)*VLOOKUP('Données projet'!$B$14,Paramètres!$A$1:$I$89,5,0)</f>
        <v>430.31308320000011</v>
      </c>
      <c r="DQ100" s="13">
        <f t="shared" si="97"/>
        <v>97.895807652761931</v>
      </c>
      <c r="DR100" s="20">
        <f t="shared" si="70"/>
        <v>919.96381823522722</v>
      </c>
      <c r="DS100" s="59">
        <f t="shared" si="71"/>
        <v>1197.8272630974157</v>
      </c>
      <c r="DT100" s="59">
        <f ca="1">AVERAGE(OFFSET($DS$3,0,0,'Données projet'!$E$14+1,1))-AVERAGE(OFFSET($H$3,0,0,'Données projet'!$E$14+1,1))</f>
        <v>598.03945725240396</v>
      </c>
      <c r="DU100" s="59">
        <f t="shared" si="98"/>
        <v>313.9014686755695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110.74904391196945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110.74904391196945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9.9470000000000027</v>
      </c>
      <c r="EJ100" s="12">
        <f>IF('Données projet'!$A$192&gt;35,EJ99+EI100-ER99,IF(A100&lt;'Données projet'!$A$192,$EG$205^A100,IF(A100='Données projet'!$A$192,'Données projet'!$B$192,EJ99+EI100-ER99)))</f>
        <v>444.90600000000018</v>
      </c>
      <c r="EK100" s="17">
        <f>EJ100*VLOOKUP('Données projet'!$B$15,Paramètres!$A$1:$I$89,3,0)*VLOOKUP('Données projet'!$B$15,Paramètres!$A$1:$I$89,5,0)</f>
        <v>298.44294480000013</v>
      </c>
      <c r="EL100" s="13">
        <f t="shared" si="99"/>
        <v>70.849946106813903</v>
      </c>
      <c r="EM100" s="20">
        <f t="shared" si="73"/>
        <v>643.1851183293677</v>
      </c>
      <c r="EN100" s="59">
        <f t="shared" si="74"/>
        <v>921.04856319155624</v>
      </c>
      <c r="EO100" s="59">
        <f ca="1">AVERAGE(OFFSET($EN$3,0,0,'Données projet'!$E$15+1,1))-AVERAGE(OFFSET($H$3,0,0,'Données projet'!$E$15+1,1))</f>
        <v>438.27475674276604</v>
      </c>
      <c r="EP100" s="59">
        <f t="shared" si="100"/>
        <v>235.97720136798864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94.672569795715802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94.672569795715802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8.5349999999999966</v>
      </c>
      <c r="FE100" s="12">
        <f>IF('Données projet'!$A$218&gt;35,FE99+FD100-FM99,IF(A100&lt;'Données projet'!$A$218,$FB$205^A100,IF(A100='Données projet'!$A$218,'Données projet'!$B$218,FE99+FD100-FM99)))</f>
        <v>322.28999999999917</v>
      </c>
      <c r="FF100" s="17">
        <f>FE100*VLOOKUP('Données projet'!$B$16,Paramètres!$A$1:$I$89,3,0)*VLOOKUP('Données projet'!$B$16,Paramètres!$A$1:$I$89,5,0)</f>
        <v>150.83171999999962</v>
      </c>
      <c r="FG100" s="13">
        <f t="shared" si="101"/>
        <v>38.767536105502572</v>
      </c>
      <c r="FH100" s="20">
        <f t="shared" si="76"/>
        <v>330.2187043837497</v>
      </c>
      <c r="FI100" s="59">
        <f t="shared" si="77"/>
        <v>608.08214924593813</v>
      </c>
      <c r="FJ100" s="59">
        <f ca="1">AVERAGE(OFFSET($FI$3,0,0,'Données projet'!$E$16+1,1))-AVERAGE(OFFSET($H$3,0,0,'Données projet'!$E$16+1,1))</f>
        <v>329.49463758169588</v>
      </c>
      <c r="FK100" s="59">
        <f t="shared" si="102"/>
        <v>207.1447698203379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178.24934789695902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178.24934789695902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763.00000000000057</v>
      </c>
      <c r="GA100" s="17">
        <f>FZ100*VLOOKUP('Données projet'!$B$17,Paramètres!$A$1:$I$89,3,0)*VLOOKUP('Données projet'!$B$17,Paramètres!$A$1:$I$89,5,0)</f>
        <v>456.2740000000004</v>
      </c>
      <c r="GB100" s="13">
        <f t="shared" si="103"/>
        <v>103.09649786611838</v>
      </c>
      <c r="GC100" s="20">
        <f t="shared" si="79"/>
        <v>974.23695045015677</v>
      </c>
      <c r="GD100" s="59">
        <f t="shared" si="80"/>
        <v>1252.1003953123452</v>
      </c>
      <c r="GE100" s="59">
        <f ca="1">AVERAGE(OFFSET($GD$3,0,0,'Données projet'!$E$17+1,1))-AVERAGE(OFFSET($H$3,0,0,'Données projet'!$E$17+1,1))</f>
        <v>577.07444926285291</v>
      </c>
      <c r="GF100" s="59">
        <f t="shared" si="104"/>
        <v>501.3762209070419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76.000361232542119</v>
      </c>
      <c r="GM100" s="21">
        <f>EXP(-LN(2)/25)*GM99+(1-EXP(-LN(2)/25))/(LN(2)/25)*Calculateur!GH100*Calculateur!GJ100*VLOOKUP('Données projet'!$B$17,Paramètres!$A$1:$I$89,3,0)*0.475*44/12</f>
        <v>10.208437352632448</v>
      </c>
      <c r="GN100" s="21">
        <f>EXP(-LN(2)/2)*GN99+(1-EXP(-LN(2)/2))/(LN(2)/2)*GH100*GK100*VLOOKUP('Données projet'!$B$17,Paramètres!$A$1:$I$89,3,0)*0.475*44/12</f>
        <v>6.4658584926007184E-12</v>
      </c>
      <c r="GO100" s="21">
        <f t="shared" si="81"/>
        <v>86.208798585181029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65.78093950786959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-5.6843418860808015E-14</v>
      </c>
      <c r="GV100" s="17">
        <f>GU100*VLOOKUP('Données projet'!$B$18,Paramètres!$A$1:$I$89,3,0)*VLOOKUP('Données projet'!$B$18,Paramètres!$A$1:$I$89,5,0)</f>
        <v>-3.0061073630349716E-14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212.75657290802619</v>
      </c>
      <c r="HA100" s="59">
        <f t="shared" si="106"/>
        <v>411.47446316045978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20.393709378787928</v>
      </c>
      <c r="HH100" s="21">
        <f>EXP(-LN(2)/25)*HH99+(1-EXP(-LN(2)/25))/(LN(2)/25)*Calculateur!HC100*Calculateur!HE100*VLOOKUP('Données projet'!$B$18,Paramètres!$A$1:$I$89,3,0)*0.475*44/12</f>
        <v>3.107179998103847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23.500889376891777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4.60745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16.893983333333335</v>
      </c>
      <c r="H101" s="66">
        <f t="shared" si="56"/>
        <v>189.09073333333333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454.85300000000018</v>
      </c>
      <c r="O101" s="13">
        <f>N101*VLOOKUP('Données projet'!$B$9,Paramètres!$A$1:$I$89,3,0)*VLOOKUP('Données projet'!$B$9,Paramètres!$A$1:$I$89,5,0)</f>
        <v>411.55099440000015</v>
      </c>
      <c r="P101" s="13">
        <f t="shared" si="87"/>
        <v>94.11455795809178</v>
      </c>
      <c r="Q101" s="20">
        <f t="shared" si="107"/>
        <v>880.70083702367674</v>
      </c>
      <c r="R101" s="59">
        <f t="shared" si="55"/>
        <v>1158.8326498653503</v>
      </c>
      <c r="S101" s="59">
        <f ca="1">AVERAGE(OFFSET($R$3,0,0,'Données projet'!$E$9+1,1))-AVERAGE(OFFSET($H$3,0,0,'Données projet'!$E$9+1,1))</f>
        <v>564.49981446852132</v>
      </c>
      <c r="T101" s="59">
        <f t="shared" si="88"/>
        <v>297.54722913785406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9.9470000000000027</v>
      </c>
      <c r="AI101" s="13">
        <f>IF('Données projet'!$A$62&gt;35,AI100+AH101-AQ100,IF(A101&lt;'Données projet'!$A$62,$AF$205^A101,IF(A101='Données projet'!$A$62,'Données projet'!$B$62,AI100+AH101-AQ100)))</f>
        <v>454.85300000000012</v>
      </c>
      <c r="AJ101" s="13">
        <f>AI101*VLOOKUP('Données projet'!$B$10,Paramètres!$A$1:$I$89,3,0)*VLOOKUP('Données projet'!$B$10,Paramètres!$A$1:$I$89,5,0)</f>
        <v>461.22094200000021</v>
      </c>
      <c r="AK101" s="13">
        <f t="shared" si="89"/>
        <v>104.08354453540181</v>
      </c>
      <c r="AL101" s="20">
        <f t="shared" si="58"/>
        <v>984.57198071582513</v>
      </c>
      <c r="AM101" s="59">
        <f t="shared" si="59"/>
        <v>1262.7037935574986</v>
      </c>
      <c r="AN101" s="59">
        <f ca="1">AVERAGE(OFFSET($AM$3,0,0,'Données projet'!$E$10+1,1))-AVERAGE(OFFSET($H$3,0,0,'Données projet'!$E$10+1,1))</f>
        <v>623.16549611107564</v>
      </c>
      <c r="AO101" s="59">
        <f t="shared" si="90"/>
        <v>326.15178903425885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113.83106413260745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113.83106413260745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266.99999999999983</v>
      </c>
      <c r="BE101" s="13">
        <f>BD101*VLOOKUP('Données projet'!$B$11,Paramètres!$A$1:$I$89,3,0)*VLOOKUP('Données projet'!$B$11,Paramètres!$A$1:$I$89,5,0)</f>
        <v>216.59039999999987</v>
      </c>
      <c r="BF101" s="13">
        <f t="shared" si="91"/>
        <v>53.373153688190904</v>
      </c>
      <c r="BG101" s="20">
        <f t="shared" si="61"/>
        <v>470.18652267359886</v>
      </c>
      <c r="BH101" s="59">
        <f t="shared" si="62"/>
        <v>748.31833551527234</v>
      </c>
      <c r="BI101" s="59">
        <f ca="1">AVERAGE(OFFSET($BH$3,0,0,'Données projet'!$E$11+1,1))-AVERAGE(OFFSET($H$3,0,0,'Données projet'!$E$11+1,1))</f>
        <v>326.2912419133811</v>
      </c>
      <c r="BJ101" s="59">
        <f t="shared" si="92"/>
        <v>315.07976787459938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30.97241928552344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30.97241928552344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249</v>
      </c>
      <c r="BZ101" s="13">
        <f>BY101*VLOOKUP('Données projet'!$B$12,Paramètres!$A$1:$I$89,3,0)*VLOOKUP('Données projet'!$B$12,Paramètres!$A$1:$I$89,5,0)</f>
        <v>159.26039999999998</v>
      </c>
      <c r="CA101" s="13">
        <f t="shared" si="93"/>
        <v>40.675651605645328</v>
      </c>
      <c r="CB101" s="20">
        <f t="shared" si="64"/>
        <v>348.22195654649892</v>
      </c>
      <c r="CC101" s="59">
        <f t="shared" si="65"/>
        <v>626.3537693881724</v>
      </c>
      <c r="CD101" s="59">
        <f ca="1">AVERAGE(OFFSET($CC$3,0,0,'Données projet'!$E$12+1,1))-AVERAGE(OFFSET($H$3,0,0,'Données projet'!$E$12+1,1))</f>
        <v>297.03992602744393</v>
      </c>
      <c r="CE101" s="59">
        <f t="shared" si="94"/>
        <v>265.2588848922893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38.96644634087307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38.96644634087307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367.99999999999972</v>
      </c>
      <c r="CU101" s="17">
        <f>CT101*VLOOKUP('Données projet'!$B$13,Paramètres!$A$1:$I$89,3,0)*VLOOKUP('Données projet'!$B$13,Paramètres!$A$1:$I$89,5,0)</f>
        <v>292.78079999999977</v>
      </c>
      <c r="CV101" s="13">
        <f t="shared" si="95"/>
        <v>69.660903052386217</v>
      </c>
      <c r="CW101" s="20">
        <f t="shared" si="67"/>
        <v>631.25263281623893</v>
      </c>
      <c r="CX101" s="59">
        <f t="shared" si="68"/>
        <v>909.38444565791247</v>
      </c>
      <c r="CY101" s="59">
        <f ca="1">AVERAGE(OFFSET($CX$3,0,0,'Données projet'!$E$13+1,1))-AVERAGE(OFFSET($H$3,0,0,'Données projet'!$E$13+1,1))</f>
        <v>427.42918901489531</v>
      </c>
      <c r="CZ101" s="59">
        <f t="shared" si="96"/>
        <v>410.68601510655412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43.15147952654867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43.15147952654867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9.9470000000000027</v>
      </c>
      <c r="DO101" s="12">
        <f>IF('Données projet'!$A$166&gt;35,DO100+DN101-DW100,IF(A101&lt;'Données projet'!$A$166,$DL$205^A101,IF(A101='Données projet'!$A$166,'Données projet'!$B$166,DO100+DN101-DW100)))</f>
        <v>454.85300000000012</v>
      </c>
      <c r="DP101" s="17">
        <f>DO101*VLOOKUP('Données projet'!$B$14,Paramètres!$A$1:$I$89,3,0)*VLOOKUP('Données projet'!$B$14,Paramètres!$A$1:$I$89,5,0)</f>
        <v>439.93382160000016</v>
      </c>
      <c r="DQ101" s="13">
        <f t="shared" si="97"/>
        <v>99.827254822201553</v>
      </c>
      <c r="DR101" s="20">
        <f t="shared" si="70"/>
        <v>940.08387476866801</v>
      </c>
      <c r="DS101" s="59">
        <f t="shared" si="71"/>
        <v>1218.2156876103415</v>
      </c>
      <c r="DT101" s="59">
        <f ca="1">AVERAGE(OFFSET($DS$3,0,0,'Données projet'!$E$14+1,1))-AVERAGE(OFFSET($H$3,0,0,'Données projet'!$E$14+1,1))</f>
        <v>598.03945725240396</v>
      </c>
      <c r="DU101" s="59">
        <f t="shared" si="98"/>
        <v>313.9014686755695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108.57732271110248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108.57732271110248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9.9470000000000027</v>
      </c>
      <c r="EJ101" s="12">
        <f>IF('Données projet'!$A$192&gt;35,EJ100+EI101-ER100,IF(A101&lt;'Données projet'!$A$192,$EG$205^A101,IF(A101='Données projet'!$A$192,'Données projet'!$B$192,EJ100+EI101-ER100)))</f>
        <v>454.85300000000018</v>
      </c>
      <c r="EK101" s="17">
        <f>EJ101*VLOOKUP('Données projet'!$B$15,Paramètres!$A$1:$I$89,3,0)*VLOOKUP('Données projet'!$B$15,Paramètres!$A$1:$I$89,5,0)</f>
        <v>305.11539240000013</v>
      </c>
      <c r="EL101" s="13">
        <f t="shared" si="99"/>
        <v>72.247788681935546</v>
      </c>
      <c r="EM101" s="20">
        <f t="shared" si="73"/>
        <v>657.24087371770463</v>
      </c>
      <c r="EN101" s="59">
        <f t="shared" si="74"/>
        <v>935.37268655937805</v>
      </c>
      <c r="EO101" s="59">
        <f ca="1">AVERAGE(OFFSET($EN$3,0,0,'Données projet'!$E$15+1,1))-AVERAGE(OFFSET($H$3,0,0,'Données projet'!$E$15+1,1))</f>
        <v>438.27475674276604</v>
      </c>
      <c r="EP101" s="59">
        <f t="shared" si="100"/>
        <v>235.97720136798864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92.816098446587588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92.816098446587588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8.5349999999999966</v>
      </c>
      <c r="FE101" s="12">
        <f>IF('Données projet'!$A$218&gt;35,FE100+FD101-FM100,IF(A101&lt;'Données projet'!$A$218,$FB$205^A101,IF(A101='Données projet'!$A$218,'Données projet'!$B$218,FE100+FD101-FM100)))</f>
        <v>330.82499999999914</v>
      </c>
      <c r="FF101" s="17">
        <f>FE101*VLOOKUP('Données projet'!$B$16,Paramètres!$A$1:$I$89,3,0)*VLOOKUP('Données projet'!$B$16,Paramètres!$A$1:$I$89,5,0)</f>
        <v>154.8260999999996</v>
      </c>
      <c r="FG101" s="13">
        <f t="shared" si="101"/>
        <v>39.673304651126898</v>
      </c>
      <c r="FH101" s="20">
        <f t="shared" si="76"/>
        <v>338.75312976737865</v>
      </c>
      <c r="FI101" s="59">
        <f t="shared" si="77"/>
        <v>616.88494260905213</v>
      </c>
      <c r="FJ101" s="59">
        <f ca="1">AVERAGE(OFFSET($FI$3,0,0,'Données projet'!$E$16+1,1))-AVERAGE(OFFSET($H$3,0,0,'Données projet'!$E$16+1,1))</f>
        <v>329.49463758169588</v>
      </c>
      <c r="FK101" s="59">
        <f t="shared" si="102"/>
        <v>207.1447698203379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174.75398690606653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174.75398690606653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763.00000000000057</v>
      </c>
      <c r="GA101" s="17">
        <f>FZ101*VLOOKUP('Données projet'!$B$17,Paramètres!$A$1:$I$89,3,0)*VLOOKUP('Données projet'!$B$17,Paramètres!$A$1:$I$89,5,0)</f>
        <v>456.2740000000004</v>
      </c>
      <c r="GB101" s="13">
        <f t="shared" si="103"/>
        <v>103.09649786611838</v>
      </c>
      <c r="GC101" s="20">
        <f t="shared" si="79"/>
        <v>974.23695045015677</v>
      </c>
      <c r="GD101" s="59">
        <f t="shared" si="80"/>
        <v>1252.3687632918302</v>
      </c>
      <c r="GE101" s="59">
        <f ca="1">AVERAGE(OFFSET($GD$3,0,0,'Données projet'!$E$17+1,1))-AVERAGE(OFFSET($H$3,0,0,'Données projet'!$E$17+1,1))</f>
        <v>577.07444926285291</v>
      </c>
      <c r="GF101" s="59">
        <f t="shared" si="104"/>
        <v>501.3762209070419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74.510040504415073</v>
      </c>
      <c r="GM101" s="21">
        <f>EXP(-LN(2)/25)*GM100+(1-EXP(-LN(2)/25))/(LN(2)/25)*Calculateur!GH101*Calculateur!GJ101*VLOOKUP('Données projet'!$B$17,Paramètres!$A$1:$I$89,3,0)*0.475*44/12</f>
        <v>9.9292870963863251</v>
      </c>
      <c r="GN101" s="21">
        <f>EXP(-LN(2)/2)*GN100+(1-EXP(-LN(2)/2))/(LN(2)/2)*GH101*GK101*VLOOKUP('Données projet'!$B$17,Paramètres!$A$1:$I$89,3,0)*0.475*44/12</f>
        <v>4.5720523863105961E-12</v>
      </c>
      <c r="GO101" s="21">
        <f t="shared" si="81"/>
        <v>84.439327600805967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65.854130775001863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-5.6843418860808015E-14</v>
      </c>
      <c r="GV101" s="17">
        <f>GU101*VLOOKUP('Données projet'!$B$18,Paramètres!$A$1:$I$89,3,0)*VLOOKUP('Données projet'!$B$18,Paramètres!$A$1:$I$89,5,0)</f>
        <v>-3.0061073630349716E-14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212.75657290802619</v>
      </c>
      <c r="HA101" s="59">
        <f t="shared" si="106"/>
        <v>411.47446316045978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19.993801176804375</v>
      </c>
      <c r="HH101" s="21">
        <f>EXP(-LN(2)/25)*HH100+(1-EXP(-LN(2)/25))/(LN(2)/25)*Calculateur!HC101*Calculateur!HE101*VLOOKUP('Données projet'!$B$18,Paramètres!$A$1:$I$89,3,0)*0.475*44/12</f>
        <v>3.0222139976562028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23.016015174460577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4.60745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16.893983333333335</v>
      </c>
      <c r="H102" s="66">
        <f t="shared" si="56"/>
        <v>189.09073333333333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464.80000000000018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1177.9348114465583</v>
      </c>
      <c r="S102" s="59">
        <f ca="1">AVERAGE(OFFSET($R$3,0,0,'Données projet'!$E$9+1,1))-AVERAGE(OFFSET($H$3,0,0,'Données projet'!$E$9+1,1))</f>
        <v>564.49981446852132</v>
      </c>
      <c r="T102" s="59">
        <f t="shared" si="88"/>
        <v>297.54722913785406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464.8</v>
      </c>
      <c r="AG102" s="12">
        <f>VLOOKUP(A102,'Données projet'!$A$61:$I$81,9,0)</f>
        <v>9.9470000000000027</v>
      </c>
      <c r="AH102" s="12">
        <f t="array" ref="AH102">INDEX(AG:AG,MIN(IF(ISNUMBER(AG102:AG298),ROW(AG102:AG298),"")))</f>
        <v>9.9470000000000027</v>
      </c>
      <c r="AI102" s="13">
        <f>IF('Données projet'!$A$62&gt;35,AI101+AH102-AQ101,IF(A102&lt;'Données projet'!$A$62,$AF$205^A102,IF(A102='Données projet'!$A$62,'Données projet'!$B$62,AI101+AH102-AQ101)))</f>
        <v>464.80000000000013</v>
      </c>
      <c r="AJ102" s="13">
        <f>AI102*VLOOKUP('Données projet'!$B$10,Paramètres!$A$1:$I$89,3,0)*VLOOKUP('Données projet'!$B$10,Paramètres!$A$1:$I$89,5,0)</f>
        <v>471.30720000000019</v>
      </c>
      <c r="AK102" s="13">
        <f t="shared" si="89"/>
        <v>106.0922219031893</v>
      </c>
      <c r="AL102" s="20">
        <f t="shared" si="58"/>
        <v>1005.6373264813883</v>
      </c>
      <c r="AM102" s="59">
        <f t="shared" si="59"/>
        <v>1284.0328517180837</v>
      </c>
      <c r="AN102" s="59">
        <f ca="1">AVERAGE(OFFSET($AM$3,0,0,'Données projet'!$E$10+1,1))-AVERAGE(OFFSET($H$3,0,0,'Données projet'!$E$10+1,1))</f>
        <v>623.16549611107564</v>
      </c>
      <c r="AO102" s="59">
        <f t="shared" si="90"/>
        <v>326.15178903425885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62.94</v>
      </c>
      <c r="AR102" s="16">
        <f>IF(ISNA(VLOOKUP(A102,'Données projet'!$A$61:$I$81,5,0)),0%,VLOOKUP(A102,'Données projet'!$A$61:$I$81,5,0)*VLOOKUP('Données projet'!$B$10,Paramètres!$A$1:$I$89,7,0))</f>
        <v>0.43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141.93643924105675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141.93643924105675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266.99999999999983</v>
      </c>
      <c r="BE102" s="13">
        <f>BD102*VLOOKUP('Données projet'!$B$11,Paramètres!$A$1:$I$89,3,0)*VLOOKUP('Données projet'!$B$11,Paramètres!$A$1:$I$89,5,0)</f>
        <v>216.59039999999987</v>
      </c>
      <c r="BF102" s="13">
        <f t="shared" si="91"/>
        <v>53.373153688190904</v>
      </c>
      <c r="BG102" s="20">
        <f t="shared" si="61"/>
        <v>470.18652267359886</v>
      </c>
      <c r="BH102" s="59">
        <f t="shared" si="62"/>
        <v>748.58204791029425</v>
      </c>
      <c r="BI102" s="59">
        <f ca="1">AVERAGE(OFFSET($BH$3,0,0,'Données projet'!$E$11+1,1))-AVERAGE(OFFSET($H$3,0,0,'Données projet'!$E$11+1,1))</f>
        <v>326.2912419133811</v>
      </c>
      <c r="BJ102" s="59">
        <f t="shared" si="92"/>
        <v>315.07976787459938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30.365069034644726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30.365069034644726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252</v>
      </c>
      <c r="BZ102" s="13">
        <f>BY102*VLOOKUP('Données projet'!$B$12,Paramètres!$A$1:$I$89,3,0)*VLOOKUP('Données projet'!$B$12,Paramètres!$A$1:$I$89,5,0)</f>
        <v>161.17920000000001</v>
      </c>
      <c r="CA102" s="13">
        <f t="shared" si="93"/>
        <v>41.108373485541968</v>
      </c>
      <c r="CB102" s="20">
        <f t="shared" si="64"/>
        <v>352.31752382065224</v>
      </c>
      <c r="CC102" s="59">
        <f t="shared" si="65"/>
        <v>630.71304905734769</v>
      </c>
      <c r="CD102" s="59">
        <f ca="1">AVERAGE(OFFSET($CC$3,0,0,'Données projet'!$E$12+1,1))-AVERAGE(OFFSET($H$3,0,0,'Données projet'!$E$12+1,1))</f>
        <v>297.03992602744393</v>
      </c>
      <c r="CE102" s="59">
        <f t="shared" si="94"/>
        <v>265.2588848922893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38.202338095314005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38.202338095314005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367.99999999999972</v>
      </c>
      <c r="CU102" s="17">
        <f>CT102*VLOOKUP('Données projet'!$B$13,Paramètres!$A$1:$I$89,3,0)*VLOOKUP('Données projet'!$B$13,Paramètres!$A$1:$I$89,5,0)</f>
        <v>292.78079999999977</v>
      </c>
      <c r="CV102" s="13">
        <f t="shared" si="95"/>
        <v>69.660903052386217</v>
      </c>
      <c r="CW102" s="20">
        <f t="shared" si="67"/>
        <v>631.25263281623893</v>
      </c>
      <c r="CX102" s="59">
        <f t="shared" si="68"/>
        <v>909.64815805293438</v>
      </c>
      <c r="CY102" s="59">
        <f ca="1">AVERAGE(OFFSET($CX$3,0,0,'Données projet'!$E$13+1,1))-AVERAGE(OFFSET($H$3,0,0,'Données projet'!$E$13+1,1))</f>
        <v>427.42918901489531</v>
      </c>
      <c r="CZ102" s="59">
        <f t="shared" si="96"/>
        <v>410.68601510655412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42.305305332836696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42.305305332836696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>
        <f>VLOOKUP(A102,'Données projet'!$A$165:$I$185,2,0)</f>
        <v>464.8</v>
      </c>
      <c r="DM102" s="12">
        <f>VLOOKUP(A102,'Données projet'!$A$165:$I$185,9,0)</f>
        <v>9.9470000000000027</v>
      </c>
      <c r="DN102" s="12">
        <f t="array" ref="DN102">INDEX(DM:DM,MIN(IF(ISNUMBER(DM102:DM298),ROW(DM102:DM298),"")))</f>
        <v>9.9470000000000027</v>
      </c>
      <c r="DO102" s="12">
        <f>IF('Données projet'!$A$166&gt;35,DO101+DN102-DW101,IF(A102&lt;'Données projet'!$A$166,$DL$205^A102,IF(A102='Données projet'!$A$166,'Données projet'!$B$166,DO101+DN102-DW101)))</f>
        <v>464.80000000000013</v>
      </c>
      <c r="DP102" s="17">
        <f>DO102*VLOOKUP('Données projet'!$B$14,Paramètres!$A$1:$I$89,3,0)*VLOOKUP('Données projet'!$B$14,Paramètres!$A$1:$I$89,5,0)</f>
        <v>449.55456000000015</v>
      </c>
      <c r="DQ102" s="13">
        <f t="shared" si="97"/>
        <v>101.75379132078818</v>
      </c>
      <c r="DR102" s="20">
        <f t="shared" si="70"/>
        <v>960.19537855037299</v>
      </c>
      <c r="DS102" s="59">
        <f t="shared" si="71"/>
        <v>1238.5909037870683</v>
      </c>
      <c r="DT102" s="59">
        <f ca="1">AVERAGE(OFFSET($DS$3,0,0,'Données projet'!$E$14+1,1))-AVERAGE(OFFSET($H$3,0,0,'Données projet'!$E$14+1,1))</f>
        <v>598.03945725240396</v>
      </c>
      <c r="DU102" s="59">
        <f t="shared" si="98"/>
        <v>313.9014686755695</v>
      </c>
      <c r="DV102" s="15">
        <f>IF(ISNA(VLOOKUP(A102,'Données projet'!$A$165:$I$185,3,0)),0,VLOOKUP(A102,'Données projet'!$A$165:$I$185,3,0))</f>
        <v>9</v>
      </c>
      <c r="DW102" s="15">
        <f>IF(ISNA(VLOOKUP(A102,'Données projet'!$A$165:$I$185,4,0)),0,VLOOKUP(A102,'Données projet'!$A$165:$I$185,4,0))</f>
        <v>62.94</v>
      </c>
      <c r="DX102" s="16">
        <f>IF(ISNA(VLOOKUP(A102,'Données projet'!$A$165:$I$185,5,0)),0%,VLOOKUP(A102,'Données projet'!$A$165:$I$185,5,0)*VLOOKUP('Données projet'!$B$14,Paramètres!$A$1:$I$89,7,0))</f>
        <v>0.43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135.38552666070026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135.38552666070026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>
        <f>VLOOKUP(A102,'Données projet'!$A$191:$I$211,2,0)</f>
        <v>464.8</v>
      </c>
      <c r="EH102" s="12">
        <f>VLOOKUP(A102,'Données projet'!$A$191:$I$211,9,0)</f>
        <v>9.9470000000000027</v>
      </c>
      <c r="EI102" s="12">
        <f t="array" ref="EI102">INDEX(EH:EH,MIN(IF(ISNUMBER(EH102:EH298),ROW(EH102:EH298),"")))</f>
        <v>9.9470000000000027</v>
      </c>
      <c r="EJ102" s="12">
        <f>IF('Données projet'!$A$192&gt;35,EJ101+EI102-ER101,IF(A102&lt;'Données projet'!$A$192,$EG$205^A102,IF(A102='Données projet'!$A$192,'Données projet'!$B$192,EJ101+EI102-ER101)))</f>
        <v>464.80000000000018</v>
      </c>
      <c r="EK102" s="17">
        <f>EJ102*VLOOKUP('Données projet'!$B$15,Paramètres!$A$1:$I$89,3,0)*VLOOKUP('Données projet'!$B$15,Paramètres!$A$1:$I$89,5,0)</f>
        <v>311.78784000000013</v>
      </c>
      <c r="EL102" s="13">
        <f t="shared" si="99"/>
        <v>73.642077266609391</v>
      </c>
      <c r="EM102" s="20">
        <f t="shared" si="73"/>
        <v>671.29043923934501</v>
      </c>
      <c r="EN102" s="59">
        <f t="shared" si="74"/>
        <v>949.68596447604045</v>
      </c>
      <c r="EO102" s="59">
        <f ca="1">AVERAGE(OFFSET($EN$3,0,0,'Données projet'!$E$15+1,1))-AVERAGE(OFFSET($H$3,0,0,'Données projet'!$E$15+1,1))</f>
        <v>438.27475674276604</v>
      </c>
      <c r="EP102" s="59">
        <f t="shared" si="100"/>
        <v>235.97720136798864</v>
      </c>
      <c r="EQ102" s="15">
        <f>IF(ISNA(VLOOKUP(A102,'Données projet'!$A$191:$I$211,3,0)),0,VLOOKUP(A102,'Données projet'!$A$191:$I$211,3,0))</f>
        <v>9</v>
      </c>
      <c r="ER102" s="15">
        <f>IF(ISNA(VLOOKUP(A102,'Données projet'!$A$191:$I$211,4,0)),0,VLOOKUP(A102,'Données projet'!$A$191:$I$211,4,0))</f>
        <v>62.94</v>
      </c>
      <c r="ES102" s="16">
        <f>IF(ISNA(VLOOKUP(A102,'Données projet'!$A$191:$I$211,5,0)),0%,VLOOKUP(A102,'Données projet'!$A$191:$I$211,5,0)*VLOOKUP('Données projet'!$B$15,Paramètres!$A$1:$I$89,7,0))</f>
        <v>0.53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115.73278891963086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115.73278891963086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8.5349999999999966</v>
      </c>
      <c r="FE102" s="12">
        <f>IF('Données projet'!$A$218&gt;35,FE101+FD102-FM101,IF(A102&lt;'Données projet'!$A$218,$FB$205^A102,IF(A102='Données projet'!$A$218,'Données projet'!$B$218,FE101+FD102-FM101)))</f>
        <v>339.3599999999991</v>
      </c>
      <c r="FF102" s="17">
        <f>FE102*VLOOKUP('Données projet'!$B$16,Paramètres!$A$1:$I$89,3,0)*VLOOKUP('Données projet'!$B$16,Paramètres!$A$1:$I$89,5,0)</f>
        <v>158.82047999999958</v>
      </c>
      <c r="FG102" s="13">
        <f t="shared" si="101"/>
        <v>40.576356917593031</v>
      </c>
      <c r="FH102" s="20">
        <f t="shared" si="76"/>
        <v>347.28282429814044</v>
      </c>
      <c r="FI102" s="59">
        <f t="shared" si="77"/>
        <v>625.67834953483589</v>
      </c>
      <c r="FJ102" s="59">
        <f ca="1">AVERAGE(OFFSET($FI$3,0,0,'Données projet'!$E$16+1,1))-AVERAGE(OFFSET($H$3,0,0,'Données projet'!$E$16+1,1))</f>
        <v>329.49463758169588</v>
      </c>
      <c r="FK102" s="59">
        <f t="shared" si="102"/>
        <v>207.1447698203379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171.32716781224576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171.32716781224576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763.00000000000057</v>
      </c>
      <c r="GA102" s="17">
        <f>FZ102*VLOOKUP('Données projet'!$B$17,Paramètres!$A$1:$I$89,3,0)*VLOOKUP('Données projet'!$B$17,Paramètres!$A$1:$I$89,5,0)</f>
        <v>456.2740000000004</v>
      </c>
      <c r="GB102" s="13">
        <f t="shared" si="103"/>
        <v>103.09649786611838</v>
      </c>
      <c r="GC102" s="20">
        <f t="shared" si="79"/>
        <v>974.23695045015677</v>
      </c>
      <c r="GD102" s="59">
        <f t="shared" si="80"/>
        <v>1252.6324756868521</v>
      </c>
      <c r="GE102" s="59">
        <f ca="1">AVERAGE(OFFSET($GD$3,0,0,'Données projet'!$E$17+1,1))-AVERAGE(OFFSET($H$3,0,0,'Données projet'!$E$17+1,1))</f>
        <v>577.07444926285291</v>
      </c>
      <c r="GF102" s="59">
        <f t="shared" si="104"/>
        <v>501.3762209070419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73.048944056760718</v>
      </c>
      <c r="GM102" s="21">
        <f>EXP(-LN(2)/25)*GM101+(1-EXP(-LN(2)/25))/(LN(2)/25)*Calculateur!GH102*Calculateur!GJ102*VLOOKUP('Données projet'!$B$17,Paramètres!$A$1:$I$89,3,0)*0.475*44/12</f>
        <v>9.6577702185771255</v>
      </c>
      <c r="GN102" s="21">
        <f>EXP(-LN(2)/2)*GN101+(1-EXP(-LN(2)/2))/(LN(2)/2)*GH102*GK102*VLOOKUP('Données projet'!$B$17,Paramètres!$A$1:$I$89,3,0)*0.475*44/12</f>
        <v>3.2329292463003592E-12</v>
      </c>
      <c r="GO102" s="21">
        <f t="shared" si="81"/>
        <v>82.706714275341071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65.926052337280552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-5.6843418860808015E-14</v>
      </c>
      <c r="GV102" s="17">
        <f>GU102*VLOOKUP('Données projet'!$B$18,Paramètres!$A$1:$I$89,3,0)*VLOOKUP('Données projet'!$B$18,Paramètres!$A$1:$I$89,5,0)</f>
        <v>-3.0061073630349716E-14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212.75657290802619</v>
      </c>
      <c r="HA102" s="59">
        <f t="shared" si="106"/>
        <v>411.47446316045978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19.601734930741802</v>
      </c>
      <c r="HH102" s="21">
        <f>EXP(-LN(2)/25)*HH101+(1-EXP(-LN(2)/25))/(LN(2)/25)*Calculateur!HC102*Calculateur!HE102*VLOOKUP('Données projet'!$B$18,Paramètres!$A$1:$I$89,3,0)*0.475*44/12</f>
        <v>2.939571396958967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22.54130632770077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4.60745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16.893983333333335</v>
      </c>
      <c r="H103" s="66">
        <f t="shared" si="56"/>
        <v>189.09073333333333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411.5710000000002</v>
      </c>
      <c r="O103" s="13">
        <f>N103*VLOOKUP('Données projet'!$B$9,Paramètres!$A$1:$I$89,3,0)*VLOOKUP('Données projet'!$B$9,Paramètres!$A$1:$I$89,5,0)</f>
        <v>372.38944080000016</v>
      </c>
      <c r="P103" s="13">
        <f t="shared" si="87"/>
        <v>86.155960872174546</v>
      </c>
      <c r="Q103" s="20">
        <f t="shared" si="107"/>
        <v>798.6332412457042</v>
      </c>
      <c r="R103" s="59">
        <f t="shared" si="55"/>
        <v>1077.2879040569403</v>
      </c>
      <c r="S103" s="59">
        <f ca="1">AVERAGE(OFFSET($R$3,0,0,'Données projet'!$E$9+1,1))-AVERAGE(OFFSET($H$3,0,0,'Données projet'!$E$9+1,1))</f>
        <v>564.49981446852132</v>
      </c>
      <c r="T103" s="59">
        <f t="shared" si="88"/>
        <v>297.54722913785406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9.7110000000000021</v>
      </c>
      <c r="AI103" s="13">
        <f>IF('Données projet'!$A$62&gt;35,AI102+AH103-AQ102,IF(A103&lt;'Données projet'!$A$62,$AF$205^A103,IF(A103='Données projet'!$A$62,'Données projet'!$B$62,AI102+AH103-AQ102)))</f>
        <v>411.57100000000014</v>
      </c>
      <c r="AJ103" s="13">
        <f>AI103*VLOOKUP('Données projet'!$B$10,Paramètres!$A$1:$I$89,3,0)*VLOOKUP('Données projet'!$B$10,Paramètres!$A$1:$I$89,5,0)</f>
        <v>417.33299400000016</v>
      </c>
      <c r="AK103" s="13">
        <f t="shared" si="89"/>
        <v>95.281941338155363</v>
      </c>
      <c r="AL103" s="20">
        <f t="shared" si="58"/>
        <v>892.80434571395415</v>
      </c>
      <c r="AM103" s="59">
        <f t="shared" si="59"/>
        <v>1171.4590085251903</v>
      </c>
      <c r="AN103" s="59">
        <f ca="1">AVERAGE(OFFSET($AM$3,0,0,'Données projet'!$E$10+1,1))-AVERAGE(OFFSET($H$3,0,0,'Données projet'!$E$10+1,1))</f>
        <v>623.16549611107564</v>
      </c>
      <c r="AO103" s="59">
        <f t="shared" si="90"/>
        <v>326.15178903425885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139.15315224021921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139.15315224021921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266.99999999999983</v>
      </c>
      <c r="BE103" s="13">
        <f>BD103*VLOOKUP('Données projet'!$B$11,Paramètres!$A$1:$I$89,3,0)*VLOOKUP('Données projet'!$B$11,Paramètres!$A$1:$I$89,5,0)</f>
        <v>216.59039999999987</v>
      </c>
      <c r="BF103" s="13">
        <f t="shared" si="91"/>
        <v>53.373153688190904</v>
      </c>
      <c r="BG103" s="20">
        <f t="shared" si="61"/>
        <v>470.18652267359886</v>
      </c>
      <c r="BH103" s="59">
        <f t="shared" si="62"/>
        <v>748.84118548483502</v>
      </c>
      <c r="BI103" s="59">
        <f ca="1">AVERAGE(OFFSET($BH$3,0,0,'Données projet'!$E$11+1,1))-AVERAGE(OFFSET($H$3,0,0,'Données projet'!$E$11+1,1))</f>
        <v>326.2912419133811</v>
      </c>
      <c r="BJ103" s="59">
        <f t="shared" si="92"/>
        <v>315.07976787459938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29.76962855173867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29.76962855173867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255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255</v>
      </c>
      <c r="BZ103" s="13">
        <f>BY103*VLOOKUP('Données projet'!$B$12,Paramètres!$A$1:$I$89,3,0)*VLOOKUP('Données projet'!$B$12,Paramètres!$A$1:$I$89,5,0)</f>
        <v>163.09800000000001</v>
      </c>
      <c r="CA103" s="13">
        <f t="shared" si="93"/>
        <v>41.540496136845142</v>
      </c>
      <c r="CB103" s="20">
        <f t="shared" si="64"/>
        <v>356.41204743833867</v>
      </c>
      <c r="CC103" s="59">
        <f t="shared" si="65"/>
        <v>635.06671024957484</v>
      </c>
      <c r="CD103" s="59">
        <f ca="1">AVERAGE(OFFSET($CC$3,0,0,'Données projet'!$E$12+1,1))-AVERAGE(OFFSET($H$3,0,0,'Données projet'!$E$12+1,1))</f>
        <v>297.03992602744393</v>
      </c>
      <c r="CE103" s="59">
        <f t="shared" si="94"/>
        <v>265.2588848922893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12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41.101637236896593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41.101637236896593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367.99999999999972</v>
      </c>
      <c r="CU103" s="17">
        <f>CT103*VLOOKUP('Données projet'!$B$13,Paramètres!$A$1:$I$89,3,0)*VLOOKUP('Données projet'!$B$13,Paramètres!$A$1:$I$89,5,0)</f>
        <v>292.78079999999977</v>
      </c>
      <c r="CV103" s="13">
        <f t="shared" si="95"/>
        <v>69.660903052386217</v>
      </c>
      <c r="CW103" s="20">
        <f t="shared" si="67"/>
        <v>631.25263281623893</v>
      </c>
      <c r="CX103" s="59">
        <f t="shared" si="68"/>
        <v>909.90729562747515</v>
      </c>
      <c r="CY103" s="59">
        <f ca="1">AVERAGE(OFFSET($CX$3,0,0,'Données projet'!$E$13+1,1))-AVERAGE(OFFSET($H$3,0,0,'Données projet'!$E$13+1,1))</f>
        <v>427.42918901489531</v>
      </c>
      <c r="CZ103" s="59">
        <f t="shared" si="96"/>
        <v>410.68601510655412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41.47572409894812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41.47572409894812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9.7110000000000021</v>
      </c>
      <c r="DO103" s="12">
        <f>IF('Données projet'!$A$166&gt;35,DO102+DN103-DW102,IF(A103&lt;'Données projet'!$A$166,$DL$205^A103,IF(A103='Données projet'!$A$166,'Données projet'!$B$166,DO102+DN103-DW102)))</f>
        <v>411.57100000000014</v>
      </c>
      <c r="DP103" s="17">
        <f>DO103*VLOOKUP('Données projet'!$B$14,Paramètres!$A$1:$I$89,3,0)*VLOOKUP('Données projet'!$B$14,Paramètres!$A$1:$I$89,5,0)</f>
        <v>398.07147120000019</v>
      </c>
      <c r="DQ103" s="13">
        <f t="shared" si="97"/>
        <v>91.385575696673854</v>
      </c>
      <c r="DR103" s="20">
        <f t="shared" si="70"/>
        <v>852.47102334504063</v>
      </c>
      <c r="DS103" s="59">
        <f t="shared" si="71"/>
        <v>1131.1256861562767</v>
      </c>
      <c r="DT103" s="59">
        <f ca="1">AVERAGE(OFFSET($DS$3,0,0,'Données projet'!$E$14+1,1))-AVERAGE(OFFSET($H$3,0,0,'Données projet'!$E$14+1,1))</f>
        <v>598.03945725240396</v>
      </c>
      <c r="DU103" s="59">
        <f t="shared" si="98"/>
        <v>313.9014686755695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132.73069905990138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132.73069905990138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9.7110000000000021</v>
      </c>
      <c r="EJ103" s="12">
        <f>IF('Données projet'!$A$192&gt;35,EJ102+EI103-ER102,IF(A103&lt;'Données projet'!$A$192,$EG$205^A103,IF(A103='Données projet'!$A$192,'Données projet'!$B$192,EJ102+EI103-ER102)))</f>
        <v>411.5710000000002</v>
      </c>
      <c r="EK103" s="17">
        <f>EJ103*VLOOKUP('Données projet'!$B$15,Paramètres!$A$1:$I$89,3,0)*VLOOKUP('Données projet'!$B$15,Paramètres!$A$1:$I$89,5,0)</f>
        <v>276.08182680000016</v>
      </c>
      <c r="EL103" s="13">
        <f t="shared" si="99"/>
        <v>66.138308353461298</v>
      </c>
      <c r="EM103" s="20">
        <f t="shared" si="73"/>
        <v>596.0334020589454</v>
      </c>
      <c r="EN103" s="59">
        <f t="shared" si="74"/>
        <v>874.68806487018151</v>
      </c>
      <c r="EO103" s="59">
        <f ca="1">AVERAGE(OFFSET($EN$3,0,0,'Données projet'!$E$15+1,1))-AVERAGE(OFFSET($H$3,0,0,'Données projet'!$E$15+1,1))</f>
        <v>438.27475674276604</v>
      </c>
      <c r="EP103" s="59">
        <f t="shared" si="100"/>
        <v>235.97720136798864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113.46333951894796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113.46333951894796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8.5349999999999966</v>
      </c>
      <c r="FE103" s="12">
        <f>IF('Données projet'!$A$218&gt;35,FE102+FD103-FM102,IF(A103&lt;'Données projet'!$A$218,$FB$205^A103,IF(A103='Données projet'!$A$218,'Données projet'!$B$218,FE102+FD103-FM102)))</f>
        <v>347.89499999999907</v>
      </c>
      <c r="FF103" s="17">
        <f>FE103*VLOOKUP('Données projet'!$B$16,Paramètres!$A$1:$I$89,3,0)*VLOOKUP('Données projet'!$B$16,Paramètres!$A$1:$I$89,5,0)</f>
        <v>162.81485999999956</v>
      </c>
      <c r="FG103" s="13">
        <f t="shared" si="101"/>
        <v>41.476769076697764</v>
      </c>
      <c r="FH103" s="20">
        <f t="shared" si="76"/>
        <v>355.80792064191445</v>
      </c>
      <c r="FI103" s="59">
        <f t="shared" si="77"/>
        <v>634.46258345315061</v>
      </c>
      <c r="FJ103" s="59">
        <f ca="1">AVERAGE(OFFSET($FI$3,0,0,'Données projet'!$E$16+1,1))-AVERAGE(OFFSET($H$3,0,0,'Données projet'!$E$16+1,1))</f>
        <v>329.49463758169588</v>
      </c>
      <c r="FK103" s="59">
        <f t="shared" si="102"/>
        <v>207.1447698203379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167.96754655070154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167.96754655070154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763.00000000000057</v>
      </c>
      <c r="GA103" s="17">
        <f>FZ103*VLOOKUP('Données projet'!$B$17,Paramètres!$A$1:$I$89,3,0)*VLOOKUP('Données projet'!$B$17,Paramètres!$A$1:$I$89,5,0)</f>
        <v>456.2740000000004</v>
      </c>
      <c r="GB103" s="13">
        <f t="shared" si="103"/>
        <v>103.09649786611838</v>
      </c>
      <c r="GC103" s="20">
        <f t="shared" si="79"/>
        <v>974.23695045015677</v>
      </c>
      <c r="GD103" s="59">
        <f t="shared" si="80"/>
        <v>1252.8916132613929</v>
      </c>
      <c r="GE103" s="59">
        <f ca="1">AVERAGE(OFFSET($GD$3,0,0,'Données projet'!$E$17+1,1))-AVERAGE(OFFSET($H$3,0,0,'Données projet'!$E$17+1,1))</f>
        <v>577.07444926285291</v>
      </c>
      <c r="GF103" s="59">
        <f t="shared" si="104"/>
        <v>501.3762209070419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71.616498819264024</v>
      </c>
      <c r="GM103" s="21">
        <f>EXP(-LN(2)/25)*GM102+(1-EXP(-LN(2)/25))/(LN(2)/25)*Calculateur!GH103*Calculateur!GJ103*VLOOKUP('Données projet'!$B$17,Paramètres!$A$1:$I$89,3,0)*0.475*44/12</f>
        <v>9.3936779840700719</v>
      </c>
      <c r="GN103" s="21">
        <f>EXP(-LN(2)/2)*GN102+(1-EXP(-LN(2)/2))/(LN(2)/2)*GH103*GK103*VLOOKUP('Données projet'!$B$17,Paramètres!$A$1:$I$89,3,0)*0.475*44/12</f>
        <v>2.2860261931552981E-12</v>
      </c>
      <c r="GO103" s="21">
        <f t="shared" si="81"/>
        <v>81.010176803336378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65.996726221246234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-5.6843418860808015E-14</v>
      </c>
      <c r="GV103" s="17">
        <f>GU103*VLOOKUP('Données projet'!$B$18,Paramètres!$A$1:$I$89,3,0)*VLOOKUP('Données projet'!$B$18,Paramètres!$A$1:$I$89,5,0)</f>
        <v>-3.0061073630349716E-14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212.75657290802619</v>
      </c>
      <c r="HA103" s="59">
        <f t="shared" si="106"/>
        <v>411.47446316045978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19.217356864627718</v>
      </c>
      <c r="HH103" s="21">
        <f>EXP(-LN(2)/25)*HH102+(1-EXP(-LN(2)/25))/(LN(2)/25)*Calculateur!HC103*Calculateur!HE103*VLOOKUP('Données projet'!$B$18,Paramètres!$A$1:$I$89,3,0)*0.475*44/12</f>
        <v>2.8591886625237826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22.076545527151499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4.60745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16.893983333333335</v>
      </c>
      <c r="H104" s="66">
        <f t="shared" si="56"/>
        <v>189.09073333333333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421.28200000000021</v>
      </c>
      <c r="O104" s="13">
        <f>N104*VLOOKUP('Données projet'!$B$9,Paramètres!$A$1:$I$89,3,0)*VLOOKUP('Données projet'!$B$9,Paramètres!$A$1:$I$89,5,0)</f>
        <v>381.17595360000018</v>
      </c>
      <c r="P104" s="13">
        <f t="shared" si="87"/>
        <v>87.949738529484478</v>
      </c>
      <c r="Q104" s="20">
        <f t="shared" si="107"/>
        <v>817.06058045885254</v>
      </c>
      <c r="R104" s="59">
        <f t="shared" si="55"/>
        <v>1095.9698853870561</v>
      </c>
      <c r="S104" s="59">
        <f ca="1">AVERAGE(OFFSET($R$3,0,0,'Données projet'!$E$9+1,1))-AVERAGE(OFFSET($H$3,0,0,'Données projet'!$E$9+1,1))</f>
        <v>564.49981446852132</v>
      </c>
      <c r="T104" s="59">
        <f t="shared" si="88"/>
        <v>297.54722913785406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9.7110000000000021</v>
      </c>
      <c r="AI104" s="13">
        <f>IF('Données projet'!$A$62&gt;35,AI103+AH104-AQ103,IF(A104&lt;'Données projet'!$A$62,$AF$205^A104,IF(A104='Données projet'!$A$62,'Données projet'!$B$62,AI103+AH104-AQ103)))</f>
        <v>421.28200000000015</v>
      </c>
      <c r="AJ104" s="13">
        <f>AI104*VLOOKUP('Données projet'!$B$10,Paramètres!$A$1:$I$89,3,0)*VLOOKUP('Données projet'!$B$10,Paramètres!$A$1:$I$89,5,0)</f>
        <v>427.17994800000019</v>
      </c>
      <c r="AK104" s="13">
        <f t="shared" si="89"/>
        <v>97.265723026471477</v>
      </c>
      <c r="AL104" s="20">
        <f t="shared" si="58"/>
        <v>913.40954370443831</v>
      </c>
      <c r="AM104" s="59">
        <f t="shared" si="59"/>
        <v>1192.3188486326419</v>
      </c>
      <c r="AN104" s="59">
        <f ca="1">AVERAGE(OFFSET($AM$3,0,0,'Données projet'!$E$10+1,1))-AVERAGE(OFFSET($H$3,0,0,'Données projet'!$E$10+1,1))</f>
        <v>623.16549611107564</v>
      </c>
      <c r="AO104" s="59">
        <f t="shared" si="90"/>
        <v>326.15178903425885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136.42444379983067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136.42444379983067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266.99999999999983</v>
      </c>
      <c r="BE104" s="13">
        <f>BD104*VLOOKUP('Données projet'!$B$11,Paramètres!$A$1:$I$89,3,0)*VLOOKUP('Données projet'!$B$11,Paramètres!$A$1:$I$89,5,0)</f>
        <v>216.59039999999987</v>
      </c>
      <c r="BF104" s="13">
        <f t="shared" si="91"/>
        <v>53.373153688190904</v>
      </c>
      <c r="BG104" s="20">
        <f t="shared" si="61"/>
        <v>470.18652267359886</v>
      </c>
      <c r="BH104" s="59">
        <f t="shared" si="62"/>
        <v>749.0958276018024</v>
      </c>
      <c r="BI104" s="59">
        <f ca="1">AVERAGE(OFFSET($BH$3,0,0,'Données projet'!$E$11+1,1))-AVERAGE(OFFSET($H$3,0,0,'Données projet'!$E$11+1,1))</f>
        <v>326.2912419133811</v>
      </c>
      <c r="BJ104" s="59">
        <f t="shared" si="92"/>
        <v>315.07976787459938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29.185864293519568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29.185864293519568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243</v>
      </c>
      <c r="BZ104" s="13">
        <f>BY104*VLOOKUP('Données projet'!$B$12,Paramètres!$A$1:$I$89,3,0)*VLOOKUP('Données projet'!$B$12,Paramètres!$A$1:$I$89,5,0)</f>
        <v>155.4228</v>
      </c>
      <c r="CA104" s="13">
        <f t="shared" si="93"/>
        <v>39.808377687614154</v>
      </c>
      <c r="CB104" s="20">
        <f t="shared" si="64"/>
        <v>340.02763447259463</v>
      </c>
      <c r="CC104" s="59">
        <f t="shared" si="65"/>
        <v>618.93693940079811</v>
      </c>
      <c r="CD104" s="59">
        <f ca="1">AVERAGE(OFFSET($CC$3,0,0,'Données projet'!$E$12+1,1))-AVERAGE(OFFSET($H$3,0,0,'Données projet'!$E$12+1,1))</f>
        <v>297.03992602744393</v>
      </c>
      <c r="CE104" s="59">
        <f t="shared" si="94"/>
        <v>265.2588848922893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40.295659200204355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40.295659200204355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367.99999999999972</v>
      </c>
      <c r="CU104" s="17">
        <f>CT104*VLOOKUP('Données projet'!$B$13,Paramètres!$A$1:$I$89,3,0)*VLOOKUP('Données projet'!$B$13,Paramètres!$A$1:$I$89,5,0)</f>
        <v>292.78079999999977</v>
      </c>
      <c r="CV104" s="13">
        <f t="shared" si="95"/>
        <v>69.660903052386217</v>
      </c>
      <c r="CW104" s="20">
        <f t="shared" si="67"/>
        <v>631.25263281623893</v>
      </c>
      <c r="CX104" s="59">
        <f t="shared" si="68"/>
        <v>910.16193774444241</v>
      </c>
      <c r="CY104" s="59">
        <f ca="1">AVERAGE(OFFSET($CX$3,0,0,'Données projet'!$E$13+1,1))-AVERAGE(OFFSET($H$3,0,0,'Données projet'!$E$13+1,1))</f>
        <v>427.42918901489531</v>
      </c>
      <c r="CZ104" s="59">
        <f t="shared" si="96"/>
        <v>410.68601510655412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40.662410447061511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40.662410447061511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9.7110000000000021</v>
      </c>
      <c r="DO104" s="12">
        <f>IF('Données projet'!$A$166&gt;35,DO103+DN104-DW103,IF(A104&lt;'Données projet'!$A$166,$DL$205^A104,IF(A104='Données projet'!$A$166,'Données projet'!$B$166,DO103+DN104-DW103)))</f>
        <v>421.28200000000015</v>
      </c>
      <c r="DP104" s="17">
        <f>DO104*VLOOKUP('Données projet'!$B$14,Paramètres!$A$1:$I$89,3,0)*VLOOKUP('Données projet'!$B$14,Paramètres!$A$1:$I$89,5,0)</f>
        <v>407.46395040000021</v>
      </c>
      <c r="DQ104" s="13">
        <f t="shared" si="97"/>
        <v>93.288234575126936</v>
      </c>
      <c r="DR104" s="20">
        <f t="shared" si="70"/>
        <v>872.14338883167966</v>
      </c>
      <c r="DS104" s="59">
        <f t="shared" si="71"/>
        <v>1151.0526937598831</v>
      </c>
      <c r="DT104" s="59">
        <f ca="1">AVERAGE(OFFSET($DS$3,0,0,'Données projet'!$E$14+1,1))-AVERAGE(OFFSET($H$3,0,0,'Données projet'!$E$14+1,1))</f>
        <v>598.03945725240396</v>
      </c>
      <c r="DU104" s="59">
        <f t="shared" si="98"/>
        <v>313.9014686755695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130.12793100906924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130.12793100906924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9.7110000000000021</v>
      </c>
      <c r="EJ104" s="12">
        <f>IF('Données projet'!$A$192&gt;35,EJ103+EI104-ER103,IF(A104&lt;'Données projet'!$A$192,$EG$205^A104,IF(A104='Données projet'!$A$192,'Données projet'!$B$192,EJ103+EI104-ER103)))</f>
        <v>421.28200000000021</v>
      </c>
      <c r="EK104" s="17">
        <f>EJ104*VLOOKUP('Données projet'!$B$15,Paramètres!$A$1:$I$89,3,0)*VLOOKUP('Données projet'!$B$15,Paramètres!$A$1:$I$89,5,0)</f>
        <v>282.59596560000017</v>
      </c>
      <c r="EL104" s="13">
        <f t="shared" si="99"/>
        <v>67.515316033669649</v>
      </c>
      <c r="EM104" s="20">
        <f t="shared" si="73"/>
        <v>609.77714884530826</v>
      </c>
      <c r="EN104" s="59">
        <f t="shared" si="74"/>
        <v>888.68645377351186</v>
      </c>
      <c r="EO104" s="59">
        <f ca="1">AVERAGE(OFFSET($EN$3,0,0,'Données projet'!$E$15+1,1))-AVERAGE(OFFSET($H$3,0,0,'Données projet'!$E$15+1,1))</f>
        <v>438.27475674276604</v>
      </c>
      <c r="EP104" s="59">
        <f t="shared" si="100"/>
        <v>235.97720136798864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111.23839263678499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111.23839263678499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>
        <f>VLOOKUP(A104,'Données projet'!$A$217:$I$237,2,0)</f>
        <v>356.43</v>
      </c>
      <c r="FC104" s="12">
        <f>VLOOKUP(A104,'Données projet'!$A$217:$I$237,9,0)</f>
        <v>8.5349999999999966</v>
      </c>
      <c r="FD104" s="12">
        <f t="array" ref="FD104">INDEX(FC:FC,MIN(IF(ISNUMBER(FC104:FC300),ROW(FC104:FC300),"")))</f>
        <v>8.5349999999999966</v>
      </c>
      <c r="FE104" s="12">
        <f>IF('Données projet'!$A$218&gt;35,FE103+FD104-FM103,IF(A104&lt;'Données projet'!$A$218,$FB$205^A104,IF(A104='Données projet'!$A$218,'Données projet'!$B$218,FE103+FD104-FM103)))</f>
        <v>356.42999999999904</v>
      </c>
      <c r="FF104" s="17">
        <f>FE104*VLOOKUP('Données projet'!$B$16,Paramètres!$A$1:$I$89,3,0)*VLOOKUP('Données projet'!$B$16,Paramètres!$A$1:$I$89,5,0)</f>
        <v>166.80923999999956</v>
      </c>
      <c r="FG104" s="13">
        <f t="shared" si="101"/>
        <v>42.374613349678434</v>
      </c>
      <c r="FH104" s="20">
        <f t="shared" si="76"/>
        <v>364.3285445840225</v>
      </c>
      <c r="FI104" s="59">
        <f t="shared" si="77"/>
        <v>643.23784951222603</v>
      </c>
      <c r="FJ104" s="59">
        <f ca="1">AVERAGE(OFFSET($FI$3,0,0,'Données projet'!$E$16+1,1))-AVERAGE(OFFSET($H$3,0,0,'Données projet'!$E$16+1,1))</f>
        <v>329.49463758169588</v>
      </c>
      <c r="FK104" s="59">
        <f t="shared" si="102"/>
        <v>207.1447698203379</v>
      </c>
      <c r="FL104" s="15">
        <f>IF(ISNA(VLOOKUP(A104,'Données projet'!$A$217:$I$237,3,0)),0,VLOOKUP(A104,'Données projet'!$A$217:$I$237,3,0))</f>
        <v>8</v>
      </c>
      <c r="FM104" s="15">
        <f>IF(ISNA(VLOOKUP(A104,'Données projet'!$A$217:$I$237,4,0)),0,VLOOKUP(A104,'Données projet'!$A$217:$I$237,4,0))</f>
        <v>351.18</v>
      </c>
      <c r="FN104" s="16">
        <f>IF(ISNA(VLOOKUP(A104,'Données projet'!$A$217:$I$237,5,0)),0%,VLOOKUP(A104,'Données projet'!$A$217:$I$237,5,0)*VLOOKUP('Données projet'!$B$16,Paramètres!$A$1:$I$89,7,0))</f>
        <v>0.55000000000000004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284.58691727865732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284.58691727865732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763.00000000000057</v>
      </c>
      <c r="GA104" s="17">
        <f>FZ104*VLOOKUP('Données projet'!$B$17,Paramètres!$A$1:$I$89,3,0)*VLOOKUP('Données projet'!$B$17,Paramètres!$A$1:$I$89,5,0)</f>
        <v>456.2740000000004</v>
      </c>
      <c r="GB104" s="13">
        <f t="shared" si="103"/>
        <v>103.09649786611838</v>
      </c>
      <c r="GC104" s="20">
        <f t="shared" si="79"/>
        <v>974.23695045015677</v>
      </c>
      <c r="GD104" s="59">
        <f t="shared" si="80"/>
        <v>1253.1462553783604</v>
      </c>
      <c r="GE104" s="59">
        <f ca="1">AVERAGE(OFFSET($GD$3,0,0,'Données projet'!$E$17+1,1))-AVERAGE(OFFSET($H$3,0,0,'Données projet'!$E$17+1,1))</f>
        <v>577.07444926285291</v>
      </c>
      <c r="GF104" s="59">
        <f t="shared" si="104"/>
        <v>501.3762209070419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70.212142959169327</v>
      </c>
      <c r="GM104" s="21">
        <f>EXP(-LN(2)/25)*GM103+(1-EXP(-LN(2)/25))/(LN(2)/25)*Calculateur!GH104*Calculateur!GJ104*VLOOKUP('Données projet'!$B$17,Paramètres!$A$1:$I$89,3,0)*0.475*44/12</f>
        <v>9.1368073656036195</v>
      </c>
      <c r="GN104" s="21">
        <f>EXP(-LN(2)/2)*GN103+(1-EXP(-LN(2)/2))/(LN(2)/2)*GH104*GK104*VLOOKUP('Données projet'!$B$17,Paramètres!$A$1:$I$89,3,0)*0.475*44/12</f>
        <v>1.6164646231501796E-12</v>
      </c>
      <c r="GO104" s="21">
        <f t="shared" si="81"/>
        <v>79.348950324774563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66.066174071328248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-5.6843418860808015E-14</v>
      </c>
      <c r="GV104" s="17">
        <f>GU104*VLOOKUP('Données projet'!$B$18,Paramètres!$A$1:$I$89,3,0)*VLOOKUP('Données projet'!$B$18,Paramètres!$A$1:$I$89,5,0)</f>
        <v>-3.0061073630349716E-14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212.75657290802619</v>
      </c>
      <c r="HA104" s="59">
        <f t="shared" si="106"/>
        <v>411.47446316045978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18.84051621794266</v>
      </c>
      <c r="HH104" s="21">
        <f>EXP(-LN(2)/25)*HH103+(1-EXP(-LN(2)/25))/(LN(2)/25)*Calculateur!HC104*Calculateur!HE104*VLOOKUP('Données projet'!$B$18,Paramètres!$A$1:$I$89,3,0)*0.475*44/12</f>
        <v>2.7810039981888726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21.621520216131533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4.60745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16.893983333333335</v>
      </c>
      <c r="H105" s="66">
        <f t="shared" si="56"/>
        <v>189.09073333333333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430.99300000000022</v>
      </c>
      <c r="O105" s="13">
        <f>N105*VLOOKUP('Données projet'!$B$9,Paramètres!$A$1:$I$89,3,0)*VLOOKUP('Données projet'!$B$9,Paramètres!$A$1:$I$89,5,0)</f>
        <v>389.96246640000021</v>
      </c>
      <c r="P105" s="13">
        <f t="shared" si="87"/>
        <v>89.738709223725238</v>
      </c>
      <c r="Q105" s="20">
        <f t="shared" si="107"/>
        <v>835.47954754465525</v>
      </c>
      <c r="R105" s="59">
        <f t="shared" si="55"/>
        <v>1114.6390771183912</v>
      </c>
      <c r="S105" s="59">
        <f ca="1">AVERAGE(OFFSET($R$3,0,0,'Données projet'!$E$9+1,1))-AVERAGE(OFFSET($H$3,0,0,'Données projet'!$E$9+1,1))</f>
        <v>564.49981446852132</v>
      </c>
      <c r="T105" s="59">
        <f t="shared" si="88"/>
        <v>297.54722913785406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9.7110000000000021</v>
      </c>
      <c r="AI105" s="13">
        <f>IF('Données projet'!$A$62&gt;35,AI104+AH105-AQ104,IF(A105&lt;'Données projet'!$A$62,$AF$205^A105,IF(A105='Données projet'!$A$62,'Données projet'!$B$62,AI104+AH105-AQ104)))</f>
        <v>430.99300000000017</v>
      </c>
      <c r="AJ105" s="13">
        <f>AI105*VLOOKUP('Données projet'!$B$10,Paramètres!$A$1:$I$89,3,0)*VLOOKUP('Données projet'!$B$10,Paramètres!$A$1:$I$89,5,0)</f>
        <v>437.02690200000018</v>
      </c>
      <c r="AK105" s="13">
        <f t="shared" si="89"/>
        <v>99.244188579159314</v>
      </c>
      <c r="AL105" s="20">
        <f t="shared" si="58"/>
        <v>934.00548275870278</v>
      </c>
      <c r="AM105" s="59">
        <f t="shared" si="59"/>
        <v>1213.1650123324389</v>
      </c>
      <c r="AN105" s="59">
        <f ca="1">AVERAGE(OFFSET($AM$3,0,0,'Données projet'!$E$10+1,1))-AVERAGE(OFFSET($H$3,0,0,'Données projet'!$E$10+1,1))</f>
        <v>623.16549611107564</v>
      </c>
      <c r="AO105" s="59">
        <f t="shared" si="90"/>
        <v>326.15178903425885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133.74924366761033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133.74924366761033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266.99999999999983</v>
      </c>
      <c r="BE105" s="13">
        <f>BD105*VLOOKUP('Données projet'!$B$11,Paramètres!$A$1:$I$89,3,0)*VLOOKUP('Données projet'!$B$11,Paramètres!$A$1:$I$89,5,0)</f>
        <v>216.59039999999987</v>
      </c>
      <c r="BF105" s="13">
        <f t="shared" si="91"/>
        <v>53.373153688190904</v>
      </c>
      <c r="BG105" s="20">
        <f t="shared" si="61"/>
        <v>470.18652267359886</v>
      </c>
      <c r="BH105" s="59">
        <f t="shared" si="62"/>
        <v>749.34605224733491</v>
      </c>
      <c r="BI105" s="59">
        <f ca="1">AVERAGE(OFFSET($BH$3,0,0,'Données projet'!$E$11+1,1))-AVERAGE(OFFSET($H$3,0,0,'Données projet'!$E$11+1,1))</f>
        <v>326.2912419133811</v>
      </c>
      <c r="BJ105" s="59">
        <f t="shared" si="92"/>
        <v>315.07976787459938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28.613547296343103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28.613547296343103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243</v>
      </c>
      <c r="BZ105" s="13">
        <f>BY105*VLOOKUP('Données projet'!$B$12,Paramètres!$A$1:$I$89,3,0)*VLOOKUP('Données projet'!$B$12,Paramètres!$A$1:$I$89,5,0)</f>
        <v>155.4228</v>
      </c>
      <c r="CA105" s="13">
        <f t="shared" si="93"/>
        <v>39.808377687614154</v>
      </c>
      <c r="CB105" s="20">
        <f t="shared" si="64"/>
        <v>340.02763447259463</v>
      </c>
      <c r="CC105" s="59">
        <f t="shared" si="65"/>
        <v>619.18716404633074</v>
      </c>
      <c r="CD105" s="59">
        <f ca="1">AVERAGE(OFFSET($CC$3,0,0,'Données projet'!$E$12+1,1))-AVERAGE(OFFSET($H$3,0,0,'Données projet'!$E$12+1,1))</f>
        <v>297.03992602744393</v>
      </c>
      <c r="CE105" s="59">
        <f t="shared" si="94"/>
        <v>265.2588848922893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39.505485901213589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39.505485901213589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367.99999999999972</v>
      </c>
      <c r="CU105" s="17">
        <f>CT105*VLOOKUP('Données projet'!$B$13,Paramètres!$A$1:$I$89,3,0)*VLOOKUP('Données projet'!$B$13,Paramètres!$A$1:$I$89,5,0)</f>
        <v>292.78079999999977</v>
      </c>
      <c r="CV105" s="13">
        <f t="shared" si="95"/>
        <v>69.660903052386217</v>
      </c>
      <c r="CW105" s="20">
        <f t="shared" si="67"/>
        <v>631.25263281623893</v>
      </c>
      <c r="CX105" s="59">
        <f t="shared" si="68"/>
        <v>910.41216238997504</v>
      </c>
      <c r="CY105" s="59">
        <f ca="1">AVERAGE(OFFSET($CX$3,0,0,'Données projet'!$E$13+1,1))-AVERAGE(OFFSET($H$3,0,0,'Données projet'!$E$13+1,1))</f>
        <v>427.42918901489531</v>
      </c>
      <c r="CZ105" s="59">
        <f t="shared" si="96"/>
        <v>410.68601510655412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39.865045379816053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39.865045379816053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9.7110000000000021</v>
      </c>
      <c r="DO105" s="12">
        <f>IF('Données projet'!$A$166&gt;35,DO104+DN105-DW104,IF(A105&lt;'Données projet'!$A$166,$DL$205^A105,IF(A105='Données projet'!$A$166,'Données projet'!$B$166,DO104+DN105-DW104)))</f>
        <v>430.99300000000017</v>
      </c>
      <c r="DP105" s="17">
        <f>DO105*VLOOKUP('Données projet'!$B$14,Paramètres!$A$1:$I$89,3,0)*VLOOKUP('Données projet'!$B$14,Paramètres!$A$1:$I$89,5,0)</f>
        <v>416.85642960000024</v>
      </c>
      <c r="DQ105" s="13">
        <f t="shared" si="97"/>
        <v>95.185794710753839</v>
      </c>
      <c r="DR105" s="20">
        <f t="shared" si="70"/>
        <v>891.80687400789668</v>
      </c>
      <c r="DS105" s="59">
        <f t="shared" si="71"/>
        <v>1170.9664035816327</v>
      </c>
      <c r="DT105" s="59">
        <f ca="1">AVERAGE(OFFSET($DS$3,0,0,'Données projet'!$E$14+1,1))-AVERAGE(OFFSET($H$3,0,0,'Données projet'!$E$14+1,1))</f>
        <v>598.03945725240396</v>
      </c>
      <c r="DU105" s="59">
        <f t="shared" si="98"/>
        <v>313.9014686755695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127.57620165218215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127.57620165218215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9.7110000000000021</v>
      </c>
      <c r="EJ105" s="12">
        <f>IF('Données projet'!$A$192&gt;35,EJ104+EI105-ER104,IF(A105&lt;'Données projet'!$A$192,$EG$205^A105,IF(A105='Données projet'!$A$192,'Données projet'!$B$192,EJ104+EI105-ER104)))</f>
        <v>430.99300000000022</v>
      </c>
      <c r="EK105" s="17">
        <f>EJ105*VLOOKUP('Données projet'!$B$15,Paramètres!$A$1:$I$89,3,0)*VLOOKUP('Données projet'!$B$15,Paramètres!$A$1:$I$89,5,0)</f>
        <v>289.11010440000013</v>
      </c>
      <c r="EL105" s="13">
        <f t="shared" si="99"/>
        <v>68.888633610459792</v>
      </c>
      <c r="EM105" s="20">
        <f t="shared" si="73"/>
        <v>623.51446870155098</v>
      </c>
      <c r="EN105" s="59">
        <f t="shared" si="74"/>
        <v>902.67399827528698</v>
      </c>
      <c r="EO105" s="59">
        <f ca="1">AVERAGE(OFFSET($EN$3,0,0,'Données projet'!$E$15+1,1))-AVERAGE(OFFSET($H$3,0,0,'Données projet'!$E$15+1,1))</f>
        <v>438.27475674276604</v>
      </c>
      <c r="EP105" s="59">
        <f t="shared" si="100"/>
        <v>235.97720136798864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109.05707560589764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109.05707560589764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5.2499999999990337</v>
      </c>
      <c r="FF105" s="17">
        <f>FE105*VLOOKUP('Données projet'!$B$16,Paramètres!$A$1:$I$89,3,0)*VLOOKUP('Données projet'!$B$16,Paramètres!$A$1:$I$89,5,0)</f>
        <v>2.4569999999995478</v>
      </c>
      <c r="FG105" s="13">
        <f t="shared" si="101"/>
        <v>1.0197977774625564</v>
      </c>
      <c r="FH105" s="20">
        <f t="shared" si="76"/>
        <v>6.0554227957464972</v>
      </c>
      <c r="FI105" s="59">
        <f t="shared" si="77"/>
        <v>285.21495236948255</v>
      </c>
      <c r="FJ105" s="59">
        <f ca="1">AVERAGE(OFFSET($FI$3,0,0,'Données projet'!$E$16+1,1))-AVERAGE(OFFSET($H$3,0,0,'Données projet'!$E$16+1,1))</f>
        <v>329.49463758169588</v>
      </c>
      <c r="FK105" s="59">
        <f t="shared" si="102"/>
        <v>207.1447698203379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279.00634141170269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279.00634141170269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763.00000000000057</v>
      </c>
      <c r="GA105" s="17">
        <f>FZ105*VLOOKUP('Données projet'!$B$17,Paramètres!$A$1:$I$89,3,0)*VLOOKUP('Données projet'!$B$17,Paramètres!$A$1:$I$89,5,0)</f>
        <v>456.2740000000004</v>
      </c>
      <c r="GB105" s="13">
        <f t="shared" si="103"/>
        <v>103.09649786611838</v>
      </c>
      <c r="GC105" s="20">
        <f t="shared" si="79"/>
        <v>974.23695045015677</v>
      </c>
      <c r="GD105" s="59">
        <f t="shared" si="80"/>
        <v>1253.3964800238928</v>
      </c>
      <c r="GE105" s="59">
        <f ca="1">AVERAGE(OFFSET($GD$3,0,0,'Données projet'!$E$17+1,1))-AVERAGE(OFFSET($H$3,0,0,'Données projet'!$E$17+1,1))</f>
        <v>577.07444926285291</v>
      </c>
      <c r="GF105" s="59">
        <f t="shared" si="104"/>
        <v>501.3762209070419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68.835325660918585</v>
      </c>
      <c r="GM105" s="21">
        <f>EXP(-LN(2)/25)*GM104+(1-EXP(-LN(2)/25))/(LN(2)/25)*Calculateur!GH105*Calculateur!GJ105*VLOOKUP('Données projet'!$B$17,Paramètres!$A$1:$I$89,3,0)*0.475*44/12</f>
        <v>8.8869608877073709</v>
      </c>
      <c r="GN105" s="21">
        <f>EXP(-LN(2)/2)*GN104+(1-EXP(-LN(2)/2))/(LN(2)/2)*GH105*GK105*VLOOKUP('Données projet'!$B$17,Paramètres!$A$1:$I$89,3,0)*0.475*44/12</f>
        <v>1.143013096577649E-12</v>
      </c>
      <c r="GO105" s="21">
        <f t="shared" si="81"/>
        <v>77.722286548627096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66.134417156473461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-5.6843418860808015E-14</v>
      </c>
      <c r="GV105" s="17">
        <f>GU105*VLOOKUP('Données projet'!$B$18,Paramètres!$A$1:$I$89,3,0)*VLOOKUP('Données projet'!$B$18,Paramètres!$A$1:$I$89,5,0)</f>
        <v>-3.0061073630349716E-14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212.75657290802619</v>
      </c>
      <c r="HA105" s="59">
        <f t="shared" si="106"/>
        <v>411.47446316045978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18.471065186489</v>
      </c>
      <c r="HH105" s="21">
        <f>EXP(-LN(2)/25)*HH104+(1-EXP(-LN(2)/25))/(LN(2)/25)*Calculateur!HC105*Calculateur!HE105*VLOOKUP('Données projet'!$B$18,Paramètres!$A$1:$I$89,3,0)*0.475*44/12</f>
        <v>2.7049572976117537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21.176022484100752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4.60745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16.893983333333335</v>
      </c>
      <c r="H106" s="66">
        <f t="shared" si="56"/>
        <v>189.09073333333333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440.70400000000024</v>
      </c>
      <c r="O106" s="13">
        <f>N106*VLOOKUP('Données projet'!$B$9,Paramètres!$A$1:$I$89,3,0)*VLOOKUP('Données projet'!$B$9,Paramètres!$A$1:$I$89,5,0)</f>
        <v>398.74897920000018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1133.2957662398896</v>
      </c>
      <c r="S106" s="59">
        <f ca="1">AVERAGE(OFFSET($R$3,0,0,'Données projet'!$E$9+1,1))-AVERAGE(OFFSET($H$3,0,0,'Données projet'!$E$9+1,1))</f>
        <v>564.49981446852132</v>
      </c>
      <c r="T106" s="59">
        <f t="shared" si="88"/>
        <v>297.54722913785406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9.7110000000000021</v>
      </c>
      <c r="AI106" s="13">
        <f>IF('Données projet'!$A$62&gt;35,AI105+AH106-AQ105,IF(A106&lt;'Données projet'!$A$62,$AF$205^A106,IF(A106='Données projet'!$A$62,'Données projet'!$B$62,AI105+AH106-AQ105)))</f>
        <v>440.70400000000018</v>
      </c>
      <c r="AJ106" s="13">
        <f>AI106*VLOOKUP('Données projet'!$B$10,Paramètres!$A$1:$I$89,3,0)*VLOOKUP('Données projet'!$B$10,Paramètres!$A$1:$I$89,5,0)</f>
        <v>446.87385600000022</v>
      </c>
      <c r="AK106" s="13">
        <f t="shared" si="89"/>
        <v>101.21747156793077</v>
      </c>
      <c r="AL106" s="20">
        <f t="shared" si="58"/>
        <v>954.59239551414646</v>
      </c>
      <c r="AM106" s="59">
        <f t="shared" si="59"/>
        <v>1233.9978088952334</v>
      </c>
      <c r="AN106" s="59">
        <f ca="1">AVERAGE(OFFSET($AM$3,0,0,'Données projet'!$E$10+1,1))-AVERAGE(OFFSET($H$3,0,0,'Données projet'!$E$10+1,1))</f>
        <v>623.16549611107564</v>
      </c>
      <c r="AO106" s="59">
        <f t="shared" si="90"/>
        <v>326.15178903425885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131.12650257827187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131.12650257827187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266.99999999999983</v>
      </c>
      <c r="BE106" s="13">
        <f>BD106*VLOOKUP('Données projet'!$B$11,Paramètres!$A$1:$I$89,3,0)*VLOOKUP('Données projet'!$B$11,Paramètres!$A$1:$I$89,5,0)</f>
        <v>216.59039999999987</v>
      </c>
      <c r="BF106" s="13">
        <f t="shared" si="91"/>
        <v>53.373153688190904</v>
      </c>
      <c r="BG106" s="20">
        <f t="shared" si="61"/>
        <v>470.18652267359886</v>
      </c>
      <c r="BH106" s="59">
        <f t="shared" si="62"/>
        <v>749.5919360546859</v>
      </c>
      <c r="BI106" s="59">
        <f ca="1">AVERAGE(OFFSET($BH$3,0,0,'Données projet'!$E$11+1,1))-AVERAGE(OFFSET($H$3,0,0,'Données projet'!$E$11+1,1))</f>
        <v>326.2912419133811</v>
      </c>
      <c r="BJ106" s="59">
        <f t="shared" si="92"/>
        <v>315.07976787459938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28.05245308640237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28.05245308640237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243</v>
      </c>
      <c r="BZ106" s="13">
        <f>BY106*VLOOKUP('Données projet'!$B$12,Paramètres!$A$1:$I$89,3,0)*VLOOKUP('Données projet'!$B$12,Paramètres!$A$1:$I$89,5,0)</f>
        <v>155.4228</v>
      </c>
      <c r="CA106" s="13">
        <f t="shared" si="93"/>
        <v>39.808377687614154</v>
      </c>
      <c r="CB106" s="20">
        <f t="shared" si="64"/>
        <v>340.02763447259463</v>
      </c>
      <c r="CC106" s="59">
        <f t="shared" si="65"/>
        <v>619.43304785368173</v>
      </c>
      <c r="CD106" s="59">
        <f ca="1">AVERAGE(OFFSET($CC$3,0,0,'Données projet'!$E$12+1,1))-AVERAGE(OFFSET($H$3,0,0,'Données projet'!$E$12+1,1))</f>
        <v>297.03992602744393</v>
      </c>
      <c r="CE106" s="59">
        <f t="shared" si="94"/>
        <v>265.2588848922893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38.730807418657911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38.730807418657911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367.99999999999972</v>
      </c>
      <c r="CU106" s="17">
        <f>CT106*VLOOKUP('Données projet'!$B$13,Paramètres!$A$1:$I$89,3,0)*VLOOKUP('Données projet'!$B$13,Paramètres!$A$1:$I$89,5,0)</f>
        <v>292.78079999999977</v>
      </c>
      <c r="CV106" s="13">
        <f t="shared" si="95"/>
        <v>69.660903052386217</v>
      </c>
      <c r="CW106" s="20">
        <f t="shared" si="67"/>
        <v>631.25263281623893</v>
      </c>
      <c r="CX106" s="59">
        <f t="shared" si="68"/>
        <v>910.65804619732603</v>
      </c>
      <c r="CY106" s="59">
        <f ca="1">AVERAGE(OFFSET($CX$3,0,0,'Données projet'!$E$13+1,1))-AVERAGE(OFFSET($H$3,0,0,'Données projet'!$E$13+1,1))</f>
        <v>427.42918901489531</v>
      </c>
      <c r="CZ106" s="59">
        <f t="shared" si="96"/>
        <v>410.68601510655412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39.083316155194609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39.083316155194609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9.7110000000000021</v>
      </c>
      <c r="DO106" s="12">
        <f>IF('Données projet'!$A$166&gt;35,DO105+DN106-DW105,IF(A106&lt;'Données projet'!$A$166,$DL$205^A106,IF(A106='Données projet'!$A$166,'Données projet'!$B$166,DO105+DN106-DW105)))</f>
        <v>440.70400000000018</v>
      </c>
      <c r="DP106" s="17">
        <f>DO106*VLOOKUP('Données projet'!$B$14,Paramètres!$A$1:$I$89,3,0)*VLOOKUP('Données projet'!$B$14,Paramètres!$A$1:$I$89,5,0)</f>
        <v>426.24890880000015</v>
      </c>
      <c r="DQ106" s="13">
        <f t="shared" si="97"/>
        <v>97.07838421311655</v>
      </c>
      <c r="DR106" s="20">
        <f t="shared" si="70"/>
        <v>911.4617019978449</v>
      </c>
      <c r="DS106" s="59">
        <f t="shared" si="71"/>
        <v>1190.8671153789319</v>
      </c>
      <c r="DT106" s="59">
        <f ca="1">AVERAGE(OFFSET($DS$3,0,0,'Données projet'!$E$14+1,1))-AVERAGE(OFFSET($H$3,0,0,'Données projet'!$E$14+1,1))</f>
        <v>598.03945725240396</v>
      </c>
      <c r="DU106" s="59">
        <f t="shared" si="98"/>
        <v>313.9014686755695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125.07451015158239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125.07451015158239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9.7110000000000021</v>
      </c>
      <c r="EJ106" s="12">
        <f>IF('Données projet'!$A$192&gt;35,EJ105+EI106-ER105,IF(A106&lt;'Données projet'!$A$192,$EG$205^A106,IF(A106='Données projet'!$A$192,'Données projet'!$B$192,EJ105+EI106-ER105)))</f>
        <v>440.70400000000024</v>
      </c>
      <c r="EK106" s="17">
        <f>EJ106*VLOOKUP('Données projet'!$B$15,Paramètres!$A$1:$I$89,3,0)*VLOOKUP('Données projet'!$B$15,Paramètres!$A$1:$I$89,5,0)</f>
        <v>295.62424320000014</v>
      </c>
      <c r="EL106" s="13">
        <f t="shared" si="99"/>
        <v>70.258353800320606</v>
      </c>
      <c r="EM106" s="20">
        <f t="shared" si="73"/>
        <v>637.24552310889192</v>
      </c>
      <c r="EN106" s="59">
        <f t="shared" si="74"/>
        <v>916.6509364899789</v>
      </c>
      <c r="EO106" s="59">
        <f ca="1">AVERAGE(OFFSET($EN$3,0,0,'Données projet'!$E$15+1,1))-AVERAGE(OFFSET($H$3,0,0,'Données projet'!$E$15+1,1))</f>
        <v>438.27475674276604</v>
      </c>
      <c r="EP106" s="59">
        <f t="shared" si="100"/>
        <v>235.97720136798864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106.91853287151397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106.91853287151397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5.2499999999990337</v>
      </c>
      <c r="FF106" s="17">
        <f>FE106*VLOOKUP('Données projet'!$B$16,Paramètres!$A$1:$I$89,3,0)*VLOOKUP('Données projet'!$B$16,Paramètres!$A$1:$I$89,5,0)</f>
        <v>2.4569999999995478</v>
      </c>
      <c r="FG106" s="13">
        <f t="shared" si="101"/>
        <v>1.0197977774625564</v>
      </c>
      <c r="FH106" s="20">
        <f t="shared" si="76"/>
        <v>6.0554227957464972</v>
      </c>
      <c r="FI106" s="59">
        <f t="shared" si="77"/>
        <v>285.46083617683354</v>
      </c>
      <c r="FJ106" s="59">
        <f ca="1">AVERAGE(OFFSET($FI$3,0,0,'Données projet'!$E$16+1,1))-AVERAGE(OFFSET($H$3,0,0,'Données projet'!$E$16+1,1))</f>
        <v>329.49463758169588</v>
      </c>
      <c r="FK106" s="59">
        <f t="shared" si="102"/>
        <v>207.1447698203379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273.5351972336839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273.5351972336839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763.00000000000057</v>
      </c>
      <c r="GA106" s="17">
        <f>FZ106*VLOOKUP('Données projet'!$B$17,Paramètres!$A$1:$I$89,3,0)*VLOOKUP('Données projet'!$B$17,Paramètres!$A$1:$I$89,5,0)</f>
        <v>456.2740000000004</v>
      </c>
      <c r="GB106" s="13">
        <f t="shared" si="103"/>
        <v>103.09649786611838</v>
      </c>
      <c r="GC106" s="20">
        <f t="shared" si="79"/>
        <v>974.23695045015677</v>
      </c>
      <c r="GD106" s="59">
        <f t="shared" si="80"/>
        <v>1253.6423638312438</v>
      </c>
      <c r="GE106" s="59">
        <f ca="1">AVERAGE(OFFSET($GD$3,0,0,'Données projet'!$E$17+1,1))-AVERAGE(OFFSET($H$3,0,0,'Données projet'!$E$17+1,1))</f>
        <v>577.07444926285291</v>
      </c>
      <c r="GF106" s="59">
        <f t="shared" si="104"/>
        <v>501.3762209070419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67.485506910110914</v>
      </c>
      <c r="GM106" s="21">
        <f>EXP(-LN(2)/25)*GM105+(1-EXP(-LN(2)/25))/(LN(2)/25)*Calculateur!GH106*Calculateur!GJ106*VLOOKUP('Données projet'!$B$17,Paramètres!$A$1:$I$89,3,0)*0.475*44/12</f>
        <v>8.6439464748880503</v>
      </c>
      <c r="GN106" s="21">
        <f>EXP(-LN(2)/2)*GN105+(1-EXP(-LN(2)/2))/(LN(2)/2)*GH106*GK106*VLOOKUP('Données projet'!$B$17,Paramètres!$A$1:$I$89,3,0)*0.475*44/12</f>
        <v>8.082323115750898E-13</v>
      </c>
      <c r="GO106" s="21">
        <f t="shared" si="81"/>
        <v>76.129453384999778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66.201476376660111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-5.6843418860808015E-14</v>
      </c>
      <c r="GV106" s="17">
        <f>GU106*VLOOKUP('Données projet'!$B$18,Paramètres!$A$1:$I$89,3,0)*VLOOKUP('Données projet'!$B$18,Paramètres!$A$1:$I$89,5,0)</f>
        <v>-3.0061073630349716E-14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212.75657290802619</v>
      </c>
      <c r="HA106" s="59">
        <f t="shared" si="106"/>
        <v>411.47446316045978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18.108858864419265</v>
      </c>
      <c r="HH106" s="21">
        <f>EXP(-LN(2)/25)*HH105+(1-EXP(-LN(2)/25))/(LN(2)/25)*Calculateur!HC106*Calculateur!HE106*VLOOKUP('Données projet'!$B$18,Paramètres!$A$1:$I$89,3,0)*0.475*44/12</f>
        <v>2.6309900980610381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20.739848962480302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4.60745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16.893983333333335</v>
      </c>
      <c r="H107" s="66">
        <f t="shared" si="56"/>
        <v>189.09073333333333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450.41500000000025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1151.940228611267</v>
      </c>
      <c r="S107" s="59">
        <f ca="1">AVERAGE(OFFSET($R$3,0,0,'Données projet'!$E$9+1,1))-AVERAGE(OFFSET($H$3,0,0,'Données projet'!$E$9+1,1))</f>
        <v>564.49981446852132</v>
      </c>
      <c r="T107" s="59">
        <f t="shared" si="88"/>
        <v>297.54722913785406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9.7110000000000021</v>
      </c>
      <c r="AI107" s="13">
        <f>IF('Données projet'!$A$62&gt;35,AI106+AH107-AQ106,IF(A107&lt;'Données projet'!$A$62,$AF$205^A107,IF(A107='Données projet'!$A$62,'Données projet'!$B$62,AI106+AH107-AQ106)))</f>
        <v>450.41500000000019</v>
      </c>
      <c r="AJ107" s="13">
        <f>AI107*VLOOKUP('Données projet'!$B$10,Paramètres!$A$1:$I$89,3,0)*VLOOKUP('Données projet'!$B$10,Paramètres!$A$1:$I$89,5,0)</f>
        <v>456.72081000000026</v>
      </c>
      <c r="AK107" s="13">
        <f t="shared" si="89"/>
        <v>103.18569934180985</v>
      </c>
      <c r="AL107" s="20">
        <f t="shared" si="58"/>
        <v>975.1705037703191</v>
      </c>
      <c r="AM107" s="59">
        <f t="shared" si="59"/>
        <v>1254.8175354244133</v>
      </c>
      <c r="AN107" s="59">
        <f ca="1">AVERAGE(OFFSET($AM$3,0,0,'Données projet'!$E$10+1,1))-AVERAGE(OFFSET($H$3,0,0,'Données projet'!$E$10+1,1))</f>
        <v>623.16549611107564</v>
      </c>
      <c r="AO107" s="59">
        <f t="shared" si="90"/>
        <v>326.15178903425885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128.55519184198124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128.55519184198124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266.99999999999983</v>
      </c>
      <c r="BE107" s="13">
        <f>BD107*VLOOKUP('Données projet'!$B$11,Paramètres!$A$1:$I$89,3,0)*VLOOKUP('Données projet'!$B$11,Paramètres!$A$1:$I$89,5,0)</f>
        <v>216.59039999999987</v>
      </c>
      <c r="BF107" s="13">
        <f t="shared" si="91"/>
        <v>53.373153688190904</v>
      </c>
      <c r="BG107" s="20">
        <f t="shared" si="61"/>
        <v>470.18652267359886</v>
      </c>
      <c r="BH107" s="59">
        <f t="shared" si="62"/>
        <v>749.83355432769315</v>
      </c>
      <c r="BI107" s="59">
        <f ca="1">AVERAGE(OFFSET($BH$3,0,0,'Données projet'!$E$11+1,1))-AVERAGE(OFFSET($H$3,0,0,'Données projet'!$E$11+1,1))</f>
        <v>326.2912419133811</v>
      </c>
      <c r="BJ107" s="59">
        <f t="shared" si="92"/>
        <v>315.07976787459938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27.502361591684899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27.502361591684899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243</v>
      </c>
      <c r="BZ107" s="13">
        <f>BY107*VLOOKUP('Données projet'!$B$12,Paramètres!$A$1:$I$89,3,0)*VLOOKUP('Données projet'!$B$12,Paramètres!$A$1:$I$89,5,0)</f>
        <v>155.4228</v>
      </c>
      <c r="CA107" s="13">
        <f t="shared" si="93"/>
        <v>39.808377687614154</v>
      </c>
      <c r="CB107" s="20">
        <f t="shared" si="64"/>
        <v>340.02763447259463</v>
      </c>
      <c r="CC107" s="59">
        <f t="shared" si="65"/>
        <v>619.67466612668886</v>
      </c>
      <c r="CD107" s="59">
        <f ca="1">AVERAGE(OFFSET($CC$3,0,0,'Données projet'!$E$12+1,1))-AVERAGE(OFFSET($H$3,0,0,'Données projet'!$E$12+1,1))</f>
        <v>297.03992602744393</v>
      </c>
      <c r="CE107" s="59">
        <f t="shared" si="94"/>
        <v>265.2588848922893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37.97131990863793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37.97131990863793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367.99999999999972</v>
      </c>
      <c r="CU107" s="17">
        <f>CT107*VLOOKUP('Données projet'!$B$13,Paramètres!$A$1:$I$89,3,0)*VLOOKUP('Données projet'!$B$13,Paramètres!$A$1:$I$89,5,0)</f>
        <v>292.78079999999977</v>
      </c>
      <c r="CV107" s="13">
        <f t="shared" si="95"/>
        <v>69.660903052386217</v>
      </c>
      <c r="CW107" s="20">
        <f t="shared" si="67"/>
        <v>631.25263281623893</v>
      </c>
      <c r="CX107" s="59">
        <f t="shared" si="68"/>
        <v>910.89966447033316</v>
      </c>
      <c r="CY107" s="59">
        <f ca="1">AVERAGE(OFFSET($CX$3,0,0,'Données projet'!$E$13+1,1))-AVERAGE(OFFSET($H$3,0,0,'Données projet'!$E$13+1,1))</f>
        <v>427.42918901489531</v>
      </c>
      <c r="CZ107" s="59">
        <f t="shared" si="96"/>
        <v>410.68601510655412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38.316916163860242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38.316916163860242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9.7110000000000021</v>
      </c>
      <c r="DO107" s="12">
        <f>IF('Données projet'!$A$166&gt;35,DO106+DN107-DW106,IF(A107&lt;'Données projet'!$A$166,$DL$205^A107,IF(A107='Données projet'!$A$166,'Données projet'!$B$166,DO106+DN107-DW106)))</f>
        <v>450.41500000000019</v>
      </c>
      <c r="DP107" s="17">
        <f>DO107*VLOOKUP('Données projet'!$B$14,Paramètres!$A$1:$I$89,3,0)*VLOOKUP('Données projet'!$B$14,Paramètres!$A$1:$I$89,5,0)</f>
        <v>435.64138800000018</v>
      </c>
      <c r="DQ107" s="13">
        <f t="shared" si="97"/>
        <v>98.966125223553831</v>
      </c>
      <c r="DR107" s="20">
        <f t="shared" si="70"/>
        <v>931.10808553102299</v>
      </c>
      <c r="DS107" s="59">
        <f t="shared" si="71"/>
        <v>1210.7551171851173</v>
      </c>
      <c r="DT107" s="59">
        <f ca="1">AVERAGE(OFFSET($DS$3,0,0,'Données projet'!$E$14+1,1))-AVERAGE(OFFSET($H$3,0,0,'Données projet'!$E$14+1,1))</f>
        <v>598.03945725240396</v>
      </c>
      <c r="DU107" s="59">
        <f t="shared" si="98"/>
        <v>313.9014686755695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122.62187529542824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122.62187529542824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9.7110000000000021</v>
      </c>
      <c r="EJ107" s="12">
        <f>IF('Données projet'!$A$192&gt;35,EJ106+EI107-ER106,IF(A107&lt;'Données projet'!$A$192,$EG$205^A107,IF(A107='Données projet'!$A$192,'Données projet'!$B$192,EJ106+EI107-ER106)))</f>
        <v>450.41500000000025</v>
      </c>
      <c r="EK107" s="17">
        <f>EJ107*VLOOKUP('Données projet'!$B$15,Paramètres!$A$1:$I$89,3,0)*VLOOKUP('Données projet'!$B$15,Paramètres!$A$1:$I$89,5,0)</f>
        <v>302.13838200000021</v>
      </c>
      <c r="EL107" s="13">
        <f t="shared" si="99"/>
        <v>71.624565000370197</v>
      </c>
      <c r="EM107" s="20">
        <f t="shared" si="73"/>
        <v>650.97046602564512</v>
      </c>
      <c r="EN107" s="59">
        <f t="shared" si="74"/>
        <v>930.61749767973947</v>
      </c>
      <c r="EO107" s="59">
        <f ca="1">AVERAGE(OFFSET($EN$3,0,0,'Données projet'!$E$15+1,1))-AVERAGE(OFFSET($H$3,0,0,'Données projet'!$E$15+1,1))</f>
        <v>438.27475674276604</v>
      </c>
      <c r="EP107" s="59">
        <f t="shared" si="100"/>
        <v>235.97720136798864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104.82192565576931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104.82192565576931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5.2499999999990337</v>
      </c>
      <c r="FF107" s="17">
        <f>FE107*VLOOKUP('Données projet'!$B$16,Paramètres!$A$1:$I$89,3,0)*VLOOKUP('Données projet'!$B$16,Paramètres!$A$1:$I$89,5,0)</f>
        <v>2.4569999999995478</v>
      </c>
      <c r="FG107" s="13">
        <f t="shared" si="101"/>
        <v>1.0197977774625564</v>
      </c>
      <c r="FH107" s="20">
        <f t="shared" si="76"/>
        <v>6.0554227957464972</v>
      </c>
      <c r="FI107" s="59">
        <f t="shared" si="77"/>
        <v>285.70245444984079</v>
      </c>
      <c r="FJ107" s="59">
        <f ca="1">AVERAGE(OFFSET($FI$3,0,0,'Données projet'!$E$16+1,1))-AVERAGE(OFFSET($H$3,0,0,'Données projet'!$E$16+1,1))</f>
        <v>329.49463758169588</v>
      </c>
      <c r="FK107" s="59">
        <f t="shared" si="102"/>
        <v>207.1447698203379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268.17133885592762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268.17133885592762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763.00000000000057</v>
      </c>
      <c r="GA107" s="17">
        <f>FZ107*VLOOKUP('Données projet'!$B$17,Paramètres!$A$1:$I$89,3,0)*VLOOKUP('Données projet'!$B$17,Paramètres!$A$1:$I$89,5,0)</f>
        <v>456.2740000000004</v>
      </c>
      <c r="GB107" s="13">
        <f t="shared" si="103"/>
        <v>103.09649786611838</v>
      </c>
      <c r="GC107" s="20">
        <f t="shared" si="79"/>
        <v>974.23695045015677</v>
      </c>
      <c r="GD107" s="59">
        <f t="shared" si="80"/>
        <v>1253.8839821042511</v>
      </c>
      <c r="GE107" s="59">
        <f ca="1">AVERAGE(OFFSET($GD$3,0,0,'Données projet'!$E$17+1,1))-AVERAGE(OFFSET($H$3,0,0,'Données projet'!$E$17+1,1))</f>
        <v>577.07444926285291</v>
      </c>
      <c r="GF107" s="59">
        <f t="shared" si="104"/>
        <v>501.3762209070419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66.162157281698441</v>
      </c>
      <c r="GM107" s="21">
        <f>EXP(-LN(2)/25)*GM106+(1-EXP(-LN(2)/25))/(LN(2)/25)*Calculateur!GH107*Calculateur!GJ107*VLOOKUP('Données projet'!$B$17,Paramètres!$A$1:$I$89,3,0)*0.475*44/12</f>
        <v>8.407577303966848</v>
      </c>
      <c r="GN107" s="21">
        <f>EXP(-LN(2)/2)*GN106+(1-EXP(-LN(2)/2))/(LN(2)/2)*GH107*GK107*VLOOKUP('Données projet'!$B$17,Paramètres!$A$1:$I$89,3,0)*0.475*44/12</f>
        <v>5.7150654828882452E-13</v>
      </c>
      <c r="GO107" s="21">
        <f t="shared" si="81"/>
        <v>74.569734585665856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66.267372269298448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-5.6843418860808015E-14</v>
      </c>
      <c r="GV107" s="17">
        <f>GU107*VLOOKUP('Données projet'!$B$18,Paramètres!$A$1:$I$89,3,0)*VLOOKUP('Données projet'!$B$18,Paramètres!$A$1:$I$89,5,0)</f>
        <v>-3.0061073630349716E-14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212.75657290802619</v>
      </c>
      <c r="HA107" s="59">
        <f t="shared" si="106"/>
        <v>411.47446316045978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17.753755187401275</v>
      </c>
      <c r="HH107" s="21">
        <f>EXP(-LN(2)/25)*HH106+(1-EXP(-LN(2)/25))/(LN(2)/25)*Calculateur!HC107*Calculateur!HE107*VLOOKUP('Données projet'!$B$18,Paramètres!$A$1:$I$89,3,0)*0.475*44/12</f>
        <v>2.5590455354718031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20.312800722873078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4.60745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16.893983333333335</v>
      </c>
      <c r="H108" s="66">
        <f t="shared" si="56"/>
        <v>189.09073333333333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460.12600000000026</v>
      </c>
      <c r="O108" s="13">
        <f>N108*VLOOKUP('Données projet'!$B$9,Paramètres!$A$1:$I$89,3,0)*VLOOKUP('Données projet'!$B$9,Paramètres!$A$1:$I$89,5,0)</f>
        <v>416.32200480000023</v>
      </c>
      <c r="P108" s="13">
        <f t="shared" si="87"/>
        <v>95.077959556166817</v>
      </c>
      <c r="Q108" s="20">
        <f t="shared" si="107"/>
        <v>890.6882712536576</v>
      </c>
      <c r="R108" s="59">
        <f t="shared" si="55"/>
        <v>1170.5727296439002</v>
      </c>
      <c r="S108" s="59">
        <f ca="1">AVERAGE(OFFSET($R$3,0,0,'Données projet'!$E$9+1,1))-AVERAGE(OFFSET($H$3,0,0,'Données projet'!$E$9+1,1))</f>
        <v>564.49981446852132</v>
      </c>
      <c r="T108" s="59">
        <f t="shared" si="88"/>
        <v>297.54722913785406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9.7110000000000021</v>
      </c>
      <c r="AI108" s="13">
        <f>IF('Données projet'!$A$62&gt;35,AI107+AH108-AQ107,IF(A108&lt;'Données projet'!$A$62,$AF$205^A108,IF(A108='Données projet'!$A$62,'Données projet'!$B$62,AI107+AH108-AQ107)))</f>
        <v>460.1260000000002</v>
      </c>
      <c r="AJ108" s="13">
        <f>AI108*VLOOKUP('Données projet'!$B$10,Paramètres!$A$1:$I$89,3,0)*VLOOKUP('Données projet'!$B$10,Paramètres!$A$1:$I$89,5,0)</f>
        <v>466.56776400000024</v>
      </c>
      <c r="AK108" s="13">
        <f t="shared" si="89"/>
        <v>105.14899344484016</v>
      </c>
      <c r="AL108" s="20">
        <f t="shared" si="58"/>
        <v>995.74001921643037</v>
      </c>
      <c r="AM108" s="59">
        <f t="shared" si="59"/>
        <v>1275.6244776066728</v>
      </c>
      <c r="AN108" s="59">
        <f ca="1">AVERAGE(OFFSET($AM$3,0,0,'Données projet'!$E$10+1,1))-AVERAGE(OFFSET($H$3,0,0,'Données projet'!$E$10+1,1))</f>
        <v>623.16549611107564</v>
      </c>
      <c r="AO108" s="59">
        <f t="shared" si="90"/>
        <v>326.15178903425885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126.03430294088457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126.03430294088457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266.99999999999983</v>
      </c>
      <c r="BE108" s="13">
        <f>BD108*VLOOKUP('Données projet'!$B$11,Paramètres!$A$1:$I$89,3,0)*VLOOKUP('Données projet'!$B$11,Paramètres!$A$1:$I$89,5,0)</f>
        <v>216.59039999999987</v>
      </c>
      <c r="BF108" s="13">
        <f t="shared" si="91"/>
        <v>53.373153688190904</v>
      </c>
      <c r="BG108" s="20">
        <f t="shared" si="61"/>
        <v>470.18652267359886</v>
      </c>
      <c r="BH108" s="59">
        <f t="shared" si="62"/>
        <v>750.07098106384137</v>
      </c>
      <c r="BI108" s="59">
        <f ca="1">AVERAGE(OFFSET($BH$3,0,0,'Données projet'!$E$11+1,1))-AVERAGE(OFFSET($H$3,0,0,'Données projet'!$E$11+1,1))</f>
        <v>326.2912419133811</v>
      </c>
      <c r="BJ108" s="59">
        <f t="shared" si="92"/>
        <v>315.07976787459938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26.963057055656158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26.963057055656158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243</v>
      </c>
      <c r="BZ108" s="13">
        <f>BY108*VLOOKUP('Données projet'!$B$12,Paramètres!$A$1:$I$89,3,0)*VLOOKUP('Données projet'!$B$12,Paramètres!$A$1:$I$89,5,0)</f>
        <v>155.4228</v>
      </c>
      <c r="CA108" s="13">
        <f t="shared" si="93"/>
        <v>39.808377687614154</v>
      </c>
      <c r="CB108" s="20">
        <f t="shared" si="64"/>
        <v>340.02763447259463</v>
      </c>
      <c r="CC108" s="59">
        <f t="shared" si="65"/>
        <v>619.9120928628372</v>
      </c>
      <c r="CD108" s="59">
        <f ca="1">AVERAGE(OFFSET($CC$3,0,0,'Données projet'!$E$12+1,1))-AVERAGE(OFFSET($H$3,0,0,'Données projet'!$E$12+1,1))</f>
        <v>297.03992602744393</v>
      </c>
      <c r="CE108" s="59">
        <f t="shared" si="94"/>
        <v>265.2588848922893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37.226725485447801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37.226725485447801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367.99999999999972</v>
      </c>
      <c r="CU108" s="17">
        <f>CT108*VLOOKUP('Données projet'!$B$13,Paramètres!$A$1:$I$89,3,0)*VLOOKUP('Données projet'!$B$13,Paramètres!$A$1:$I$89,5,0)</f>
        <v>292.78079999999977</v>
      </c>
      <c r="CV108" s="13">
        <f t="shared" si="95"/>
        <v>69.660903052386217</v>
      </c>
      <c r="CW108" s="20">
        <f t="shared" si="67"/>
        <v>631.25263281623893</v>
      </c>
      <c r="CX108" s="59">
        <f t="shared" si="68"/>
        <v>911.1370912064815</v>
      </c>
      <c r="CY108" s="59">
        <f ca="1">AVERAGE(OFFSET($CX$3,0,0,'Données projet'!$E$13+1,1))-AVERAGE(OFFSET($H$3,0,0,'Données projet'!$E$13+1,1))</f>
        <v>427.42918901489531</v>
      </c>
      <c r="CZ108" s="59">
        <f t="shared" si="96"/>
        <v>410.68601510655412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37.565544808898103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37.565544808898103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9.7110000000000021</v>
      </c>
      <c r="DO108" s="12">
        <f>IF('Données projet'!$A$166&gt;35,DO107+DN108-DW107,IF(A108&lt;'Données projet'!$A$166,$DL$205^A108,IF(A108='Données projet'!$A$166,'Données projet'!$B$166,DO107+DN108-DW107)))</f>
        <v>460.1260000000002</v>
      </c>
      <c r="DP108" s="17">
        <f>DO108*VLOOKUP('Données projet'!$B$14,Paramètres!$A$1:$I$89,3,0)*VLOOKUP('Données projet'!$B$14,Paramètres!$A$1:$I$89,5,0)</f>
        <v>445.0338672000002</v>
      </c>
      <c r="DQ108" s="13">
        <f t="shared" si="97"/>
        <v>100.8491343158074</v>
      </c>
      <c r="DR108" s="20">
        <f t="shared" si="70"/>
        <v>950.74622764003141</v>
      </c>
      <c r="DS108" s="59">
        <f t="shared" si="71"/>
        <v>1230.6306860302739</v>
      </c>
      <c r="DT108" s="59">
        <f ca="1">AVERAGE(OFFSET($DS$3,0,0,'Données projet'!$E$14+1,1))-AVERAGE(OFFSET($H$3,0,0,'Données projet'!$E$14+1,1))</f>
        <v>598.03945725240396</v>
      </c>
      <c r="DU108" s="59">
        <f t="shared" si="98"/>
        <v>313.9014686755695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120.21733511284373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120.21733511284373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9.7110000000000021</v>
      </c>
      <c r="EJ108" s="12">
        <f>IF('Données projet'!$A$192&gt;35,EJ107+EI108-ER107,IF(A108&lt;'Données projet'!$A$192,$EG$205^A108,IF(A108='Données projet'!$A$192,'Données projet'!$B$192,EJ107+EI108-ER107)))</f>
        <v>460.12600000000026</v>
      </c>
      <c r="EK108" s="17">
        <f>EJ108*VLOOKUP('Données projet'!$B$15,Paramètres!$A$1:$I$89,3,0)*VLOOKUP('Données projet'!$B$15,Paramètres!$A$1:$I$89,5,0)</f>
        <v>308.65252080000016</v>
      </c>
      <c r="EL108" s="13">
        <f t="shared" si="99"/>
        <v>72.987351578300249</v>
      </c>
      <c r="EM108" s="20">
        <f t="shared" si="73"/>
        <v>664.68944439220661</v>
      </c>
      <c r="EN108" s="59">
        <f t="shared" si="74"/>
        <v>944.57390278244907</v>
      </c>
      <c r="EO108" s="59">
        <f ca="1">AVERAGE(OFFSET($EN$3,0,0,'Données projet'!$E$15+1,1))-AVERAGE(OFFSET($H$3,0,0,'Données projet'!$E$15+1,1))</f>
        <v>438.27475674276604</v>
      </c>
      <c r="EP108" s="59">
        <f t="shared" si="100"/>
        <v>235.97720136798864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102.76643162872125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102.76643162872125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5.2499999999990337</v>
      </c>
      <c r="FF108" s="17">
        <f>FE108*VLOOKUP('Données projet'!$B$16,Paramètres!$A$1:$I$89,3,0)*VLOOKUP('Données projet'!$B$16,Paramètres!$A$1:$I$89,5,0)</f>
        <v>2.4569999999995478</v>
      </c>
      <c r="FG108" s="13">
        <f t="shared" si="101"/>
        <v>1.0197977774625564</v>
      </c>
      <c r="FH108" s="20">
        <f t="shared" si="76"/>
        <v>6.0554227957464972</v>
      </c>
      <c r="FI108" s="59">
        <f t="shared" si="77"/>
        <v>285.93988118598901</v>
      </c>
      <c r="FJ108" s="59">
        <f ca="1">AVERAGE(OFFSET($FI$3,0,0,'Données projet'!$E$16+1,1))-AVERAGE(OFFSET($H$3,0,0,'Données projet'!$E$16+1,1))</f>
        <v>329.49463758169588</v>
      </c>
      <c r="FK108" s="59">
        <f t="shared" si="102"/>
        <v>207.1447698203379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262.91266246932855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262.91266246932855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763.00000000000057</v>
      </c>
      <c r="GA108" s="17">
        <f>FZ108*VLOOKUP('Données projet'!$B$17,Paramètres!$A$1:$I$89,3,0)*VLOOKUP('Données projet'!$B$17,Paramètres!$A$1:$I$89,5,0)</f>
        <v>456.2740000000004</v>
      </c>
      <c r="GB108" s="13">
        <f t="shared" si="103"/>
        <v>103.09649786611838</v>
      </c>
      <c r="GC108" s="20">
        <f t="shared" si="79"/>
        <v>974.23695045015677</v>
      </c>
      <c r="GD108" s="59">
        <f t="shared" si="80"/>
        <v>1254.1214088403992</v>
      </c>
      <c r="GE108" s="59">
        <f ca="1">AVERAGE(OFFSET($GD$3,0,0,'Données projet'!$E$17+1,1))-AVERAGE(OFFSET($H$3,0,0,'Données projet'!$E$17+1,1))</f>
        <v>577.07444926285291</v>
      </c>
      <c r="GF108" s="59">
        <f t="shared" si="104"/>
        <v>501.3762209070419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64.864757732335562</v>
      </c>
      <c r="GM108" s="21">
        <f>EXP(-LN(2)/25)*GM107+(1-EXP(-LN(2)/25))/(LN(2)/25)*Calculateur!GH108*Calculateur!GJ108*VLOOKUP('Données projet'!$B$17,Paramètres!$A$1:$I$89,3,0)*0.475*44/12</f>
        <v>8.1776716604545996</v>
      </c>
      <c r="GN108" s="21">
        <f>EXP(-LN(2)/2)*GN107+(1-EXP(-LN(2)/2))/(LN(2)/2)*GH108*GK108*VLOOKUP('Données projet'!$B$17,Paramètres!$A$1:$I$89,3,0)*0.475*44/12</f>
        <v>4.041161557875449E-13</v>
      </c>
      <c r="GO108" s="21">
        <f t="shared" si="81"/>
        <v>73.042429392790552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66.332125015520688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-5.6843418860808015E-14</v>
      </c>
      <c r="GV108" s="17">
        <f>GU108*VLOOKUP('Données projet'!$B$18,Paramètres!$A$1:$I$89,3,0)*VLOOKUP('Données projet'!$B$18,Paramètres!$A$1:$I$89,5,0)</f>
        <v>-3.0061073630349716E-14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212.75657290802619</v>
      </c>
      <c r="HA108" s="59">
        <f t="shared" si="106"/>
        <v>411.47446316045978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17.405614876897754</v>
      </c>
      <c r="HH108" s="21">
        <f>EXP(-LN(2)/25)*HH107+(1-EXP(-LN(2)/25))/(LN(2)/25)*Calculateur!HC108*Calculateur!HE108*VLOOKUP('Données projet'!$B$18,Paramètres!$A$1:$I$89,3,0)*0.475*44/12</f>
        <v>2.4890683007299708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19.894683177627726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4.60745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16.893983333333335</v>
      </c>
      <c r="H109" s="66">
        <f t="shared" si="56"/>
        <v>189.09073333333333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469.83700000000027</v>
      </c>
      <c r="O109" s="13">
        <f>N109*VLOOKUP('Données projet'!$B$9,Paramètres!$A$1:$I$89,3,0)*VLOOKUP('Données projet'!$B$9,Paramètres!$A$1:$I$89,5,0)</f>
        <v>425.10851760000025</v>
      </c>
      <c r="P109" s="13">
        <f t="shared" si="87"/>
        <v>96.848855770846484</v>
      </c>
      <c r="Q109" s="20">
        <f t="shared" si="107"/>
        <v>909.07575862089141</v>
      </c>
      <c r="R109" s="59">
        <f t="shared" si="55"/>
        <v>1189.1935249242165</v>
      </c>
      <c r="S109" s="59">
        <f ca="1">AVERAGE(OFFSET($R$3,0,0,'Données projet'!$E$9+1,1))-AVERAGE(OFFSET($H$3,0,0,'Données projet'!$E$9+1,1))</f>
        <v>564.49981446852132</v>
      </c>
      <c r="T109" s="59">
        <f t="shared" si="88"/>
        <v>297.54722913785406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9.7110000000000021</v>
      </c>
      <c r="AI109" s="13">
        <f>IF('Données projet'!$A$62&gt;35,AI108+AH109-AQ108,IF(A109&lt;'Données projet'!$A$62,$AF$205^A109,IF(A109='Données projet'!$A$62,'Données projet'!$B$62,AI108+AH109-AQ108)))</f>
        <v>469.83700000000022</v>
      </c>
      <c r="AJ109" s="13">
        <f>AI109*VLOOKUP('Données projet'!$B$10,Paramètres!$A$1:$I$89,3,0)*VLOOKUP('Données projet'!$B$10,Paramètres!$A$1:$I$89,5,0)</f>
        <v>476.41471800000028</v>
      </c>
      <c r="AK109" s="13">
        <f t="shared" si="89"/>
        <v>107.10746999753525</v>
      </c>
      <c r="AL109" s="20">
        <f t="shared" si="58"/>
        <v>1016.3011440957075</v>
      </c>
      <c r="AM109" s="59">
        <f t="shared" si="59"/>
        <v>1296.4189103990327</v>
      </c>
      <c r="AN109" s="59">
        <f ca="1">AVERAGE(OFFSET($AM$3,0,0,'Données projet'!$E$10+1,1))-AVERAGE(OFFSET($H$3,0,0,'Données projet'!$E$10+1,1))</f>
        <v>623.16549611107564</v>
      </c>
      <c r="AO109" s="59">
        <f t="shared" si="90"/>
        <v>326.15178903425885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123.562847133548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123.562847133548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266.99999999999983</v>
      </c>
      <c r="BE109" s="13">
        <f>BD109*VLOOKUP('Données projet'!$B$11,Paramètres!$A$1:$I$89,3,0)*VLOOKUP('Données projet'!$B$11,Paramètres!$A$1:$I$89,5,0)</f>
        <v>216.59039999999987</v>
      </c>
      <c r="BF109" s="13">
        <f t="shared" si="91"/>
        <v>53.373153688190904</v>
      </c>
      <c r="BG109" s="20">
        <f t="shared" si="61"/>
        <v>470.18652267359886</v>
      </c>
      <c r="BH109" s="59">
        <f t="shared" si="62"/>
        <v>750.304288976924</v>
      </c>
      <c r="BI109" s="59">
        <f ca="1">AVERAGE(OFFSET($BH$3,0,0,'Données projet'!$E$11+1,1))-AVERAGE(OFFSET($H$3,0,0,'Données projet'!$E$11+1,1))</f>
        <v>326.2912419133811</v>
      </c>
      <c r="BJ109" s="59">
        <f t="shared" si="92"/>
        <v>315.07976787459938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26.434327952635652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26.434327952635652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243</v>
      </c>
      <c r="BZ109" s="13">
        <f>BY109*VLOOKUP('Données projet'!$B$12,Paramètres!$A$1:$I$89,3,0)*VLOOKUP('Données projet'!$B$12,Paramètres!$A$1:$I$89,5,0)</f>
        <v>155.4228</v>
      </c>
      <c r="CA109" s="13">
        <f t="shared" si="93"/>
        <v>39.808377687614154</v>
      </c>
      <c r="CB109" s="20">
        <f t="shared" si="64"/>
        <v>340.02763447259463</v>
      </c>
      <c r="CC109" s="59">
        <f t="shared" si="65"/>
        <v>620.14540077591982</v>
      </c>
      <c r="CD109" s="59">
        <f ca="1">AVERAGE(OFFSET($CC$3,0,0,'Données projet'!$E$12+1,1))-AVERAGE(OFFSET($H$3,0,0,'Données projet'!$E$12+1,1))</f>
        <v>297.03992602744393</v>
      </c>
      <c r="CE109" s="59">
        <f t="shared" si="94"/>
        <v>265.2588848922893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36.496732104738676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36.496732104738676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367.99999999999972</v>
      </c>
      <c r="CU109" s="17">
        <f>CT109*VLOOKUP('Données projet'!$B$13,Paramètres!$A$1:$I$89,3,0)*VLOOKUP('Données projet'!$B$13,Paramètres!$A$1:$I$89,5,0)</f>
        <v>292.78079999999977</v>
      </c>
      <c r="CV109" s="13">
        <f t="shared" si="95"/>
        <v>69.660903052386217</v>
      </c>
      <c r="CW109" s="20">
        <f t="shared" si="67"/>
        <v>631.25263281623893</v>
      </c>
      <c r="CX109" s="59">
        <f t="shared" si="68"/>
        <v>911.37039911956413</v>
      </c>
      <c r="CY109" s="59">
        <f ca="1">AVERAGE(OFFSET($CX$3,0,0,'Données projet'!$E$13+1,1))-AVERAGE(OFFSET($H$3,0,0,'Données projet'!$E$13+1,1))</f>
        <v>427.42918901489531</v>
      </c>
      <c r="CZ109" s="59">
        <f t="shared" si="96"/>
        <v>410.68601510655412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36.8289073879155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36.8289073879155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9.7110000000000021</v>
      </c>
      <c r="DO109" s="12">
        <f>IF('Données projet'!$A$166&gt;35,DO108+DN109-DW108,IF(A109&lt;'Données projet'!$A$166,$DL$205^A109,IF(A109='Données projet'!$A$166,'Données projet'!$B$166,DO108+DN109-DW108)))</f>
        <v>469.83700000000022</v>
      </c>
      <c r="DP109" s="17">
        <f>DO109*VLOOKUP('Données projet'!$B$14,Paramètres!$A$1:$I$89,3,0)*VLOOKUP('Données projet'!$B$14,Paramètres!$A$1:$I$89,5,0)</f>
        <v>454.42634640000023</v>
      </c>
      <c r="DQ109" s="13">
        <f t="shared" si="97"/>
        <v>102.72752286187283</v>
      </c>
      <c r="DR109" s="20">
        <f t="shared" si="70"/>
        <v>970.37632229776216</v>
      </c>
      <c r="DS109" s="59">
        <f t="shared" si="71"/>
        <v>1250.4940886010872</v>
      </c>
      <c r="DT109" s="59">
        <f ca="1">AVERAGE(OFFSET($DS$3,0,0,'Données projet'!$E$14+1,1))-AVERAGE(OFFSET($H$3,0,0,'Données projet'!$E$14+1,1))</f>
        <v>598.03945725240396</v>
      </c>
      <c r="DU109" s="59">
        <f t="shared" si="98"/>
        <v>313.9014686755695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117.85994649661501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117.85994649661501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9.7110000000000021</v>
      </c>
      <c r="EJ109" s="12">
        <f>IF('Données projet'!$A$192&gt;35,EJ108+EI109-ER108,IF(A109&lt;'Données projet'!$A$192,$EG$205^A109,IF(A109='Données projet'!$A$192,'Données projet'!$B$192,EJ108+EI109-ER108)))</f>
        <v>469.83700000000027</v>
      </c>
      <c r="EK109" s="17">
        <f>EJ109*VLOOKUP('Données projet'!$B$15,Paramètres!$A$1:$I$89,3,0)*VLOOKUP('Données projet'!$B$15,Paramètres!$A$1:$I$89,5,0)</f>
        <v>315.16665960000017</v>
      </c>
      <c r="EL109" s="13">
        <f t="shared" si="99"/>
        <v>74.346794137152642</v>
      </c>
      <c r="EM109" s="20">
        <f t="shared" si="73"/>
        <v>678.40259859220782</v>
      </c>
      <c r="EN109" s="59">
        <f t="shared" si="74"/>
        <v>958.52036489553302</v>
      </c>
      <c r="EO109" s="59">
        <f ca="1">AVERAGE(OFFSET($EN$3,0,0,'Données projet'!$E$15+1,1))-AVERAGE(OFFSET($H$3,0,0,'Données projet'!$E$15+1,1))</f>
        <v>438.27475674276604</v>
      </c>
      <c r="EP109" s="59">
        <f t="shared" si="100"/>
        <v>235.97720136798864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100.75124458581605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100.75124458581605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5.2499999999990337</v>
      </c>
      <c r="FF109" s="17">
        <f>FE109*VLOOKUP('Données projet'!$B$16,Paramètres!$A$1:$I$89,3,0)*VLOOKUP('Données projet'!$B$16,Paramètres!$A$1:$I$89,5,0)</f>
        <v>2.4569999999995478</v>
      </c>
      <c r="FG109" s="13">
        <f t="shared" si="101"/>
        <v>1.0197977774625564</v>
      </c>
      <c r="FH109" s="20">
        <f t="shared" si="76"/>
        <v>6.0554227957464972</v>
      </c>
      <c r="FI109" s="59">
        <f t="shared" si="77"/>
        <v>286.17318909907164</v>
      </c>
      <c r="FJ109" s="59">
        <f ca="1">AVERAGE(OFFSET($FI$3,0,0,'Données projet'!$E$16+1,1))-AVERAGE(OFFSET($H$3,0,0,'Données projet'!$E$16+1,1))</f>
        <v>329.49463758169588</v>
      </c>
      <c r="FK109" s="59">
        <f t="shared" si="102"/>
        <v>207.1447698203379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257.75710551919479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257.75710551919479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763.00000000000057</v>
      </c>
      <c r="GA109" s="17">
        <f>FZ109*VLOOKUP('Données projet'!$B$17,Paramètres!$A$1:$I$89,3,0)*VLOOKUP('Données projet'!$B$17,Paramètres!$A$1:$I$89,5,0)</f>
        <v>456.2740000000004</v>
      </c>
      <c r="GB109" s="13">
        <f t="shared" si="103"/>
        <v>103.09649786611838</v>
      </c>
      <c r="GC109" s="20">
        <f t="shared" si="79"/>
        <v>974.23695045015677</v>
      </c>
      <c r="GD109" s="59">
        <f t="shared" si="80"/>
        <v>1254.3547167534819</v>
      </c>
      <c r="GE109" s="59">
        <f ca="1">AVERAGE(OFFSET($GD$3,0,0,'Données projet'!$E$17+1,1))-AVERAGE(OFFSET($H$3,0,0,'Données projet'!$E$17+1,1))</f>
        <v>577.07444926285291</v>
      </c>
      <c r="GF109" s="59">
        <f t="shared" si="104"/>
        <v>501.3762209070419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63.592799396800096</v>
      </c>
      <c r="GM109" s="21">
        <f>EXP(-LN(2)/25)*GM108+(1-EXP(-LN(2)/25))/(LN(2)/25)*Calculateur!GH109*Calculateur!GJ109*VLOOKUP('Données projet'!$B$17,Paramètres!$A$1:$I$89,3,0)*0.475*44/12</f>
        <v>7.9540527988544065</v>
      </c>
      <c r="GN109" s="21">
        <f>EXP(-LN(2)/2)*GN108+(1-EXP(-LN(2)/2))/(LN(2)/2)*GH109*GK109*VLOOKUP('Données projet'!$B$17,Paramètres!$A$1:$I$89,3,0)*0.475*44/12</f>
        <v>2.8575327414441226E-13</v>
      </c>
      <c r="GO109" s="21">
        <f t="shared" si="81"/>
        <v>71.546852195654793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66.395754446361394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-5.6843418860808015E-14</v>
      </c>
      <c r="GV109" s="17">
        <f>GU109*VLOOKUP('Données projet'!$B$18,Paramètres!$A$1:$I$89,3,0)*VLOOKUP('Données projet'!$B$18,Paramètres!$A$1:$I$89,5,0)</f>
        <v>-3.0061073630349716E-14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212.75657290802619</v>
      </c>
      <c r="HA109" s="59">
        <f t="shared" si="106"/>
        <v>411.47446316045978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17.064301385538585</v>
      </c>
      <c r="HH109" s="21">
        <f>EXP(-LN(2)/25)*HH108+(1-EXP(-LN(2)/25))/(LN(2)/25)*Calculateur!HC109*Calculateur!HE109*VLOOKUP('Données projet'!$B$18,Paramètres!$A$1:$I$89,3,0)*0.475*44/12</f>
        <v>2.4210045971520966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19.485305982690683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4.60745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16.893983333333335</v>
      </c>
      <c r="H110" s="66">
        <f t="shared" si="56"/>
        <v>189.09073333333333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479.54800000000029</v>
      </c>
      <c r="O110" s="13">
        <f>N110*VLOOKUP('Données projet'!$B$9,Paramètres!$A$1:$I$89,3,0)*VLOOKUP('Données projet'!$B$9,Paramètres!$A$1:$I$89,5,0)</f>
        <v>433.89503040000028</v>
      </c>
      <c r="P110" s="13">
        <f t="shared" si="87"/>
        <v>98.615496264061846</v>
      </c>
      <c r="Q110" s="20">
        <f t="shared" si="107"/>
        <v>927.45583393990819</v>
      </c>
      <c r="R110" s="59">
        <f t="shared" si="55"/>
        <v>1207.8028607856222</v>
      </c>
      <c r="S110" s="59">
        <f ca="1">AVERAGE(OFFSET($R$3,0,0,'Données projet'!$E$9+1,1))-AVERAGE(OFFSET($H$3,0,0,'Données projet'!$E$9+1,1))</f>
        <v>564.49981446852132</v>
      </c>
      <c r="T110" s="59">
        <f t="shared" si="88"/>
        <v>297.54722913785406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9.7110000000000021</v>
      </c>
      <c r="AI110" s="13">
        <f>IF('Données projet'!$A$62&gt;35,AI109+AH110-AQ109,IF(A110&lt;'Données projet'!$A$62,$AF$205^A110,IF(A110='Données projet'!$A$62,'Données projet'!$B$62,AI109+AH110-AQ109)))</f>
        <v>479.54800000000023</v>
      </c>
      <c r="AJ110" s="13">
        <f>AI110*VLOOKUP('Données projet'!$B$10,Paramètres!$A$1:$I$89,3,0)*VLOOKUP('Données projet'!$B$10,Paramètres!$A$1:$I$89,5,0)</f>
        <v>486.2616720000002</v>
      </c>
      <c r="AK110" s="13">
        <f t="shared" si="89"/>
        <v>109.06124004590019</v>
      </c>
      <c r="AL110" s="20">
        <f t="shared" si="58"/>
        <v>1036.8540718132763</v>
      </c>
      <c r="AM110" s="59">
        <f t="shared" si="59"/>
        <v>1317.2010986589903</v>
      </c>
      <c r="AN110" s="59">
        <f ca="1">AVERAGE(OFFSET($AM$3,0,0,'Données projet'!$E$10+1,1))-AVERAGE(OFFSET($H$3,0,0,'Données projet'!$E$10+1,1))</f>
        <v>623.16549611107564</v>
      </c>
      <c r="AO110" s="59">
        <f t="shared" si="90"/>
        <v>326.15178903425885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121.13985506715412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121.13985506715412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266.99999999999983</v>
      </c>
      <c r="BE110" s="13">
        <f>BD110*VLOOKUP('Données projet'!$B$11,Paramètres!$A$1:$I$89,3,0)*VLOOKUP('Données projet'!$B$11,Paramètres!$A$1:$I$89,5,0)</f>
        <v>216.59039999999987</v>
      </c>
      <c r="BF110" s="13">
        <f t="shared" si="91"/>
        <v>53.373153688190904</v>
      </c>
      <c r="BG110" s="20">
        <f t="shared" si="61"/>
        <v>470.18652267359886</v>
      </c>
      <c r="BH110" s="59">
        <f t="shared" si="62"/>
        <v>750.53354951931306</v>
      </c>
      <c r="BI110" s="59">
        <f ca="1">AVERAGE(OFFSET($BH$3,0,0,'Données projet'!$E$11+1,1))-AVERAGE(OFFSET($H$3,0,0,'Données projet'!$E$11+1,1))</f>
        <v>326.2912419133811</v>
      </c>
      <c r="BJ110" s="59">
        <f t="shared" si="92"/>
        <v>315.07976787459938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25.915966904832469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25.915966904832469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243</v>
      </c>
      <c r="BZ110" s="13">
        <f>BY110*VLOOKUP('Données projet'!$B$12,Paramètres!$A$1:$I$89,3,0)*VLOOKUP('Données projet'!$B$12,Paramètres!$A$1:$I$89,5,0)</f>
        <v>155.4228</v>
      </c>
      <c r="CA110" s="13">
        <f t="shared" si="93"/>
        <v>39.808377687614154</v>
      </c>
      <c r="CB110" s="20">
        <f t="shared" si="64"/>
        <v>340.02763447259463</v>
      </c>
      <c r="CC110" s="59">
        <f t="shared" si="65"/>
        <v>620.37466131830877</v>
      </c>
      <c r="CD110" s="59">
        <f ca="1">AVERAGE(OFFSET($CC$3,0,0,'Données projet'!$E$12+1,1))-AVERAGE(OFFSET($H$3,0,0,'Données projet'!$E$12+1,1))</f>
        <v>297.03992602744393</v>
      </c>
      <c r="CE110" s="59">
        <f t="shared" si="94"/>
        <v>265.2588848922893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35.78105344897326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35.78105344897326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367.99999999999972</v>
      </c>
      <c r="CU110" s="17">
        <f>CT110*VLOOKUP('Données projet'!$B$13,Paramètres!$A$1:$I$89,3,0)*VLOOKUP('Données projet'!$B$13,Paramètres!$A$1:$I$89,5,0)</f>
        <v>292.78079999999977</v>
      </c>
      <c r="CV110" s="13">
        <f t="shared" si="95"/>
        <v>69.660903052386217</v>
      </c>
      <c r="CW110" s="20">
        <f t="shared" si="67"/>
        <v>631.25263281623893</v>
      </c>
      <c r="CX110" s="59">
        <f t="shared" si="68"/>
        <v>911.59965966195307</v>
      </c>
      <c r="CY110" s="59">
        <f ca="1">AVERAGE(OFFSET($CX$3,0,0,'Données projet'!$E$13+1,1))-AVERAGE(OFFSET($H$3,0,0,'Données projet'!$E$13+1,1))</f>
        <v>427.42918901489531</v>
      </c>
      <c r="CZ110" s="59">
        <f t="shared" si="96"/>
        <v>410.68601510655412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36.106714977453905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36.106714977453905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9.7110000000000021</v>
      </c>
      <c r="DO110" s="12">
        <f>IF('Données projet'!$A$166&gt;35,DO109+DN110-DW109,IF(A110&lt;'Données projet'!$A$166,$DL$205^A110,IF(A110='Données projet'!$A$166,'Données projet'!$B$166,DO109+DN110-DW109)))</f>
        <v>479.54800000000023</v>
      </c>
      <c r="DP110" s="17">
        <f>DO110*VLOOKUP('Données projet'!$B$14,Paramètres!$A$1:$I$89,3,0)*VLOOKUP('Données projet'!$B$14,Paramètres!$A$1:$I$89,5,0)</f>
        <v>463.81882560000025</v>
      </c>
      <c r="DQ110" s="13">
        <f t="shared" si="97"/>
        <v>104.60139736674985</v>
      </c>
      <c r="DR110" s="20">
        <f t="shared" si="70"/>
        <v>989.99855500042293</v>
      </c>
      <c r="DS110" s="59">
        <f t="shared" si="71"/>
        <v>1270.3455818461371</v>
      </c>
      <c r="DT110" s="59">
        <f ca="1">AVERAGE(OFFSET($DS$3,0,0,'Données projet'!$E$14+1,1))-AVERAGE(OFFSET($H$3,0,0,'Données projet'!$E$14+1,1))</f>
        <v>598.03945725240396</v>
      </c>
      <c r="DU110" s="59">
        <f t="shared" si="98"/>
        <v>313.9014686755695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115.54878483328545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115.54878483328545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9.7110000000000021</v>
      </c>
      <c r="EJ110" s="12">
        <f>IF('Données projet'!$A$192&gt;35,EJ109+EI110-ER109,IF(A110&lt;'Données projet'!$A$192,$EG$205^A110,IF(A110='Données projet'!$A$192,'Données projet'!$B$192,EJ109+EI110-ER109)))</f>
        <v>479.54800000000029</v>
      </c>
      <c r="EK110" s="17">
        <f>EJ110*VLOOKUP('Données projet'!$B$15,Paramètres!$A$1:$I$89,3,0)*VLOOKUP('Données projet'!$B$15,Paramètres!$A$1:$I$89,5,0)</f>
        <v>321.68079840000024</v>
      </c>
      <c r="EL110" s="13">
        <f t="shared" si="99"/>
        <v>75.702969757587567</v>
      </c>
      <c r="EM110" s="20">
        <f t="shared" si="73"/>
        <v>692.1100628744656</v>
      </c>
      <c r="EN110" s="59">
        <f t="shared" si="74"/>
        <v>972.45708972017974</v>
      </c>
      <c r="EO110" s="59">
        <f ca="1">AVERAGE(OFFSET($EN$3,0,0,'Données projet'!$E$15+1,1))-AVERAGE(OFFSET($H$3,0,0,'Données projet'!$E$15+1,1))</f>
        <v>438.27475674276604</v>
      </c>
      <c r="EP110" s="59">
        <f t="shared" si="100"/>
        <v>235.97720136798864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98.775574131679491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98.775574131679491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5.2499999999990337</v>
      </c>
      <c r="FF110" s="17">
        <f>FE110*VLOOKUP('Données projet'!$B$16,Paramètres!$A$1:$I$89,3,0)*VLOOKUP('Données projet'!$B$16,Paramètres!$A$1:$I$89,5,0)</f>
        <v>2.4569999999995478</v>
      </c>
      <c r="FG110" s="13">
        <f t="shared" si="101"/>
        <v>1.0197977774625564</v>
      </c>
      <c r="FH110" s="20">
        <f t="shared" si="76"/>
        <v>6.0554227957464972</v>
      </c>
      <c r="FI110" s="59">
        <f t="shared" si="77"/>
        <v>286.40244964146063</v>
      </c>
      <c r="FJ110" s="59">
        <f ca="1">AVERAGE(OFFSET($FI$3,0,0,'Données projet'!$E$16+1,1))-AVERAGE(OFFSET($H$3,0,0,'Données projet'!$E$16+1,1))</f>
        <v>329.49463758169588</v>
      </c>
      <c r="FK110" s="59">
        <f t="shared" si="102"/>
        <v>207.1447698203379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252.70264589627394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252.70264589627394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763.00000000000057</v>
      </c>
      <c r="GA110" s="17">
        <f>FZ110*VLOOKUP('Données projet'!$B$17,Paramètres!$A$1:$I$89,3,0)*VLOOKUP('Données projet'!$B$17,Paramètres!$A$1:$I$89,5,0)</f>
        <v>456.2740000000004</v>
      </c>
      <c r="GB110" s="13">
        <f t="shared" si="103"/>
        <v>103.09649786611838</v>
      </c>
      <c r="GC110" s="20">
        <f t="shared" si="79"/>
        <v>974.23695045015677</v>
      </c>
      <c r="GD110" s="59">
        <f t="shared" si="80"/>
        <v>1254.5839772958709</v>
      </c>
      <c r="GE110" s="59">
        <f ca="1">AVERAGE(OFFSET($GD$3,0,0,'Données projet'!$E$17+1,1))-AVERAGE(OFFSET($H$3,0,0,'Données projet'!$E$17+1,1))</f>
        <v>577.07444926285291</v>
      </c>
      <c r="GF110" s="59">
        <f t="shared" si="104"/>
        <v>501.3762209070419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62.345783388406502</v>
      </c>
      <c r="GM110" s="21">
        <f>EXP(-LN(2)/25)*GM109+(1-EXP(-LN(2)/25))/(LN(2)/25)*Calculateur!GH110*Calculateur!GJ110*VLOOKUP('Données projet'!$B$17,Paramètres!$A$1:$I$89,3,0)*0.475*44/12</f>
        <v>7.7365488067842749</v>
      </c>
      <c r="GN110" s="21">
        <f>EXP(-LN(2)/2)*GN109+(1-EXP(-LN(2)/2))/(LN(2)/2)*GH110*GK110*VLOOKUP('Données projet'!$B$17,Paramètres!$A$1:$I$89,3,0)*0.475*44/12</f>
        <v>2.0205807789377245E-13</v>
      </c>
      <c r="GO110" s="21">
        <f t="shared" si="81"/>
        <v>70.082332195190972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66.458280048831128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-5.6843418860808015E-14</v>
      </c>
      <c r="GV110" s="17">
        <f>GU110*VLOOKUP('Données projet'!$B$18,Paramètres!$A$1:$I$89,3,0)*VLOOKUP('Données projet'!$B$18,Paramètres!$A$1:$I$89,5,0)</f>
        <v>-3.0061073630349716E-14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212.75657290802619</v>
      </c>
      <c r="HA110" s="59">
        <f t="shared" si="106"/>
        <v>411.47446316045978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16.729680843564296</v>
      </c>
      <c r="HH110" s="21">
        <f>EXP(-LN(2)/25)*HH109+(1-EXP(-LN(2)/25))/(LN(2)/25)*Calculateur!HC110*Calculateur!HE110*VLOOKUP('Données projet'!$B$18,Paramètres!$A$1:$I$89,3,0)*0.475*44/12</f>
        <v>2.3548020991278742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19.084482942692169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4.60745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16.893983333333335</v>
      </c>
      <c r="H111" s="66">
        <f t="shared" si="56"/>
        <v>189.09073333333333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489.2590000000003</v>
      </c>
      <c r="O111" s="13">
        <f>N111*VLOOKUP('Données projet'!$B$9,Paramètres!$A$1:$I$89,3,0)*VLOOKUP('Données projet'!$B$9,Paramètres!$A$1:$I$89,5,0)</f>
        <v>442.68154320000025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1226.4009748342637</v>
      </c>
      <c r="S111" s="59">
        <f ca="1">AVERAGE(OFFSET($R$3,0,0,'Données projet'!$E$9+1,1))-AVERAGE(OFFSET($H$3,0,0,'Données projet'!$E$9+1,1))</f>
        <v>564.49981446852132</v>
      </c>
      <c r="T111" s="59">
        <f t="shared" si="88"/>
        <v>297.54722913785406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9.7110000000000021</v>
      </c>
      <c r="AI111" s="13">
        <f>IF('Données projet'!$A$62&gt;35,AI110+AH111-AQ110,IF(A111&lt;'Données projet'!$A$62,$AF$205^A111,IF(A111='Données projet'!$A$62,'Données projet'!$B$62,AI110+AH111-AQ110)))</f>
        <v>489.25900000000024</v>
      </c>
      <c r="AJ111" s="13">
        <f>AI111*VLOOKUP('Données projet'!$B$10,Paramètres!$A$1:$I$89,3,0)*VLOOKUP('Données projet'!$B$10,Paramètres!$A$1:$I$89,5,0)</f>
        <v>496.1086260000003</v>
      </c>
      <c r="AK111" s="13">
        <f t="shared" si="89"/>
        <v>111.01040988138524</v>
      </c>
      <c r="AL111" s="20">
        <f t="shared" si="58"/>
        <v>1057.3989874934132</v>
      </c>
      <c r="AM111" s="59">
        <f t="shared" si="59"/>
        <v>1337.9712977236557</v>
      </c>
      <c r="AN111" s="59">
        <f ca="1">AVERAGE(OFFSET($AM$3,0,0,'Données projet'!$E$10+1,1))-AVERAGE(OFFSET($H$3,0,0,'Données projet'!$E$10+1,1))</f>
        <v>623.16549611107564</v>
      </c>
      <c r="AO111" s="59">
        <f t="shared" si="90"/>
        <v>326.15178903425885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118.76437639730298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118.76437639730298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266.99999999999983</v>
      </c>
      <c r="BE111" s="13">
        <f>BD111*VLOOKUP('Données projet'!$B$11,Paramètres!$A$1:$I$89,3,0)*VLOOKUP('Données projet'!$B$11,Paramètres!$A$1:$I$89,5,0)</f>
        <v>216.59039999999987</v>
      </c>
      <c r="BF111" s="13">
        <f t="shared" si="91"/>
        <v>53.373153688190904</v>
      </c>
      <c r="BG111" s="20">
        <f t="shared" si="61"/>
        <v>470.18652267359886</v>
      </c>
      <c r="BH111" s="59">
        <f t="shared" si="62"/>
        <v>750.75883290384138</v>
      </c>
      <c r="BI111" s="59">
        <f ca="1">AVERAGE(OFFSET($BH$3,0,0,'Données projet'!$E$11+1,1))-AVERAGE(OFFSET($H$3,0,0,'Données projet'!$E$11+1,1))</f>
        <v>326.2912419133811</v>
      </c>
      <c r="BJ111" s="59">
        <f t="shared" si="92"/>
        <v>315.07976787459938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25.407770601007687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25.407770601007687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243</v>
      </c>
      <c r="BZ111" s="13">
        <f>BY111*VLOOKUP('Données projet'!$B$12,Paramètres!$A$1:$I$89,3,0)*VLOOKUP('Données projet'!$B$12,Paramètres!$A$1:$I$89,5,0)</f>
        <v>155.4228</v>
      </c>
      <c r="CA111" s="13">
        <f t="shared" si="93"/>
        <v>39.808377687614154</v>
      </c>
      <c r="CB111" s="20">
        <f t="shared" si="64"/>
        <v>340.02763447259463</v>
      </c>
      <c r="CC111" s="59">
        <f t="shared" si="65"/>
        <v>620.59994470283709</v>
      </c>
      <c r="CD111" s="59">
        <f ca="1">AVERAGE(OFFSET($CC$3,0,0,'Données projet'!$E$12+1,1))-AVERAGE(OFFSET($H$3,0,0,'Données projet'!$E$12+1,1))</f>
        <v>297.03992602744393</v>
      </c>
      <c r="CE111" s="59">
        <f t="shared" si="94"/>
        <v>265.2588848922893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35.079408815126527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35.079408815126527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367.99999999999972</v>
      </c>
      <c r="CU111" s="17">
        <f>CT111*VLOOKUP('Données projet'!$B$13,Paramètres!$A$1:$I$89,3,0)*VLOOKUP('Données projet'!$B$13,Paramètres!$A$1:$I$89,5,0)</f>
        <v>292.78079999999977</v>
      </c>
      <c r="CV111" s="13">
        <f t="shared" si="95"/>
        <v>69.660903052386217</v>
      </c>
      <c r="CW111" s="20">
        <f t="shared" si="67"/>
        <v>631.25263281623893</v>
      </c>
      <c r="CX111" s="59">
        <f t="shared" si="68"/>
        <v>911.82494304648139</v>
      </c>
      <c r="CY111" s="59">
        <f ca="1">AVERAGE(OFFSET($CX$3,0,0,'Données projet'!$E$13+1,1))-AVERAGE(OFFSET($H$3,0,0,'Données projet'!$E$13+1,1))</f>
        <v>427.42918901489531</v>
      </c>
      <c r="CZ111" s="59">
        <f t="shared" si="96"/>
        <v>410.68601510655412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35.398684319667588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35.398684319667588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9.7110000000000021</v>
      </c>
      <c r="DO111" s="12">
        <f>IF('Données projet'!$A$166&gt;35,DO110+DN111-DW110,IF(A111&lt;'Données projet'!$A$166,$DL$205^A111,IF(A111='Données projet'!$A$166,'Données projet'!$B$166,DO110+DN111-DW110)))</f>
        <v>489.25900000000024</v>
      </c>
      <c r="DP111" s="17">
        <f>DO111*VLOOKUP('Données projet'!$B$14,Paramètres!$A$1:$I$89,3,0)*VLOOKUP('Données projet'!$B$14,Paramètres!$A$1:$I$89,5,0)</f>
        <v>473.21130480000028</v>
      </c>
      <c r="DQ111" s="13">
        <f t="shared" si="97"/>
        <v>106.47085977531083</v>
      </c>
      <c r="DR111" s="20">
        <f t="shared" si="70"/>
        <v>1009.6131033020002</v>
      </c>
      <c r="DS111" s="59">
        <f t="shared" si="71"/>
        <v>1290.1854135322428</v>
      </c>
      <c r="DT111" s="59">
        <f ca="1">AVERAGE(OFFSET($DS$3,0,0,'Données projet'!$E$14+1,1))-AVERAGE(OFFSET($H$3,0,0,'Données projet'!$E$14+1,1))</f>
        <v>598.03945725240396</v>
      </c>
      <c r="DU111" s="59">
        <f t="shared" si="98"/>
        <v>313.9014686755695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113.28294364050437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113.28294364050437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9.7110000000000021</v>
      </c>
      <c r="EJ111" s="12">
        <f>IF('Données projet'!$A$192&gt;35,EJ110+EI111-ER110,IF(A111&lt;'Données projet'!$A$192,$EG$205^A111,IF(A111='Données projet'!$A$192,'Données projet'!$B$192,EJ110+EI111-ER110)))</f>
        <v>489.2590000000003</v>
      </c>
      <c r="EK111" s="17">
        <f>EJ111*VLOOKUP('Données projet'!$B$15,Paramètres!$A$1:$I$89,3,0)*VLOOKUP('Données projet'!$B$15,Paramètres!$A$1:$I$89,5,0)</f>
        <v>328.1949372000002</v>
      </c>
      <c r="EL111" s="13">
        <f t="shared" si="99"/>
        <v>77.055952219973221</v>
      </c>
      <c r="EM111" s="20">
        <f t="shared" si="73"/>
        <v>705.81196573978696</v>
      </c>
      <c r="EN111" s="59">
        <f t="shared" si="74"/>
        <v>986.38427597002942</v>
      </c>
      <c r="EO111" s="59">
        <f ca="1">AVERAGE(OFFSET($EN$3,0,0,'Données projet'!$E$15+1,1))-AVERAGE(OFFSET($H$3,0,0,'Données projet'!$E$15+1,1))</f>
        <v>438.27475674276604</v>
      </c>
      <c r="EP111" s="59">
        <f t="shared" si="100"/>
        <v>235.97720136798864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96.838645370108566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96.838645370108566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5.2499999999990337</v>
      </c>
      <c r="FF111" s="17">
        <f>FE111*VLOOKUP('Données projet'!$B$16,Paramètres!$A$1:$I$89,3,0)*VLOOKUP('Données projet'!$B$16,Paramètres!$A$1:$I$89,5,0)</f>
        <v>2.4569999999995478</v>
      </c>
      <c r="FG111" s="13">
        <f t="shared" si="101"/>
        <v>1.0197977774625564</v>
      </c>
      <c r="FH111" s="20">
        <f t="shared" si="76"/>
        <v>6.0554227957464972</v>
      </c>
      <c r="FI111" s="59">
        <f t="shared" si="77"/>
        <v>286.62773302598902</v>
      </c>
      <c r="FJ111" s="59">
        <f ca="1">AVERAGE(OFFSET($FI$3,0,0,'Données projet'!$E$16+1,1))-AVERAGE(OFFSET($H$3,0,0,'Données projet'!$E$16+1,1))</f>
        <v>329.49463758169588</v>
      </c>
      <c r="FK111" s="59">
        <f t="shared" si="102"/>
        <v>207.1447698203379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247.7473011436426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247.7473011436426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763.00000000000057</v>
      </c>
      <c r="GA111" s="17">
        <f>FZ111*VLOOKUP('Données projet'!$B$17,Paramètres!$A$1:$I$89,3,0)*VLOOKUP('Données projet'!$B$17,Paramètres!$A$1:$I$89,5,0)</f>
        <v>456.2740000000004</v>
      </c>
      <c r="GB111" s="13">
        <f t="shared" si="103"/>
        <v>103.09649786611838</v>
      </c>
      <c r="GC111" s="20">
        <f t="shared" si="79"/>
        <v>974.23695045015677</v>
      </c>
      <c r="GD111" s="59">
        <f t="shared" si="80"/>
        <v>1254.8092606803993</v>
      </c>
      <c r="GE111" s="59">
        <f ca="1">AVERAGE(OFFSET($GD$3,0,0,'Données projet'!$E$17+1,1))-AVERAGE(OFFSET($H$3,0,0,'Données projet'!$E$17+1,1))</f>
        <v>577.07444926285291</v>
      </c>
      <c r="GF111" s="59">
        <f t="shared" si="104"/>
        <v>501.3762209070419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61.123220603332847</v>
      </c>
      <c r="GM111" s="21">
        <f>EXP(-LN(2)/25)*GM110+(1-EXP(-LN(2)/25))/(LN(2)/25)*Calculateur!GH111*Calculateur!GJ111*VLOOKUP('Données projet'!$B$17,Paramètres!$A$1:$I$89,3,0)*0.475*44/12</f>
        <v>7.524992472815339</v>
      </c>
      <c r="GN111" s="21">
        <f>EXP(-LN(2)/2)*GN110+(1-EXP(-LN(2)/2))/(LN(2)/2)*GH111*GK111*VLOOKUP('Données projet'!$B$17,Paramètres!$A$1:$I$89,3,0)*0.475*44/12</f>
        <v>1.4287663707220613E-13</v>
      </c>
      <c r="GO111" s="21">
        <f t="shared" si="81"/>
        <v>68.648213076148323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66.519720971884325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-5.6843418860808015E-14</v>
      </c>
      <c r="GV111" s="17">
        <f>GU111*VLOOKUP('Données projet'!$B$18,Paramètres!$A$1:$I$89,3,0)*VLOOKUP('Données projet'!$B$18,Paramètres!$A$1:$I$89,5,0)</f>
        <v>-3.0061073630349716E-14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212.75657290802619</v>
      </c>
      <c r="HA111" s="59">
        <f t="shared" si="106"/>
        <v>411.47446316045978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16.401622006319744</v>
      </c>
      <c r="HH111" s="21">
        <f>EXP(-LN(2)/25)*HH110+(1-EXP(-LN(2)/25))/(LN(2)/25)*Calculateur!HC111*Calculateur!HE111*VLOOKUP('Données projet'!$B$18,Paramètres!$A$1:$I$89,3,0)*0.475*44/12</f>
        <v>2.2904099118935619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18.692031918213306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4.60745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16.893983333333335</v>
      </c>
      <c r="H112" s="66">
        <f t="shared" si="56"/>
        <v>189.09073333333333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498.97000000000031</v>
      </c>
      <c r="O112" s="13">
        <f>N112*VLOOKUP('Données projet'!$B$9,Paramètres!$A$1:$I$89,3,0)*VLOOKUP('Données projet'!$B$9,Paramètres!$A$1:$I$89,5,0)</f>
        <v>451.46805600000027</v>
      </c>
      <c r="P112" s="13">
        <f t="shared" si="87"/>
        <v>102.13639049659334</v>
      </c>
      <c r="Q112" s="20">
        <f t="shared" si="107"/>
        <v>964.1944109815671</v>
      </c>
      <c r="R112" s="59">
        <f t="shared" si="55"/>
        <v>1244.9880964332747</v>
      </c>
      <c r="S112" s="59">
        <f ca="1">AVERAGE(OFFSET($R$3,0,0,'Données projet'!$E$9+1,1))-AVERAGE(OFFSET($H$3,0,0,'Données projet'!$E$9+1,1))</f>
        <v>564.49981446852132</v>
      </c>
      <c r="T112" s="59">
        <f t="shared" si="88"/>
        <v>297.54722913785406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498.97</v>
      </c>
      <c r="AG112" s="12">
        <f>VLOOKUP(A112,'Données projet'!$A$61:$I$81,9,0)</f>
        <v>9.7110000000000021</v>
      </c>
      <c r="AH112" s="12">
        <f t="array" ref="AH112">INDEX(AG:AG,MIN(IF(ISNUMBER(AG112:AG308),ROW(AG112:AG308),"")))</f>
        <v>9.7110000000000021</v>
      </c>
      <c r="AI112" s="13">
        <f>IF('Données projet'!$A$62&gt;35,AI111+AH112-AQ111,IF(A112&lt;'Données projet'!$A$62,$AF$205^A112,IF(A112='Données projet'!$A$62,'Données projet'!$B$62,AI111+AH112-AQ111)))</f>
        <v>498.97000000000025</v>
      </c>
      <c r="AJ112" s="13">
        <f>AI112*VLOOKUP('Données projet'!$B$10,Paramètres!$A$1:$I$89,3,0)*VLOOKUP('Données projet'!$B$10,Paramètres!$A$1:$I$89,5,0)</f>
        <v>505.95558000000034</v>
      </c>
      <c r="AK112" s="13">
        <f t="shared" si="89"/>
        <v>112.9550813347188</v>
      </c>
      <c r="AL112" s="20">
        <f t="shared" si="58"/>
        <v>1077.9360684913026</v>
      </c>
      <c r="AM112" s="59">
        <f t="shared" si="59"/>
        <v>1358.7297539430101</v>
      </c>
      <c r="AN112" s="59">
        <f ca="1">AVERAGE(OFFSET($AM$3,0,0,'Données projet'!$E$10+1,1))-AVERAGE(OFFSET($H$3,0,0,'Données projet'!$E$10+1,1))</f>
        <v>623.16549611107564</v>
      </c>
      <c r="AO112" s="59">
        <f t="shared" si="90"/>
        <v>326.15178903425885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66.959999999999994</v>
      </c>
      <c r="AR112" s="16">
        <f>IF(ISNA(VLOOKUP(A112,'Données projet'!$A$61:$I$81,5,0)),0%,VLOOKUP(A112,'Données projet'!$A$61:$I$81,5,0)*VLOOKUP('Données projet'!$B$10,Paramètres!$A$1:$I$89,7,0))</f>
        <v>0.43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148.71068118469847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148.71068118469847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266.99999999999983</v>
      </c>
      <c r="BE112" s="13">
        <f>BD112*VLOOKUP('Données projet'!$B$11,Paramètres!$A$1:$I$89,3,0)*VLOOKUP('Données projet'!$B$11,Paramètres!$A$1:$I$89,5,0)</f>
        <v>216.59039999999987</v>
      </c>
      <c r="BF112" s="13">
        <f t="shared" si="91"/>
        <v>53.373153688190904</v>
      </c>
      <c r="BG112" s="20">
        <f t="shared" si="61"/>
        <v>470.18652267359886</v>
      </c>
      <c r="BH112" s="59">
        <f t="shared" si="62"/>
        <v>750.98020812530638</v>
      </c>
      <c r="BI112" s="59">
        <f ca="1">AVERAGE(OFFSET($BH$3,0,0,'Données projet'!$E$11+1,1))-AVERAGE(OFFSET($H$3,0,0,'Données projet'!$E$11+1,1))</f>
        <v>326.2912419133811</v>
      </c>
      <c r="BJ112" s="59">
        <f t="shared" si="92"/>
        <v>315.07976787459938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24.909539716731771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24.909539716731771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243</v>
      </c>
      <c r="BZ112" s="13">
        <f>BY112*VLOOKUP('Données projet'!$B$12,Paramètres!$A$1:$I$89,3,0)*VLOOKUP('Données projet'!$B$12,Paramètres!$A$1:$I$89,5,0)</f>
        <v>155.4228</v>
      </c>
      <c r="CA112" s="13">
        <f t="shared" si="93"/>
        <v>39.808377687614154</v>
      </c>
      <c r="CB112" s="20">
        <f t="shared" si="64"/>
        <v>340.02763447259463</v>
      </c>
      <c r="CC112" s="59">
        <f t="shared" si="65"/>
        <v>620.82131992430209</v>
      </c>
      <c r="CD112" s="59">
        <f ca="1">AVERAGE(OFFSET($CC$3,0,0,'Données projet'!$E$12+1,1))-AVERAGE(OFFSET($H$3,0,0,'Données projet'!$E$12+1,1))</f>
        <v>297.03992602744393</v>
      </c>
      <c r="CE112" s="59">
        <f t="shared" si="94"/>
        <v>265.2588848922893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34.391523004588564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34.391523004588564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367.99999999999972</v>
      </c>
      <c r="CU112" s="17">
        <f>CT112*VLOOKUP('Données projet'!$B$13,Paramètres!$A$1:$I$89,3,0)*VLOOKUP('Données projet'!$B$13,Paramètres!$A$1:$I$89,5,0)</f>
        <v>292.78079999999977</v>
      </c>
      <c r="CV112" s="13">
        <f t="shared" si="95"/>
        <v>69.660903052386217</v>
      </c>
      <c r="CW112" s="20">
        <f t="shared" si="67"/>
        <v>631.25263281623893</v>
      </c>
      <c r="CX112" s="59">
        <f t="shared" si="68"/>
        <v>912.04631826794639</v>
      </c>
      <c r="CY112" s="59">
        <f ca="1">AVERAGE(OFFSET($CX$3,0,0,'Données projet'!$E$13+1,1))-AVERAGE(OFFSET($H$3,0,0,'Données projet'!$E$13+1,1))</f>
        <v>427.42918901489531</v>
      </c>
      <c r="CZ112" s="59">
        <f t="shared" si="96"/>
        <v>410.68601510655412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34.704537711224404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34.704537711224404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>
        <f>VLOOKUP(A112,'Données projet'!$A$165:$I$185,2,0)</f>
        <v>498.97</v>
      </c>
      <c r="DM112" s="12">
        <f>VLOOKUP(A112,'Données projet'!$A$165:$I$185,9,0)</f>
        <v>9.7110000000000021</v>
      </c>
      <c r="DN112" s="12">
        <f t="array" ref="DN112">INDEX(DM:DM,MIN(IF(ISNUMBER(DM112:DM308),ROW(DM112:DM308),"")))</f>
        <v>9.7110000000000021</v>
      </c>
      <c r="DO112" s="12">
        <f>IF('Données projet'!$A$166&gt;35,DO111+DN112-DW111,IF(A112&lt;'Données projet'!$A$166,$DL$205^A112,IF(A112='Données projet'!$A$166,'Données projet'!$B$166,DO111+DN112-DW111)))</f>
        <v>498.97000000000025</v>
      </c>
      <c r="DP112" s="17">
        <f>DO112*VLOOKUP('Données projet'!$B$14,Paramètres!$A$1:$I$89,3,0)*VLOOKUP('Données projet'!$B$14,Paramètres!$A$1:$I$89,5,0)</f>
        <v>482.6037840000003</v>
      </c>
      <c r="DQ112" s="13">
        <f t="shared" si="97"/>
        <v>108.33600775411885</v>
      </c>
      <c r="DR112" s="20">
        <f t="shared" si="70"/>
        <v>1029.2201373050909</v>
      </c>
      <c r="DS112" s="59">
        <f t="shared" si="71"/>
        <v>1310.0138227567984</v>
      </c>
      <c r="DT112" s="59">
        <f ca="1">AVERAGE(OFFSET($DS$3,0,0,'Données projet'!$E$14+1,1))-AVERAGE(OFFSET($H$3,0,0,'Données projet'!$E$14+1,1))</f>
        <v>598.03945725240396</v>
      </c>
      <c r="DU112" s="59">
        <f t="shared" si="98"/>
        <v>313.9014686755695</v>
      </c>
      <c r="DV112" s="15">
        <f>IF(ISNA(VLOOKUP(A112,'Données projet'!$A$165:$I$185,3,0)),0,VLOOKUP(A112,'Données projet'!$A$165:$I$185,3,0))</f>
        <v>10</v>
      </c>
      <c r="DW112" s="15">
        <f>IF(ISNA(VLOOKUP(A112,'Données projet'!$A$165:$I$185,4,0)),0,VLOOKUP(A112,'Données projet'!$A$165:$I$185,4,0))</f>
        <v>66.959999999999994</v>
      </c>
      <c r="DX112" s="16">
        <f>IF(ISNA(VLOOKUP(A112,'Données projet'!$A$165:$I$185,5,0)),0%,VLOOKUP(A112,'Données projet'!$A$165:$I$185,5,0)*VLOOKUP('Données projet'!$B$14,Paramètres!$A$1:$I$89,7,0))</f>
        <v>0.43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141.84711128386621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141.84711128386621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>
        <f>VLOOKUP(A112,'Données projet'!$A$191:$I$211,2,0)</f>
        <v>498.97</v>
      </c>
      <c r="EH112" s="12">
        <f>VLOOKUP(A112,'Données projet'!$A$191:$I$211,9,0)</f>
        <v>9.7110000000000021</v>
      </c>
      <c r="EI112" s="12">
        <f t="array" ref="EI112">INDEX(EH:EH,MIN(IF(ISNUMBER(EH112:EH308),ROW(EH112:EH308),"")))</f>
        <v>9.7110000000000021</v>
      </c>
      <c r="EJ112" s="12">
        <f>IF('Données projet'!$A$192&gt;35,EJ111+EI112-ER111,IF(A112&lt;'Données projet'!$A$192,$EG$205^A112,IF(A112='Données projet'!$A$192,'Données projet'!$B$192,EJ111+EI112-ER111)))</f>
        <v>498.97000000000031</v>
      </c>
      <c r="EK112" s="17">
        <f>EJ112*VLOOKUP('Données projet'!$B$15,Paramètres!$A$1:$I$89,3,0)*VLOOKUP('Données projet'!$B$15,Paramètres!$A$1:$I$89,5,0)</f>
        <v>334.70907600000021</v>
      </c>
      <c r="EL112" s="13">
        <f t="shared" si="99"/>
        <v>78.405812208344784</v>
      </c>
      <c r="EM112" s="20">
        <f t="shared" si="73"/>
        <v>719.50843029620091</v>
      </c>
      <c r="EN112" s="59">
        <f t="shared" si="74"/>
        <v>1000.3021157479084</v>
      </c>
      <c r="EO112" s="59">
        <f ca="1">AVERAGE(OFFSET($EN$3,0,0,'Données projet'!$E$15+1,1))-AVERAGE(OFFSET($H$3,0,0,'Données projet'!$E$15+1,1))</f>
        <v>438.27475674276604</v>
      </c>
      <c r="EP112" s="59">
        <f t="shared" si="100"/>
        <v>235.97720136798864</v>
      </c>
      <c r="EQ112" s="15">
        <f>IF(ISNA(VLOOKUP(A112,'Données projet'!$A$191:$I$211,3,0)),0,VLOOKUP(A112,'Données projet'!$A$191:$I$211,3,0))</f>
        <v>10</v>
      </c>
      <c r="ER112" s="15">
        <f>IF(ISNA(VLOOKUP(A112,'Données projet'!$A$191:$I$211,4,0)),0,VLOOKUP(A112,'Données projet'!$A$191:$I$211,4,0))</f>
        <v>66.959999999999994</v>
      </c>
      <c r="ES112" s="16">
        <f>IF(ISNA(VLOOKUP(A112,'Données projet'!$A$191:$I$211,5,0)),0%,VLOOKUP(A112,'Données projet'!$A$191:$I$211,5,0)*VLOOKUP('Données projet'!$B$15,Paramètres!$A$1:$I$89,7,0))</f>
        <v>0.53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121.25640158136949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121.25640158136949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5.2499999999990337</v>
      </c>
      <c r="FF112" s="17">
        <f>FE112*VLOOKUP('Données projet'!$B$16,Paramètres!$A$1:$I$89,3,0)*VLOOKUP('Données projet'!$B$16,Paramètres!$A$1:$I$89,5,0)</f>
        <v>2.4569999999995478</v>
      </c>
      <c r="FG112" s="13">
        <f t="shared" si="101"/>
        <v>1.0197977774625564</v>
      </c>
      <c r="FH112" s="20">
        <f t="shared" si="76"/>
        <v>6.0554227957464972</v>
      </c>
      <c r="FI112" s="59">
        <f t="shared" si="77"/>
        <v>286.84910824745401</v>
      </c>
      <c r="FJ112" s="59">
        <f ca="1">AVERAGE(OFFSET($FI$3,0,0,'Données projet'!$E$16+1,1))-AVERAGE(OFFSET($H$3,0,0,'Données projet'!$E$16+1,1))</f>
        <v>329.49463758169588</v>
      </c>
      <c r="FK112" s="59">
        <f t="shared" si="102"/>
        <v>207.1447698203379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242.88912767914852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242.88912767914852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763.00000000000057</v>
      </c>
      <c r="GA112" s="17">
        <f>FZ112*VLOOKUP('Données projet'!$B$17,Paramètres!$A$1:$I$89,3,0)*VLOOKUP('Données projet'!$B$17,Paramètres!$A$1:$I$89,5,0)</f>
        <v>456.2740000000004</v>
      </c>
      <c r="GB112" s="13">
        <f t="shared" si="103"/>
        <v>103.09649786611838</v>
      </c>
      <c r="GC112" s="20">
        <f t="shared" si="79"/>
        <v>974.23695045015677</v>
      </c>
      <c r="GD112" s="59">
        <f t="shared" si="80"/>
        <v>1255.0306359018643</v>
      </c>
      <c r="GE112" s="59">
        <f ca="1">AVERAGE(OFFSET($GD$3,0,0,'Données projet'!$E$17+1,1))-AVERAGE(OFFSET($H$3,0,0,'Données projet'!$E$17+1,1))</f>
        <v>577.07444926285291</v>
      </c>
      <c r="GF112" s="59">
        <f t="shared" si="104"/>
        <v>501.3762209070419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59.924631528784815</v>
      </c>
      <c r="GM112" s="21">
        <f>EXP(-LN(2)/25)*GM111+(1-EXP(-LN(2)/25))/(LN(2)/25)*Calculateur!GH112*Calculateur!GJ112*VLOOKUP('Données projet'!$B$17,Paramètres!$A$1:$I$89,3,0)*0.475*44/12</f>
        <v>7.3192211579240478</v>
      </c>
      <c r="GN112" s="21">
        <f>EXP(-LN(2)/2)*GN111+(1-EXP(-LN(2)/2))/(LN(2)/2)*GH112*GK112*VLOOKUP('Données projet'!$B$17,Paramètres!$A$1:$I$89,3,0)*0.475*44/12</f>
        <v>1.0102903894688622E-13</v>
      </c>
      <c r="GO112" s="21">
        <f t="shared" si="81"/>
        <v>67.243852686708962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66.580096032283862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-5.6843418860808015E-14</v>
      </c>
      <c r="GV112" s="17">
        <f>GU112*VLOOKUP('Données projet'!$B$18,Paramètres!$A$1:$I$89,3,0)*VLOOKUP('Données projet'!$B$18,Paramètres!$A$1:$I$89,5,0)</f>
        <v>-3.0061073630349716E-14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212.75657290802619</v>
      </c>
      <c r="HA112" s="59">
        <f t="shared" si="106"/>
        <v>411.47446316045978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16.079996202777426</v>
      </c>
      <c r="HH112" s="21">
        <f>EXP(-LN(2)/25)*HH111+(1-EXP(-LN(2)/25))/(LN(2)/25)*Calculateur!HC112*Calculateur!HE112*VLOOKUP('Données projet'!$B$18,Paramètres!$A$1:$I$89,3,0)*0.475*44/12</f>
        <v>2.2277785324054098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18.307774735182836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4.60745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16.893983333333335</v>
      </c>
      <c r="H113" s="66">
        <f t="shared" si="56"/>
        <v>189.09073333333333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1136.245431643081</v>
      </c>
      <c r="S113" s="59">
        <f ca="1">AVERAGE(OFFSET($R$3,0,0,'Données projet'!$E$9+1,1))-AVERAGE(OFFSET($H$3,0,0,'Données projet'!$E$9+1,1))</f>
        <v>564.49981446852132</v>
      </c>
      <c r="T113" s="59">
        <f t="shared" si="88"/>
        <v>297.54722913785406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9.4029999999999916</v>
      </c>
      <c r="AI113" s="13">
        <f>IF('Données projet'!$A$62&gt;35,AI112+AH113-AQ112,IF(A113&lt;'Données projet'!$A$62,$AF$205^A113,IF(A113='Données projet'!$A$62,'Données projet'!$B$62,AI112+AH113-AQ112)))</f>
        <v>441.4130000000003</v>
      </c>
      <c r="AJ113" s="13">
        <f>AI113*VLOOKUP('Données projet'!$B$10,Paramètres!$A$1:$I$89,3,0)*VLOOKUP('Données projet'!$B$10,Paramètres!$A$1:$I$89,5,0)</f>
        <v>447.59278200000028</v>
      </c>
      <c r="AK113" s="13">
        <f t="shared" si="89"/>
        <v>101.36134141870193</v>
      </c>
      <c r="AL113" s="20">
        <f t="shared" si="58"/>
        <v>956.09509828757302</v>
      </c>
      <c r="AM113" s="59">
        <f t="shared" si="59"/>
        <v>1237.1063185955738</v>
      </c>
      <c r="AN113" s="59">
        <f ca="1">AVERAGE(OFFSET($AM$3,0,0,'Données projet'!$E$10+1,1))-AVERAGE(OFFSET($H$3,0,0,'Données projet'!$E$10+1,1))</f>
        <v>623.16549611107564</v>
      </c>
      <c r="AO113" s="59">
        <f t="shared" si="90"/>
        <v>326.15178903425885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145.79455543122572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145.79455543122572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266.99999999999983</v>
      </c>
      <c r="BE113" s="13">
        <f>BD113*VLOOKUP('Données projet'!$B$11,Paramètres!$A$1:$I$89,3,0)*VLOOKUP('Données projet'!$B$11,Paramètres!$A$1:$I$89,5,0)</f>
        <v>216.59039999999987</v>
      </c>
      <c r="BF113" s="13">
        <f t="shared" si="91"/>
        <v>53.373153688190904</v>
      </c>
      <c r="BG113" s="20">
        <f t="shared" si="61"/>
        <v>470.18652267359886</v>
      </c>
      <c r="BH113" s="59">
        <f t="shared" si="62"/>
        <v>751.19774298159973</v>
      </c>
      <c r="BI113" s="59">
        <f ca="1">AVERAGE(OFFSET($BH$3,0,0,'Données projet'!$E$11+1,1))-AVERAGE(OFFSET($H$3,0,0,'Données projet'!$E$11+1,1))</f>
        <v>326.2912419133811</v>
      </c>
      <c r="BJ113" s="59">
        <f t="shared" si="92"/>
        <v>315.07976787459938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24.421078836205673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24.421078836205673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243</v>
      </c>
      <c r="BZ113" s="13">
        <f>BY113*VLOOKUP('Données projet'!$B$12,Paramètres!$A$1:$I$89,3,0)*VLOOKUP('Données projet'!$B$12,Paramètres!$A$1:$I$89,5,0)</f>
        <v>155.4228</v>
      </c>
      <c r="CA113" s="13">
        <f t="shared" si="93"/>
        <v>39.808377687614154</v>
      </c>
      <c r="CB113" s="20">
        <f t="shared" si="64"/>
        <v>340.02763447259463</v>
      </c>
      <c r="CC113" s="59">
        <f t="shared" si="65"/>
        <v>621.03885478059556</v>
      </c>
      <c r="CD113" s="59">
        <f ca="1">AVERAGE(OFFSET($CC$3,0,0,'Données projet'!$E$12+1,1))-AVERAGE(OFFSET($H$3,0,0,'Données projet'!$E$12+1,1))</f>
        <v>297.03992602744393</v>
      </c>
      <c r="CE113" s="59">
        <f t="shared" si="94"/>
        <v>265.2588848922893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33.71712621522633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33.71712621522633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367.99999999999972</v>
      </c>
      <c r="CU113" s="17">
        <f>CT113*VLOOKUP('Données projet'!$B$13,Paramètres!$A$1:$I$89,3,0)*VLOOKUP('Données projet'!$B$13,Paramètres!$A$1:$I$89,5,0)</f>
        <v>292.78079999999977</v>
      </c>
      <c r="CV113" s="13">
        <f t="shared" si="95"/>
        <v>69.660903052386217</v>
      </c>
      <c r="CW113" s="20">
        <f t="shared" si="67"/>
        <v>631.25263281623893</v>
      </c>
      <c r="CX113" s="59">
        <f t="shared" si="68"/>
        <v>912.26385312423986</v>
      </c>
      <c r="CY113" s="59">
        <f ca="1">AVERAGE(OFFSET($CX$3,0,0,'Données projet'!$E$13+1,1))-AVERAGE(OFFSET($H$3,0,0,'Données projet'!$E$13+1,1))</f>
        <v>427.42918901489531</v>
      </c>
      <c r="CZ113" s="59">
        <f t="shared" si="96"/>
        <v>410.68601510655412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34.024002894385163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34.024002894385163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9.4029999999999916</v>
      </c>
      <c r="DO113" s="12">
        <f>IF('Données projet'!$A$166&gt;35,DO112+DN113-DW112,IF(A113&lt;'Données projet'!$A$166,$DL$205^A113,IF(A113='Données projet'!$A$166,'Données projet'!$B$166,DO112+DN113-DW112)))</f>
        <v>441.4130000000003</v>
      </c>
      <c r="DP113" s="17">
        <f>DO113*VLOOKUP('Données projet'!$B$14,Paramètres!$A$1:$I$89,3,0)*VLOOKUP('Données projet'!$B$14,Paramètres!$A$1:$I$89,5,0)</f>
        <v>426.93465360000027</v>
      </c>
      <c r="DQ113" s="13">
        <f t="shared" si="97"/>
        <v>97.216370792246551</v>
      </c>
      <c r="DR113" s="20">
        <f t="shared" si="70"/>
        <v>912.89636748316332</v>
      </c>
      <c r="DS113" s="59">
        <f t="shared" si="71"/>
        <v>1193.9075877911641</v>
      </c>
      <c r="DT113" s="59">
        <f ca="1">AVERAGE(OFFSET($DS$3,0,0,'Données projet'!$E$14+1,1))-AVERAGE(OFFSET($H$3,0,0,'Données projet'!$E$14+1,1))</f>
        <v>598.03945725240396</v>
      </c>
      <c r="DU113" s="59">
        <f t="shared" si="98"/>
        <v>313.9014686755695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139.06557594978452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139.06557594978452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9.4029999999999916</v>
      </c>
      <c r="EJ113" s="12">
        <f>IF('Données projet'!$A$192&gt;35,EJ112+EI113-ER112,IF(A113&lt;'Données projet'!$A$192,$EG$205^A113,IF(A113='Données projet'!$A$192,'Données projet'!$B$192,EJ112+EI113-ER112)))</f>
        <v>441.4130000000003</v>
      </c>
      <c r="EK113" s="17">
        <f>EJ113*VLOOKUP('Données projet'!$B$15,Paramètres!$A$1:$I$89,3,0)*VLOOKUP('Données projet'!$B$15,Paramètres!$A$1:$I$89,5,0)</f>
        <v>296.09984040000018</v>
      </c>
      <c r="EL113" s="13">
        <f t="shared" si="99"/>
        <v>70.358218563983428</v>
      </c>
      <c r="EM113" s="20">
        <f t="shared" si="73"/>
        <v>638.24778602893809</v>
      </c>
      <c r="EN113" s="59">
        <f t="shared" si="74"/>
        <v>919.25900633693891</v>
      </c>
      <c r="EO113" s="59">
        <f ca="1">AVERAGE(OFFSET($EN$3,0,0,'Données projet'!$E$15+1,1))-AVERAGE(OFFSET($H$3,0,0,'Données projet'!$E$15+1,1))</f>
        <v>438.27475674276604</v>
      </c>
      <c r="EP113" s="59">
        <f t="shared" si="100"/>
        <v>235.97720136798864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118.87863750546094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118.87863750546094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5.2499999999990337</v>
      </c>
      <c r="FF113" s="17">
        <f>FE113*VLOOKUP('Données projet'!$B$16,Paramètres!$A$1:$I$89,3,0)*VLOOKUP('Données projet'!$B$16,Paramètres!$A$1:$I$89,5,0)</f>
        <v>2.4569999999995478</v>
      </c>
      <c r="FG113" s="13">
        <f t="shared" si="101"/>
        <v>1.0197977774625564</v>
      </c>
      <c r="FH113" s="20">
        <f t="shared" si="76"/>
        <v>6.0554227957464972</v>
      </c>
      <c r="FI113" s="59">
        <f t="shared" si="77"/>
        <v>287.06664310374737</v>
      </c>
      <c r="FJ113" s="59">
        <f ca="1">AVERAGE(OFFSET($FI$3,0,0,'Données projet'!$E$16+1,1))-AVERAGE(OFFSET($H$3,0,0,'Données projet'!$E$16+1,1))</f>
        <v>329.49463758169588</v>
      </c>
      <c r="FK113" s="59">
        <f t="shared" si="102"/>
        <v>207.1447698203379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238.12622003309991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238.12622003309991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763.00000000000057</v>
      </c>
      <c r="GA113" s="17">
        <f>FZ113*VLOOKUP('Données projet'!$B$17,Paramètres!$A$1:$I$89,3,0)*VLOOKUP('Données projet'!$B$17,Paramètres!$A$1:$I$89,5,0)</f>
        <v>456.2740000000004</v>
      </c>
      <c r="GB113" s="13">
        <f t="shared" si="103"/>
        <v>103.09649786611838</v>
      </c>
      <c r="GC113" s="20">
        <f t="shared" si="79"/>
        <v>974.23695045015677</v>
      </c>
      <c r="GD113" s="59">
        <f t="shared" si="80"/>
        <v>1255.2481707581576</v>
      </c>
      <c r="GE113" s="59">
        <f ca="1">AVERAGE(OFFSET($GD$3,0,0,'Données projet'!$E$17+1,1))-AVERAGE(OFFSET($H$3,0,0,'Données projet'!$E$17+1,1))</f>
        <v>577.07444926285291</v>
      </c>
      <c r="GF113" s="59">
        <f t="shared" si="104"/>
        <v>501.3762209070419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58.749546054921524</v>
      </c>
      <c r="GM113" s="21">
        <f>EXP(-LN(2)/25)*GM112+(1-EXP(-LN(2)/25))/(LN(2)/25)*Calculateur!GH113*Calculateur!GJ113*VLOOKUP('Données projet'!$B$17,Paramètres!$A$1:$I$89,3,0)*0.475*44/12</f>
        <v>7.1190766704595028</v>
      </c>
      <c r="GN113" s="21">
        <f>EXP(-LN(2)/2)*GN112+(1-EXP(-LN(2)/2))/(LN(2)/2)*GH113*GK113*VLOOKUP('Données projet'!$B$17,Paramètres!$A$1:$I$89,3,0)*0.475*44/12</f>
        <v>7.1438318536103064E-14</v>
      </c>
      <c r="GO113" s="21">
        <f t="shared" si="81"/>
        <v>65.868622725381101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66.63942372036388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-5.6843418860808015E-14</v>
      </c>
      <c r="GV113" s="17">
        <f>GU113*VLOOKUP('Données projet'!$B$18,Paramètres!$A$1:$I$89,3,0)*VLOOKUP('Données projet'!$B$18,Paramètres!$A$1:$I$89,5,0)</f>
        <v>-3.0061073630349716E-14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212.75657290802619</v>
      </c>
      <c r="HA113" s="59">
        <f t="shared" si="106"/>
        <v>411.47446316045978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15.764677285070203</v>
      </c>
      <c r="HH113" s="21">
        <f>EXP(-LN(2)/25)*HH112+(1-EXP(-LN(2)/25))/(LN(2)/25)*Calculateur!HC113*Calculateur!HE113*VLOOKUP('Données projet'!$B$18,Paramètres!$A$1:$I$89,3,0)*0.475*44/12</f>
        <v>2.1668598112830026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17.931537096353207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4.60745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16.893983333333335</v>
      </c>
      <c r="H114" s="66">
        <f t="shared" si="56"/>
        <v>189.09073333333333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1154.2779256581325</v>
      </c>
      <c r="S114" s="59">
        <f ca="1">AVERAGE(OFFSET($R$3,0,0,'Données projet'!$E$9+1,1))-AVERAGE(OFFSET($H$3,0,0,'Données projet'!$E$9+1,1))</f>
        <v>564.49981446852132</v>
      </c>
      <c r="T114" s="59">
        <f t="shared" si="88"/>
        <v>297.54722913785406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9.4029999999999916</v>
      </c>
      <c r="AI114" s="13">
        <f>IF('Données projet'!$A$62&gt;35,AI113+AH114-AQ113,IF(A114&lt;'Données projet'!$A$62,$AF$205^A114,IF(A114='Données projet'!$A$62,'Données projet'!$B$62,AI113+AH114-AQ113)))</f>
        <v>450.81600000000026</v>
      </c>
      <c r="AJ114" s="13">
        <f>AI114*VLOOKUP('Données projet'!$B$10,Paramètres!$A$1:$I$89,3,0)*VLOOKUP('Données projet'!$B$10,Paramètres!$A$1:$I$89,5,0)</f>
        <v>457.12742400000025</v>
      </c>
      <c r="AK114" s="13">
        <f t="shared" si="89"/>
        <v>103.26686723070357</v>
      </c>
      <c r="AL114" s="20">
        <f t="shared" si="58"/>
        <v>976.02005722680917</v>
      </c>
      <c r="AM114" s="59">
        <f t="shared" si="59"/>
        <v>1257.2450386476819</v>
      </c>
      <c r="AN114" s="59">
        <f ca="1">AVERAGE(OFFSET($AM$3,0,0,'Données projet'!$E$10+1,1))-AVERAGE(OFFSET($H$3,0,0,'Données projet'!$E$10+1,1))</f>
        <v>623.16549611107564</v>
      </c>
      <c r="AO114" s="59">
        <f t="shared" si="90"/>
        <v>326.15178903425885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142.9356131251175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142.9356131251175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266.99999999999983</v>
      </c>
      <c r="BE114" s="13">
        <f>BD114*VLOOKUP('Données projet'!$B$11,Paramètres!$A$1:$I$89,3,0)*VLOOKUP('Données projet'!$B$11,Paramètres!$A$1:$I$89,5,0)</f>
        <v>216.59039999999987</v>
      </c>
      <c r="BF114" s="13">
        <f t="shared" si="91"/>
        <v>53.373153688190904</v>
      </c>
      <c r="BG114" s="20">
        <f t="shared" si="61"/>
        <v>470.18652267359886</v>
      </c>
      <c r="BH114" s="59">
        <f t="shared" si="62"/>
        <v>751.41150409447152</v>
      </c>
      <c r="BI114" s="59">
        <f ca="1">AVERAGE(OFFSET($BH$3,0,0,'Données projet'!$E$11+1,1))-AVERAGE(OFFSET($H$3,0,0,'Données projet'!$E$11+1,1))</f>
        <v>326.2912419133811</v>
      </c>
      <c r="BJ114" s="59">
        <f t="shared" si="92"/>
        <v>315.07976787459938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23.942196375614973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23.942196375614973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243</v>
      </c>
      <c r="BZ114" s="13">
        <f>BY114*VLOOKUP('Données projet'!$B$12,Paramètres!$A$1:$I$89,3,0)*VLOOKUP('Données projet'!$B$12,Paramètres!$A$1:$I$89,5,0)</f>
        <v>155.4228</v>
      </c>
      <c r="CA114" s="13">
        <f t="shared" si="93"/>
        <v>39.808377687614154</v>
      </c>
      <c r="CB114" s="20">
        <f t="shared" si="64"/>
        <v>340.02763447259463</v>
      </c>
      <c r="CC114" s="59">
        <f t="shared" si="65"/>
        <v>621.25261589346724</v>
      </c>
      <c r="CD114" s="59">
        <f ca="1">AVERAGE(OFFSET($CC$3,0,0,'Données projet'!$E$12+1,1))-AVERAGE(OFFSET($H$3,0,0,'Données projet'!$E$12+1,1))</f>
        <v>297.03992602744393</v>
      </c>
      <c r="CE114" s="59">
        <f t="shared" si="94"/>
        <v>265.2588848922893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33.055953935562066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33.055953935562066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367.99999999999972</v>
      </c>
      <c r="CU114" s="17">
        <f>CT114*VLOOKUP('Données projet'!$B$13,Paramètres!$A$1:$I$89,3,0)*VLOOKUP('Données projet'!$B$13,Paramètres!$A$1:$I$89,5,0)</f>
        <v>292.78079999999977</v>
      </c>
      <c r="CV114" s="13">
        <f t="shared" si="95"/>
        <v>69.660903052386217</v>
      </c>
      <c r="CW114" s="20">
        <f t="shared" si="67"/>
        <v>631.25263281623893</v>
      </c>
      <c r="CX114" s="59">
        <f t="shared" si="68"/>
        <v>912.47761423711154</v>
      </c>
      <c r="CY114" s="59">
        <f ca="1">AVERAGE(OFFSET($CX$3,0,0,'Données projet'!$E$13+1,1))-AVERAGE(OFFSET($H$3,0,0,'Données projet'!$E$13+1,1))</f>
        <v>427.42918901489531</v>
      </c>
      <c r="CZ114" s="59">
        <f t="shared" si="96"/>
        <v>410.68601510655412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33.356812950218888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33.356812950218888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9.4029999999999916</v>
      </c>
      <c r="DO114" s="12">
        <f>IF('Données projet'!$A$166&gt;35,DO113+DN114-DW113,IF(A114&lt;'Données projet'!$A$166,$DL$205^A114,IF(A114='Données projet'!$A$166,'Données projet'!$B$166,DO113+DN114-DW113)))</f>
        <v>450.81600000000026</v>
      </c>
      <c r="DP114" s="17">
        <f>DO114*VLOOKUP('Données projet'!$B$14,Paramètres!$A$1:$I$89,3,0)*VLOOKUP('Données projet'!$B$14,Paramètres!$A$1:$I$89,5,0)</f>
        <v>436.0292352000003</v>
      </c>
      <c r="DQ114" s="13">
        <f t="shared" si="97"/>
        <v>99.043973912932643</v>
      </c>
      <c r="DR114" s="20">
        <f t="shared" si="70"/>
        <v>931.91917253835834</v>
      </c>
      <c r="DS114" s="59">
        <f t="shared" si="71"/>
        <v>1213.1441539592311</v>
      </c>
      <c r="DT114" s="59">
        <f ca="1">AVERAGE(OFFSET($DS$3,0,0,'Données projet'!$E$14+1,1))-AVERAGE(OFFSET($H$3,0,0,'Données projet'!$E$14+1,1))</f>
        <v>598.03945725240396</v>
      </c>
      <c r="DU114" s="59">
        <f t="shared" si="98"/>
        <v>313.9014686755695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136.33858482703513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136.33858482703513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9.4029999999999916</v>
      </c>
      <c r="EJ114" s="12">
        <f>IF('Données projet'!$A$192&gt;35,EJ113+EI114-ER113,IF(A114&lt;'Données projet'!$A$192,$EG$205^A114,IF(A114='Données projet'!$A$192,'Données projet'!$B$192,EJ113+EI114-ER113)))</f>
        <v>450.81600000000026</v>
      </c>
      <c r="EK114" s="17">
        <f>EJ114*VLOOKUP('Données projet'!$B$15,Paramètres!$A$1:$I$89,3,0)*VLOOKUP('Données projet'!$B$15,Paramètres!$A$1:$I$89,5,0)</f>
        <v>302.40737280000019</v>
      </c>
      <c r="EL114" s="13">
        <f t="shared" si="99"/>
        <v>71.680906283814451</v>
      </c>
      <c r="EM114" s="20">
        <f t="shared" si="73"/>
        <v>651.53708607097724</v>
      </c>
      <c r="EN114" s="59">
        <f t="shared" si="74"/>
        <v>932.76206749184985</v>
      </c>
      <c r="EO114" s="59">
        <f ca="1">AVERAGE(OFFSET($EN$3,0,0,'Données projet'!$E$15+1,1))-AVERAGE(OFFSET($H$3,0,0,'Données projet'!$E$15+1,1))</f>
        <v>438.27475674276604</v>
      </c>
      <c r="EP114" s="59">
        <f t="shared" si="100"/>
        <v>235.97720136798864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116.54749993278809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116.54749993278809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5.2499999999990337</v>
      </c>
      <c r="FF114" s="17">
        <f>FE114*VLOOKUP('Données projet'!$B$16,Paramètres!$A$1:$I$89,3,0)*VLOOKUP('Données projet'!$B$16,Paramètres!$A$1:$I$89,5,0)</f>
        <v>2.4569999999995478</v>
      </c>
      <c r="FG114" s="13">
        <f t="shared" si="101"/>
        <v>1.0197977774625564</v>
      </c>
      <c r="FH114" s="20">
        <f t="shared" si="76"/>
        <v>6.0554227957464972</v>
      </c>
      <c r="FI114" s="59">
        <f t="shared" si="77"/>
        <v>287.28040421661916</v>
      </c>
      <c r="FJ114" s="59">
        <f ca="1">AVERAGE(OFFSET($FI$3,0,0,'Données projet'!$E$16+1,1))-AVERAGE(OFFSET($H$3,0,0,'Données projet'!$E$16+1,1))</f>
        <v>329.49463758169588</v>
      </c>
      <c r="FK114" s="59">
        <f t="shared" si="102"/>
        <v>207.1447698203379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233.45671010090354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233.45671010090354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763.00000000000057</v>
      </c>
      <c r="GA114" s="17">
        <f>FZ114*VLOOKUP('Données projet'!$B$17,Paramètres!$A$1:$I$89,3,0)*VLOOKUP('Données projet'!$B$17,Paramètres!$A$1:$I$89,5,0)</f>
        <v>456.2740000000004</v>
      </c>
      <c r="GB114" s="13">
        <f t="shared" si="103"/>
        <v>103.09649786611838</v>
      </c>
      <c r="GC114" s="20">
        <f t="shared" si="79"/>
        <v>974.23695045015677</v>
      </c>
      <c r="GD114" s="59">
        <f t="shared" si="80"/>
        <v>1255.4619318710295</v>
      </c>
      <c r="GE114" s="59">
        <f ca="1">AVERAGE(OFFSET($GD$3,0,0,'Données projet'!$E$17+1,1))-AVERAGE(OFFSET($H$3,0,0,'Données projet'!$E$17+1,1))</f>
        <v>577.07444926285291</v>
      </c>
      <c r="GF114" s="59">
        <f t="shared" si="104"/>
        <v>501.3762209070419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57.597503290469326</v>
      </c>
      <c r="GM114" s="21">
        <f>EXP(-LN(2)/25)*GM113+(1-EXP(-LN(2)/25))/(LN(2)/25)*Calculateur!GH114*Calculateur!GJ114*VLOOKUP('Données projet'!$B$17,Paramètres!$A$1:$I$89,3,0)*0.475*44/12</f>
        <v>6.9244051445298167</v>
      </c>
      <c r="GN114" s="21">
        <f>EXP(-LN(2)/2)*GN113+(1-EXP(-LN(2)/2))/(LN(2)/2)*GH114*GK114*VLOOKUP('Données projet'!$B$17,Paramètres!$A$1:$I$89,3,0)*0.475*44/12</f>
        <v>5.0514519473443112E-14</v>
      </c>
      <c r="GO114" s="21">
        <f t="shared" si="81"/>
        <v>64.521908434999204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66.697722205692543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-5.6843418860808015E-14</v>
      </c>
      <c r="GV114" s="17">
        <f>GU114*VLOOKUP('Données projet'!$B$18,Paramètres!$A$1:$I$89,3,0)*VLOOKUP('Données projet'!$B$18,Paramètres!$A$1:$I$89,5,0)</f>
        <v>-3.0061073630349716E-14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212.75657290802619</v>
      </c>
      <c r="HA114" s="59">
        <f t="shared" si="106"/>
        <v>411.47446316045978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15.455541579013667</v>
      </c>
      <c r="HH114" s="21">
        <f>EXP(-LN(2)/25)*HH113+(1-EXP(-LN(2)/25))/(LN(2)/25)*Calculateur!HC114*Calculateur!HE114*VLOOKUP('Données projet'!$B$18,Paramètres!$A$1:$I$89,3,0)*0.475*44/12</f>
        <v>2.107606915793264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17.563148494806931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4.60745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16.893983333333335</v>
      </c>
      <c r="H115" s="66">
        <f t="shared" si="56"/>
        <v>189.09073333333333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1172.2994339178124</v>
      </c>
      <c r="S115" s="59">
        <f ca="1">AVERAGE(OFFSET($R$3,0,0,'Données projet'!$E$9+1,1))-AVERAGE(OFFSET($H$3,0,0,'Données projet'!$E$9+1,1))</f>
        <v>564.49981446852132</v>
      </c>
      <c r="T115" s="59">
        <f t="shared" si="88"/>
        <v>297.54722913785406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9.4029999999999916</v>
      </c>
      <c r="AI115" s="13">
        <f>IF('Données projet'!$A$62&gt;35,AI114+AH115-AQ114,IF(A115&lt;'Données projet'!$A$62,$AF$205^A115,IF(A115='Données projet'!$A$62,'Données projet'!$B$62,AI114+AH115-AQ114)))</f>
        <v>460.21900000000028</v>
      </c>
      <c r="AJ115" s="13">
        <f>AI115*VLOOKUP('Données projet'!$B$10,Paramètres!$A$1:$I$89,3,0)*VLOOKUP('Données projet'!$B$10,Paramètres!$A$1:$I$89,5,0)</f>
        <v>466.66206600000032</v>
      </c>
      <c r="AK115" s="13">
        <f t="shared" si="89"/>
        <v>105.1677719878311</v>
      </c>
      <c r="AL115" s="20">
        <f t="shared" si="58"/>
        <v>995.93696782880636</v>
      </c>
      <c r="AM115" s="59">
        <f t="shared" si="59"/>
        <v>1277.3720020851408</v>
      </c>
      <c r="AN115" s="59">
        <f ca="1">AVERAGE(OFFSET($AM$3,0,0,'Données projet'!$E$10+1,1))-AVERAGE(OFFSET($H$3,0,0,'Données projet'!$E$10+1,1))</f>
        <v>623.16549611107564</v>
      </c>
      <c r="AO115" s="59">
        <f t="shared" si="90"/>
        <v>326.15178903425885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140.13273293384944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140.13273293384944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266.99999999999983</v>
      </c>
      <c r="BE115" s="13">
        <f>BD115*VLOOKUP('Données projet'!$B$11,Paramètres!$A$1:$I$89,3,0)*VLOOKUP('Données projet'!$B$11,Paramètres!$A$1:$I$89,5,0)</f>
        <v>216.59039999999987</v>
      </c>
      <c r="BF115" s="13">
        <f t="shared" si="91"/>
        <v>53.373153688190904</v>
      </c>
      <c r="BG115" s="20">
        <f t="shared" si="61"/>
        <v>470.18652267359886</v>
      </c>
      <c r="BH115" s="59">
        <f t="shared" si="62"/>
        <v>751.62155692993338</v>
      </c>
      <c r="BI115" s="59">
        <f ca="1">AVERAGE(OFFSET($BH$3,0,0,'Données projet'!$E$11+1,1))-AVERAGE(OFFSET($H$3,0,0,'Données projet'!$E$11+1,1))</f>
        <v>326.2912419133811</v>
      </c>
      <c r="BJ115" s="59">
        <f t="shared" si="92"/>
        <v>315.07976787459938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23.472704507986997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23.472704507986997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243</v>
      </c>
      <c r="BZ115" s="13">
        <f>BY115*VLOOKUP('Données projet'!$B$12,Paramètres!$A$1:$I$89,3,0)*VLOOKUP('Données projet'!$B$12,Paramètres!$A$1:$I$89,5,0)</f>
        <v>155.4228</v>
      </c>
      <c r="CA115" s="13">
        <f t="shared" si="93"/>
        <v>39.808377687614154</v>
      </c>
      <c r="CB115" s="20">
        <f t="shared" si="64"/>
        <v>340.02763447259463</v>
      </c>
      <c r="CC115" s="59">
        <f t="shared" si="65"/>
        <v>621.46266872892909</v>
      </c>
      <c r="CD115" s="59">
        <f ca="1">AVERAGE(OFFSET($CC$3,0,0,'Données projet'!$E$12+1,1))-AVERAGE(OFFSET($H$3,0,0,'Données projet'!$E$12+1,1))</f>
        <v>297.03992602744393</v>
      </c>
      <c r="CE115" s="59">
        <f t="shared" si="94"/>
        <v>265.2588848922893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32.40774684102675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32.40774684102675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367.99999999999972</v>
      </c>
      <c r="CU115" s="17">
        <f>CT115*VLOOKUP('Données projet'!$B$13,Paramètres!$A$1:$I$89,3,0)*VLOOKUP('Données projet'!$B$13,Paramètres!$A$1:$I$89,5,0)</f>
        <v>292.78079999999977</v>
      </c>
      <c r="CV115" s="13">
        <f t="shared" si="95"/>
        <v>69.660903052386217</v>
      </c>
      <c r="CW115" s="20">
        <f t="shared" si="67"/>
        <v>631.25263281623893</v>
      </c>
      <c r="CX115" s="59">
        <f t="shared" si="68"/>
        <v>912.68766707257339</v>
      </c>
      <c r="CY115" s="59">
        <f ca="1">AVERAGE(OFFSET($CX$3,0,0,'Données projet'!$E$13+1,1))-AVERAGE(OFFSET($H$3,0,0,'Données projet'!$E$13+1,1))</f>
        <v>427.42918901489531</v>
      </c>
      <c r="CZ115" s="59">
        <f t="shared" si="96"/>
        <v>410.68601510655412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32.702706193912029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32.702706193912029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9.4029999999999916</v>
      </c>
      <c r="DO115" s="12">
        <f>IF('Données projet'!$A$166&gt;35,DO114+DN115-DW114,IF(A115&lt;'Données projet'!$A$166,$DL$205^A115,IF(A115='Données projet'!$A$166,'Données projet'!$B$166,DO114+DN115-DW114)))</f>
        <v>460.21900000000028</v>
      </c>
      <c r="DP115" s="17">
        <f>DO115*VLOOKUP('Données projet'!$B$14,Paramètres!$A$1:$I$89,3,0)*VLOOKUP('Données projet'!$B$14,Paramètres!$A$1:$I$89,5,0)</f>
        <v>445.12381680000027</v>
      </c>
      <c r="DQ115" s="13">
        <f t="shared" si="97"/>
        <v>100.86714494760049</v>
      </c>
      <c r="DR115" s="20">
        <f t="shared" si="70"/>
        <v>950.93425837707116</v>
      </c>
      <c r="DS115" s="59">
        <f t="shared" si="71"/>
        <v>1232.3692926334056</v>
      </c>
      <c r="DT115" s="59">
        <f ca="1">AVERAGE(OFFSET($DS$3,0,0,'Données projet'!$E$14+1,1))-AVERAGE(OFFSET($H$3,0,0,'Données projet'!$E$14+1,1))</f>
        <v>598.03945725240396</v>
      </c>
      <c r="DU115" s="59">
        <f t="shared" si="98"/>
        <v>313.9014686755695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133.66506833690252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133.66506833690252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9.4029999999999916</v>
      </c>
      <c r="EJ115" s="12">
        <f>IF('Données projet'!$A$192&gt;35,EJ114+EI115-ER114,IF(A115&lt;'Données projet'!$A$192,$EG$205^A115,IF(A115='Données projet'!$A$192,'Données projet'!$B$192,EJ114+EI115-ER114)))</f>
        <v>460.21900000000028</v>
      </c>
      <c r="EK115" s="17">
        <f>EJ115*VLOOKUP('Données projet'!$B$15,Paramètres!$A$1:$I$89,3,0)*VLOOKUP('Données projet'!$B$15,Paramètres!$A$1:$I$89,5,0)</f>
        <v>308.7149052000002</v>
      </c>
      <c r="EL115" s="13">
        <f t="shared" si="99"/>
        <v>73.000386378487093</v>
      </c>
      <c r="EM115" s="20">
        <f t="shared" si="73"/>
        <v>664.82079949919864</v>
      </c>
      <c r="EN115" s="59">
        <f t="shared" si="74"/>
        <v>946.2558337555331</v>
      </c>
      <c r="EO115" s="59">
        <f ca="1">AVERAGE(OFFSET($EN$3,0,0,'Données projet'!$E$15+1,1))-AVERAGE(OFFSET($H$3,0,0,'Données projet'!$E$15+1,1))</f>
        <v>438.27475674276604</v>
      </c>
      <c r="EP115" s="59">
        <f t="shared" si="100"/>
        <v>235.97720136798864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114.26207454606181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114.26207454606181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5.2499999999990337</v>
      </c>
      <c r="FF115" s="17">
        <f>FE115*VLOOKUP('Données projet'!$B$16,Paramètres!$A$1:$I$89,3,0)*VLOOKUP('Données projet'!$B$16,Paramètres!$A$1:$I$89,5,0)</f>
        <v>2.4569999999995478</v>
      </c>
      <c r="FG115" s="13">
        <f t="shared" si="101"/>
        <v>1.0197977774625564</v>
      </c>
      <c r="FH115" s="20">
        <f t="shared" si="76"/>
        <v>6.0554227957464972</v>
      </c>
      <c r="FI115" s="59">
        <f t="shared" si="77"/>
        <v>287.49045705208096</v>
      </c>
      <c r="FJ115" s="59">
        <f ca="1">AVERAGE(OFFSET($FI$3,0,0,'Données projet'!$E$16+1,1))-AVERAGE(OFFSET($H$3,0,0,'Données projet'!$E$16+1,1))</f>
        <v>329.49463758169588</v>
      </c>
      <c r="FK115" s="59">
        <f t="shared" si="102"/>
        <v>207.1447698203379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228.87876641035768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228.87876641035768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763.00000000000057</v>
      </c>
      <c r="GA115" s="17">
        <f>FZ115*VLOOKUP('Données projet'!$B$17,Paramètres!$A$1:$I$89,3,0)*VLOOKUP('Données projet'!$B$17,Paramètres!$A$1:$I$89,5,0)</f>
        <v>456.2740000000004</v>
      </c>
      <c r="GB115" s="13">
        <f t="shared" si="103"/>
        <v>103.09649786611838</v>
      </c>
      <c r="GC115" s="20">
        <f t="shared" si="79"/>
        <v>974.23695045015677</v>
      </c>
      <c r="GD115" s="59">
        <f t="shared" si="80"/>
        <v>1255.6719847064912</v>
      </c>
      <c r="GE115" s="59">
        <f ca="1">AVERAGE(OFFSET($GD$3,0,0,'Données projet'!$E$17+1,1))-AVERAGE(OFFSET($H$3,0,0,'Données projet'!$E$17+1,1))</f>
        <v>577.07444926285291</v>
      </c>
      <c r="GF115" s="59">
        <f t="shared" si="104"/>
        <v>501.3762209070419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56.468051381951334</v>
      </c>
      <c r="GM115" s="21">
        <f>EXP(-LN(2)/25)*GM114+(1-EXP(-LN(2)/25))/(LN(2)/25)*Calculateur!GH115*Calculateur!GJ115*VLOOKUP('Données projet'!$B$17,Paramètres!$A$1:$I$89,3,0)*0.475*44/12</f>
        <v>6.7350569217140084</v>
      </c>
      <c r="GN115" s="21">
        <f>EXP(-LN(2)/2)*GN114+(1-EXP(-LN(2)/2))/(LN(2)/2)*GH115*GK115*VLOOKUP('Données projet'!$B$17,Paramètres!$A$1:$I$89,3,0)*0.475*44/12</f>
        <v>3.5719159268051532E-14</v>
      </c>
      <c r="GO115" s="21">
        <f t="shared" si="81"/>
        <v>63.203108303665381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66.755009342636669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-5.6843418860808015E-14</v>
      </c>
      <c r="GV115" s="17">
        <f>GU115*VLOOKUP('Données projet'!$B$18,Paramètres!$A$1:$I$89,3,0)*VLOOKUP('Données projet'!$B$18,Paramètres!$A$1:$I$89,5,0)</f>
        <v>-3.0061073630349716E-14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212.75657290802619</v>
      </c>
      <c r="HA115" s="59">
        <f t="shared" si="106"/>
        <v>411.47446316045978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15.152467835598738</v>
      </c>
      <c r="HH115" s="21">
        <f>EXP(-LN(2)/25)*HH114+(1-EXP(-LN(2)/25))/(LN(2)/25)*Calculateur!HC115*Calculateur!HE115*VLOOKUP('Données projet'!$B$18,Paramètres!$A$1:$I$89,3,0)*0.475*44/12</f>
        <v>2.0499742938466663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17.202442129445405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4.60745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16.893983333333335</v>
      </c>
      <c r="H116" s="66">
        <f t="shared" si="56"/>
        <v>189.09073333333333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1190.310186576407</v>
      </c>
      <c r="S116" s="59">
        <f ca="1">AVERAGE(OFFSET($R$3,0,0,'Données projet'!$E$9+1,1))-AVERAGE(OFFSET($H$3,0,0,'Données projet'!$E$9+1,1))</f>
        <v>564.49981446852132</v>
      </c>
      <c r="T116" s="59">
        <f t="shared" si="88"/>
        <v>297.54722913785406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9.4029999999999916</v>
      </c>
      <c r="AI116" s="13">
        <f>IF('Données projet'!$A$62&gt;35,AI115+AH116-AQ115,IF(A116&lt;'Données projet'!$A$62,$AF$205^A116,IF(A116='Données projet'!$A$62,'Données projet'!$B$62,AI115+AH116-AQ115)))</f>
        <v>469.6220000000003</v>
      </c>
      <c r="AJ116" s="13">
        <f>AI116*VLOOKUP('Données projet'!$B$10,Paramètres!$A$1:$I$89,3,0)*VLOOKUP('Données projet'!$B$10,Paramètres!$A$1:$I$89,5,0)</f>
        <v>476.1967080000004</v>
      </c>
      <c r="AK116" s="13">
        <f t="shared" si="89"/>
        <v>107.06416098502906</v>
      </c>
      <c r="AL116" s="20">
        <f t="shared" si="58"/>
        <v>1015.8460134822595</v>
      </c>
      <c r="AM116" s="59">
        <f t="shared" si="59"/>
        <v>1297.4874566269682</v>
      </c>
      <c r="AN116" s="59">
        <f ca="1">AVERAGE(OFFSET($AM$3,0,0,'Données projet'!$E$10+1,1))-AVERAGE(OFFSET($H$3,0,0,'Données projet'!$E$10+1,1))</f>
        <v>623.16549611107564</v>
      </c>
      <c r="AO116" s="59">
        <f t="shared" si="90"/>
        <v>326.15178903425885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137.38481551354403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137.38481551354403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266.99999999999983</v>
      </c>
      <c r="BE116" s="13">
        <f>BD116*VLOOKUP('Données projet'!$B$11,Paramètres!$A$1:$I$89,3,0)*VLOOKUP('Données projet'!$B$11,Paramètres!$A$1:$I$89,5,0)</f>
        <v>216.59039999999987</v>
      </c>
      <c r="BF116" s="13">
        <f t="shared" si="91"/>
        <v>53.373153688190904</v>
      </c>
      <c r="BG116" s="20">
        <f t="shared" si="61"/>
        <v>470.18652267359886</v>
      </c>
      <c r="BH116" s="59">
        <f t="shared" si="62"/>
        <v>751.82796581830758</v>
      </c>
      <c r="BI116" s="59">
        <f ca="1">AVERAGE(OFFSET($BH$3,0,0,'Données projet'!$E$11+1,1))-AVERAGE(OFFSET($H$3,0,0,'Données projet'!$E$11+1,1))</f>
        <v>326.2912419133811</v>
      </c>
      <c r="BJ116" s="59">
        <f t="shared" si="92"/>
        <v>315.07976787459938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23.01241908952144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23.01241908952144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243</v>
      </c>
      <c r="BZ116" s="13">
        <f>BY116*VLOOKUP('Données projet'!$B$12,Paramètres!$A$1:$I$89,3,0)*VLOOKUP('Données projet'!$B$12,Paramètres!$A$1:$I$89,5,0)</f>
        <v>155.4228</v>
      </c>
      <c r="CA116" s="13">
        <f t="shared" si="93"/>
        <v>39.808377687614154</v>
      </c>
      <c r="CB116" s="20">
        <f t="shared" si="64"/>
        <v>340.02763447259463</v>
      </c>
      <c r="CC116" s="59">
        <f t="shared" si="65"/>
        <v>621.66907761730329</v>
      </c>
      <c r="CD116" s="59">
        <f ca="1">AVERAGE(OFFSET($CC$3,0,0,'Données projet'!$E$12+1,1))-AVERAGE(OFFSET($H$3,0,0,'Données projet'!$E$12+1,1))</f>
        <v>297.03992602744393</v>
      </c>
      <c r="CE116" s="59">
        <f t="shared" si="94"/>
        <v>265.2588848922893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31.772250692247983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31.772250692247983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367.99999999999972</v>
      </c>
      <c r="CU116" s="17">
        <f>CT116*VLOOKUP('Données projet'!$B$13,Paramètres!$A$1:$I$89,3,0)*VLOOKUP('Données projet'!$B$13,Paramètres!$A$1:$I$89,5,0)</f>
        <v>292.78079999999977</v>
      </c>
      <c r="CV116" s="13">
        <f t="shared" si="95"/>
        <v>69.660903052386217</v>
      </c>
      <c r="CW116" s="20">
        <f t="shared" si="67"/>
        <v>631.25263281623893</v>
      </c>
      <c r="CX116" s="59">
        <f t="shared" si="68"/>
        <v>912.89407596094759</v>
      </c>
      <c r="CY116" s="59">
        <f ca="1">AVERAGE(OFFSET($CX$3,0,0,'Données projet'!$E$13+1,1))-AVERAGE(OFFSET($H$3,0,0,'Données projet'!$E$13+1,1))</f>
        <v>427.42918901489531</v>
      </c>
      <c r="CZ116" s="59">
        <f t="shared" si="96"/>
        <v>410.68601510655412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32.061426072130622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32.061426072130622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9.4029999999999916</v>
      </c>
      <c r="DO116" s="12">
        <f>IF('Données projet'!$A$166&gt;35,DO115+DN116-DW115,IF(A116&lt;'Données projet'!$A$166,$DL$205^A116,IF(A116='Données projet'!$A$166,'Données projet'!$B$166,DO115+DN116-DW115)))</f>
        <v>469.6220000000003</v>
      </c>
      <c r="DP116" s="17">
        <f>DO116*VLOOKUP('Données projet'!$B$14,Paramètres!$A$1:$I$89,3,0)*VLOOKUP('Données projet'!$B$14,Paramètres!$A$1:$I$89,5,0)</f>
        <v>454.2183984000003</v>
      </c>
      <c r="DQ116" s="13">
        <f t="shared" si="97"/>
        <v>102.68598488536712</v>
      </c>
      <c r="DR116" s="20">
        <f t="shared" si="70"/>
        <v>969.94180088868143</v>
      </c>
      <c r="DS116" s="59">
        <f t="shared" si="71"/>
        <v>1251.5832440333902</v>
      </c>
      <c r="DT116" s="59">
        <f ca="1">AVERAGE(OFFSET($DS$3,0,0,'Données projet'!$E$14+1,1))-AVERAGE(OFFSET($H$3,0,0,'Données projet'!$E$14+1,1))</f>
        <v>598.03945725240396</v>
      </c>
      <c r="DU116" s="59">
        <f t="shared" si="98"/>
        <v>313.9014686755695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131.04397787445737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131.04397787445737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9.4029999999999916</v>
      </c>
      <c r="EJ116" s="12">
        <f>IF('Données projet'!$A$192&gt;35,EJ115+EI116-ER115,IF(A116&lt;'Données projet'!$A$192,$EG$205^A116,IF(A116='Données projet'!$A$192,'Données projet'!$B$192,EJ115+EI116-ER115)))</f>
        <v>469.6220000000003</v>
      </c>
      <c r="EK116" s="17">
        <f>EJ116*VLOOKUP('Données projet'!$B$15,Paramètres!$A$1:$I$89,3,0)*VLOOKUP('Données projet'!$B$15,Paramètres!$A$1:$I$89,5,0)</f>
        <v>315.02243760000022</v>
      </c>
      <c r="EL116" s="13">
        <f t="shared" si="99"/>
        <v>74.31673193666235</v>
      </c>
      <c r="EM116" s="20">
        <f t="shared" si="73"/>
        <v>678.0990536096873</v>
      </c>
      <c r="EN116" s="59">
        <f t="shared" si="74"/>
        <v>959.74049675439596</v>
      </c>
      <c r="EO116" s="59">
        <f ca="1">AVERAGE(OFFSET($EN$3,0,0,'Données projet'!$E$15+1,1))-AVERAGE(OFFSET($H$3,0,0,'Données projet'!$E$15+1,1))</f>
        <v>438.27475674276604</v>
      </c>
      <c r="EP116" s="59">
        <f t="shared" si="100"/>
        <v>235.97720136798864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112.0214649571974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112.0214649571974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5.2499999999990337</v>
      </c>
      <c r="FF116" s="17">
        <f>FE116*VLOOKUP('Données projet'!$B$16,Paramètres!$A$1:$I$89,3,0)*VLOOKUP('Données projet'!$B$16,Paramètres!$A$1:$I$89,5,0)</f>
        <v>2.4569999999995478</v>
      </c>
      <c r="FG116" s="13">
        <f t="shared" si="101"/>
        <v>1.0197977774625564</v>
      </c>
      <c r="FH116" s="20">
        <f t="shared" si="76"/>
        <v>6.0554227957464972</v>
      </c>
      <c r="FI116" s="59">
        <f t="shared" si="77"/>
        <v>287.69686594045515</v>
      </c>
      <c r="FJ116" s="59">
        <f ca="1">AVERAGE(OFFSET($FI$3,0,0,'Données projet'!$E$16+1,1))-AVERAGE(OFFSET($H$3,0,0,'Données projet'!$E$16+1,1))</f>
        <v>329.49463758169588</v>
      </c>
      <c r="FK116" s="59">
        <f t="shared" si="102"/>
        <v>207.1447698203379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224.39059340331349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224.39059340331349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763.00000000000057</v>
      </c>
      <c r="GA116" s="17">
        <f>FZ116*VLOOKUP('Données projet'!$B$17,Paramètres!$A$1:$I$89,3,0)*VLOOKUP('Données projet'!$B$17,Paramètres!$A$1:$I$89,5,0)</f>
        <v>456.2740000000004</v>
      </c>
      <c r="GB116" s="13">
        <f t="shared" si="103"/>
        <v>103.09649786611838</v>
      </c>
      <c r="GC116" s="20">
        <f t="shared" si="79"/>
        <v>974.23695045015677</v>
      </c>
      <c r="GD116" s="59">
        <f t="shared" si="80"/>
        <v>1255.8783935948654</v>
      </c>
      <c r="GE116" s="59">
        <f ca="1">AVERAGE(OFFSET($GD$3,0,0,'Données projet'!$E$17+1,1))-AVERAGE(OFFSET($H$3,0,0,'Données projet'!$E$17+1,1))</f>
        <v>577.07444926285291</v>
      </c>
      <c r="GF116" s="59">
        <f t="shared" si="104"/>
        <v>501.3762209070419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55.360747336461735</v>
      </c>
      <c r="GM116" s="21">
        <f>EXP(-LN(2)/25)*GM115+(1-EXP(-LN(2)/25))/(LN(2)/25)*Calculateur!GH116*Calculateur!GJ116*VLOOKUP('Données projet'!$B$17,Paramètres!$A$1:$I$89,3,0)*0.475*44/12</f>
        <v>6.5508864360084882</v>
      </c>
      <c r="GN116" s="21">
        <f>EXP(-LN(2)/2)*GN115+(1-EXP(-LN(2)/2))/(LN(2)/2)*GH116*GK116*VLOOKUP('Données projet'!$B$17,Paramètres!$A$1:$I$89,3,0)*0.475*44/12</f>
        <v>2.5257259736721556E-14</v>
      </c>
      <c r="GO116" s="21">
        <f t="shared" si="81"/>
        <v>61.911633772470253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66.811302675829637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-5.6843418860808015E-14</v>
      </c>
      <c r="GV116" s="17">
        <f>GU116*VLOOKUP('Données projet'!$B$18,Paramètres!$A$1:$I$89,3,0)*VLOOKUP('Données projet'!$B$18,Paramètres!$A$1:$I$89,5,0)</f>
        <v>-3.0061073630349716E-14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212.75657290802619</v>
      </c>
      <c r="HA116" s="59">
        <f t="shared" si="106"/>
        <v>411.47446316045978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14.855337183435445</v>
      </c>
      <c r="HH116" s="21">
        <f>EXP(-LN(2)/25)*HH115+(1-EXP(-LN(2)/25))/(LN(2)/25)*Calculateur!HC116*Calculateur!HE116*VLOOKUP('Données projet'!$B$18,Paramètres!$A$1:$I$89,3,0)*0.475*44/12</f>
        <v>1.9939176389779665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16.84925482241341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4.60745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16.893983333333335</v>
      </c>
      <c r="H117" s="66">
        <f t="shared" si="56"/>
        <v>189.09073333333333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1208.3104056521029</v>
      </c>
      <c r="S117" s="59">
        <f ca="1">AVERAGE(OFFSET($R$3,0,0,'Données projet'!$E$9+1,1))-AVERAGE(OFFSET($H$3,0,0,'Données projet'!$E$9+1,1))</f>
        <v>564.49981446852132</v>
      </c>
      <c r="T117" s="59">
        <f t="shared" si="88"/>
        <v>297.54722913785406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9.4029999999999916</v>
      </c>
      <c r="AI117" s="13">
        <f>IF('Données projet'!$A$62&gt;35,AI116+AH117-AQ116,IF(A117&lt;'Données projet'!$A$62,$AF$205^A117,IF(A117='Données projet'!$A$62,'Données projet'!$B$62,AI116+AH117-AQ116)))</f>
        <v>479.02500000000032</v>
      </c>
      <c r="AJ117" s="13">
        <f>AI117*VLOOKUP('Données projet'!$B$10,Paramètres!$A$1:$I$89,3,0)*VLOOKUP('Données projet'!$B$10,Paramètres!$A$1:$I$89,5,0)</f>
        <v>485.73135000000036</v>
      </c>
      <c r="AK117" s="13">
        <f t="shared" si="89"/>
        <v>108.95613505960884</v>
      </c>
      <c r="AL117" s="20">
        <f t="shared" si="58"/>
        <v>1035.7473698121528</v>
      </c>
      <c r="AM117" s="59">
        <f t="shared" si="59"/>
        <v>1317.5916411124836</v>
      </c>
      <c r="AN117" s="59">
        <f ca="1">AVERAGE(OFFSET($AM$3,0,0,'Données projet'!$E$10+1,1))-AVERAGE(OFFSET($H$3,0,0,'Données projet'!$E$10+1,1))</f>
        <v>623.16549611107564</v>
      </c>
      <c r="AO117" s="59">
        <f t="shared" si="90"/>
        <v>326.15178903425885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134.69078307778668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134.69078307778668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266.99999999999983</v>
      </c>
      <c r="BE117" s="13">
        <f>BD117*VLOOKUP('Données projet'!$B$11,Paramètres!$A$1:$I$89,3,0)*VLOOKUP('Données projet'!$B$11,Paramètres!$A$1:$I$89,5,0)</f>
        <v>216.59039999999987</v>
      </c>
      <c r="BF117" s="13">
        <f t="shared" si="91"/>
        <v>53.373153688190904</v>
      </c>
      <c r="BG117" s="20">
        <f t="shared" si="61"/>
        <v>470.18652267359886</v>
      </c>
      <c r="BH117" s="59">
        <f t="shared" si="62"/>
        <v>752.03079397392958</v>
      </c>
      <c r="BI117" s="59">
        <f ca="1">AVERAGE(OFFSET($BH$3,0,0,'Données projet'!$E$11+1,1))-AVERAGE(OFFSET($H$3,0,0,'Données projet'!$E$11+1,1))</f>
        <v>326.2912419133811</v>
      </c>
      <c r="BJ117" s="59">
        <f t="shared" si="92"/>
        <v>315.07976787459938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22.561159587365612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22.561159587365612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243</v>
      </c>
      <c r="BZ117" s="13">
        <f>BY117*VLOOKUP('Données projet'!$B$12,Paramètres!$A$1:$I$89,3,0)*VLOOKUP('Données projet'!$B$12,Paramètres!$A$1:$I$89,5,0)</f>
        <v>155.4228</v>
      </c>
      <c r="CA117" s="13">
        <f t="shared" si="93"/>
        <v>39.808377687614154</v>
      </c>
      <c r="CB117" s="20">
        <f t="shared" si="64"/>
        <v>340.02763447259463</v>
      </c>
      <c r="CC117" s="59">
        <f t="shared" si="65"/>
        <v>621.8719057729254</v>
      </c>
      <c r="CD117" s="59">
        <f ca="1">AVERAGE(OFFSET($CC$3,0,0,'Données projet'!$E$12+1,1))-AVERAGE(OFFSET($H$3,0,0,'Données projet'!$E$12+1,1))</f>
        <v>297.03992602744393</v>
      </c>
      <c r="CE117" s="59">
        <f t="shared" si="94"/>
        <v>265.2588848922893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31.149216235332389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31.149216235332389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367.99999999999972</v>
      </c>
      <c r="CU117" s="17">
        <f>CT117*VLOOKUP('Données projet'!$B$13,Paramètres!$A$1:$I$89,3,0)*VLOOKUP('Données projet'!$B$13,Paramètres!$A$1:$I$89,5,0)</f>
        <v>292.78079999999977</v>
      </c>
      <c r="CV117" s="13">
        <f t="shared" si="95"/>
        <v>69.660903052386217</v>
      </c>
      <c r="CW117" s="20">
        <f t="shared" si="67"/>
        <v>631.25263281623893</v>
      </c>
      <c r="CX117" s="59">
        <f t="shared" si="68"/>
        <v>913.0969041165697</v>
      </c>
      <c r="CY117" s="59">
        <f ca="1">AVERAGE(OFFSET($CX$3,0,0,'Données projet'!$E$13+1,1))-AVERAGE(OFFSET($H$3,0,0,'Données projet'!$E$13+1,1))</f>
        <v>427.42918901489531</v>
      </c>
      <c r="CZ117" s="59">
        <f t="shared" si="96"/>
        <v>410.68601510655412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31.432721062395096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31.432721062395096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9.4029999999999916</v>
      </c>
      <c r="DO117" s="12">
        <f>IF('Données projet'!$A$166&gt;35,DO116+DN117-DW116,IF(A117&lt;'Données projet'!$A$166,$DL$205^A117,IF(A117='Données projet'!$A$166,'Données projet'!$B$166,DO116+DN117-DW116)))</f>
        <v>479.02500000000032</v>
      </c>
      <c r="DP117" s="17">
        <f>DO117*VLOOKUP('Données projet'!$B$14,Paramètres!$A$1:$I$89,3,0)*VLOOKUP('Données projet'!$B$14,Paramètres!$A$1:$I$89,5,0)</f>
        <v>463.31298000000038</v>
      </c>
      <c r="DQ117" s="13">
        <f t="shared" si="97"/>
        <v>104.50059044000244</v>
      </c>
      <c r="DR117" s="20">
        <f t="shared" si="70"/>
        <v>988.94196851633842</v>
      </c>
      <c r="DS117" s="59">
        <f t="shared" si="71"/>
        <v>1270.7862398166692</v>
      </c>
      <c r="DT117" s="59">
        <f ca="1">AVERAGE(OFFSET($DS$3,0,0,'Données projet'!$E$14+1,1))-AVERAGE(OFFSET($H$3,0,0,'Données projet'!$E$14+1,1))</f>
        <v>598.03945725240396</v>
      </c>
      <c r="DU117" s="59">
        <f t="shared" si="98"/>
        <v>313.9014686755695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128.47428539727343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128.47428539727343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9.4029999999999916</v>
      </c>
      <c r="EJ117" s="12">
        <f>IF('Données projet'!$A$192&gt;35,EJ116+EI117-ER116,IF(A117&lt;'Données projet'!$A$192,$EG$205^A117,IF(A117='Données projet'!$A$192,'Données projet'!$B$192,EJ116+EI117-ER116)))</f>
        <v>479.02500000000032</v>
      </c>
      <c r="EK117" s="17">
        <f>EJ117*VLOOKUP('Données projet'!$B$15,Paramètres!$A$1:$I$89,3,0)*VLOOKUP('Données projet'!$B$15,Paramètres!$A$1:$I$89,5,0)</f>
        <v>321.32997000000023</v>
      </c>
      <c r="EL117" s="13">
        <f t="shared" si="99"/>
        <v>75.630012952812223</v>
      </c>
      <c r="EM117" s="20">
        <f t="shared" si="73"/>
        <v>691.37197030948164</v>
      </c>
      <c r="EN117" s="59">
        <f t="shared" si="74"/>
        <v>973.21624160981241</v>
      </c>
      <c r="EO117" s="59">
        <f ca="1">AVERAGE(OFFSET($EN$3,0,0,'Données projet'!$E$15+1,1))-AVERAGE(OFFSET($H$3,0,0,'Données projet'!$E$15+1,1))</f>
        <v>438.27475674276604</v>
      </c>
      <c r="EP117" s="59">
        <f t="shared" si="100"/>
        <v>235.97720136798864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109.82479235573371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109.82479235573371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5.2499999999990337</v>
      </c>
      <c r="FF117" s="17">
        <f>FE117*VLOOKUP('Données projet'!$B$16,Paramètres!$A$1:$I$89,3,0)*VLOOKUP('Données projet'!$B$16,Paramètres!$A$1:$I$89,5,0)</f>
        <v>2.4569999999995478</v>
      </c>
      <c r="FG117" s="13">
        <f t="shared" si="101"/>
        <v>1.0197977774625564</v>
      </c>
      <c r="FH117" s="20">
        <f t="shared" si="76"/>
        <v>6.0554227957464972</v>
      </c>
      <c r="FI117" s="59">
        <f t="shared" si="77"/>
        <v>287.89969409607727</v>
      </c>
      <c r="FJ117" s="59">
        <f ca="1">AVERAGE(OFFSET($FI$3,0,0,'Données projet'!$E$16+1,1))-AVERAGE(OFFSET($H$3,0,0,'Données projet'!$E$16+1,1))</f>
        <v>329.49463758169588</v>
      </c>
      <c r="FK117" s="59">
        <f t="shared" si="102"/>
        <v>207.1447698203379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219.99043073142221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219.99043073142221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763.00000000000057</v>
      </c>
      <c r="GA117" s="17">
        <f>FZ117*VLOOKUP('Données projet'!$B$17,Paramètres!$A$1:$I$89,3,0)*VLOOKUP('Données projet'!$B$17,Paramètres!$A$1:$I$89,5,0)</f>
        <v>456.2740000000004</v>
      </c>
      <c r="GB117" s="13">
        <f t="shared" si="103"/>
        <v>103.09649786611838</v>
      </c>
      <c r="GC117" s="20">
        <f t="shared" si="79"/>
        <v>974.23695045015677</v>
      </c>
      <c r="GD117" s="59">
        <f t="shared" si="80"/>
        <v>1256.0812217504877</v>
      </c>
      <c r="GE117" s="59">
        <f ca="1">AVERAGE(OFFSET($GD$3,0,0,'Données projet'!$E$17+1,1))-AVERAGE(OFFSET($H$3,0,0,'Données projet'!$E$17+1,1))</f>
        <v>577.07444926285291</v>
      </c>
      <c r="GF117" s="59">
        <f t="shared" si="104"/>
        <v>501.3762209070419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54.275156847915412</v>
      </c>
      <c r="GM117" s="21">
        <f>EXP(-LN(2)/25)*GM116+(1-EXP(-LN(2)/25))/(LN(2)/25)*Calculateur!GH117*Calculateur!GJ117*VLOOKUP('Données projet'!$B$17,Paramètres!$A$1:$I$89,3,0)*0.475*44/12</f>
        <v>6.3717521019196903</v>
      </c>
      <c r="GN117" s="21">
        <f>EXP(-LN(2)/2)*GN116+(1-EXP(-LN(2)/2))/(LN(2)/2)*GH117*GK117*VLOOKUP('Données projet'!$B$17,Paramètres!$A$1:$I$89,3,0)*0.475*44/12</f>
        <v>1.7859579634025766E-14</v>
      </c>
      <c r="GO117" s="21">
        <f t="shared" si="81"/>
        <v>60.646908949835122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66.866619445544757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-5.6843418860808015E-14</v>
      </c>
      <c r="GV117" s="17">
        <f>GU117*VLOOKUP('Données projet'!$B$18,Paramètres!$A$1:$I$89,3,0)*VLOOKUP('Données projet'!$B$18,Paramètres!$A$1:$I$89,5,0)</f>
        <v>-3.0061073630349716E-14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212.75657290802619</v>
      </c>
      <c r="HA117" s="59">
        <f t="shared" si="106"/>
        <v>411.47446316045978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14.564033082129273</v>
      </c>
      <c r="HH117" s="21">
        <f>EXP(-LN(2)/25)*HH116+(1-EXP(-LN(2)/25))/(LN(2)/25)*Calculateur!HC117*Calculateur!HE117*VLOOKUP('Données projet'!$B$18,Paramètres!$A$1:$I$89,3,0)*0.475*44/12</f>
        <v>1.9393938562845425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16.503426938413813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4.60745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16.893983333333335</v>
      </c>
      <c r="H118" s="66">
        <f t="shared" si="56"/>
        <v>189.09073333333333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1226.3003054754101</v>
      </c>
      <c r="S118" s="59">
        <f ca="1">AVERAGE(OFFSET($R$3,0,0,'Données projet'!$E$9+1,1))-AVERAGE(OFFSET($H$3,0,0,'Données projet'!$E$9+1,1))</f>
        <v>564.49981446852132</v>
      </c>
      <c r="T118" s="59">
        <f t="shared" si="88"/>
        <v>297.54722913785406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9.4029999999999916</v>
      </c>
      <c r="AI118" s="13">
        <f>IF('Données projet'!$A$62&gt;35,AI117+AH118-AQ117,IF(A118&lt;'Données projet'!$A$62,$AF$205^A118,IF(A118='Données projet'!$A$62,'Données projet'!$B$62,AI117+AH118-AQ117)))</f>
        <v>488.42800000000034</v>
      </c>
      <c r="AJ118" s="13">
        <f>AI118*VLOOKUP('Données projet'!$B$10,Paramètres!$A$1:$I$89,3,0)*VLOOKUP('Données projet'!$B$10,Paramètres!$A$1:$I$89,5,0)</f>
        <v>495.26599200000038</v>
      </c>
      <c r="AK118" s="13">
        <f t="shared" si="89"/>
        <v>110.84379086369486</v>
      </c>
      <c r="AL118" s="20">
        <f t="shared" si="58"/>
        <v>1055.6412051542693</v>
      </c>
      <c r="AM118" s="59">
        <f t="shared" si="59"/>
        <v>1337.6847859951779</v>
      </c>
      <c r="AN118" s="59">
        <f ca="1">AVERAGE(OFFSET($AM$3,0,0,'Données projet'!$E$10+1,1))-AVERAGE(OFFSET($H$3,0,0,'Données projet'!$E$10+1,1))</f>
        <v>623.16549611107564</v>
      </c>
      <c r="AO118" s="59">
        <f t="shared" si="90"/>
        <v>326.15178903425885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132.049578974897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132.049578974897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266.99999999999983</v>
      </c>
      <c r="BE118" s="13">
        <f>BD118*VLOOKUP('Données projet'!$B$11,Paramètres!$A$1:$I$89,3,0)*VLOOKUP('Données projet'!$B$11,Paramètres!$A$1:$I$89,5,0)</f>
        <v>216.59039999999987</v>
      </c>
      <c r="BF118" s="13">
        <f t="shared" si="91"/>
        <v>53.373153688190904</v>
      </c>
      <c r="BG118" s="20">
        <f t="shared" si="61"/>
        <v>470.18652267359886</v>
      </c>
      <c r="BH118" s="59">
        <f t="shared" si="62"/>
        <v>752.2301035145075</v>
      </c>
      <c r="BI118" s="59">
        <f ca="1">AVERAGE(OFFSET($BH$3,0,0,'Données projet'!$E$11+1,1))-AVERAGE(OFFSET($H$3,0,0,'Données projet'!$E$11+1,1))</f>
        <v>326.2912419133811</v>
      </c>
      <c r="BJ118" s="59">
        <f t="shared" si="92"/>
        <v>315.07976787459938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22.118749008805938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22.118749008805938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243</v>
      </c>
      <c r="BZ118" s="13">
        <f>BY118*VLOOKUP('Données projet'!$B$12,Paramètres!$A$1:$I$89,3,0)*VLOOKUP('Données projet'!$B$12,Paramètres!$A$1:$I$89,5,0)</f>
        <v>155.4228</v>
      </c>
      <c r="CA118" s="13">
        <f t="shared" si="93"/>
        <v>39.808377687614154</v>
      </c>
      <c r="CB118" s="20">
        <f t="shared" si="64"/>
        <v>340.02763447259463</v>
      </c>
      <c r="CC118" s="59">
        <f t="shared" si="65"/>
        <v>622.07121531350322</v>
      </c>
      <c r="CD118" s="59">
        <f ca="1">AVERAGE(OFFSET($CC$3,0,0,'Données projet'!$E$12+1,1))-AVERAGE(OFFSET($H$3,0,0,'Données projet'!$E$12+1,1))</f>
        <v>297.03992602744393</v>
      </c>
      <c r="CE118" s="59">
        <f t="shared" si="94"/>
        <v>265.2588848922893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30.538399104103416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30.538399104103416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367.99999999999972</v>
      </c>
      <c r="CU118" s="17">
        <f>CT118*VLOOKUP('Données projet'!$B$13,Paramètres!$A$1:$I$89,3,0)*VLOOKUP('Données projet'!$B$13,Paramètres!$A$1:$I$89,5,0)</f>
        <v>292.78079999999977</v>
      </c>
      <c r="CV118" s="13">
        <f t="shared" si="95"/>
        <v>69.660903052386217</v>
      </c>
      <c r="CW118" s="20">
        <f t="shared" si="67"/>
        <v>631.25263281623893</v>
      </c>
      <c r="CX118" s="59">
        <f t="shared" si="68"/>
        <v>913.29621365714752</v>
      </c>
      <c r="CY118" s="59">
        <f ca="1">AVERAGE(OFFSET($CX$3,0,0,'Données projet'!$E$13+1,1))-AVERAGE(OFFSET($H$3,0,0,'Données projet'!$E$13+1,1))</f>
        <v>427.42918901489531</v>
      </c>
      <c r="CZ118" s="59">
        <f t="shared" si="96"/>
        <v>410.68601510655412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30.816344574428292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30.816344574428292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9.4029999999999916</v>
      </c>
      <c r="DO118" s="12">
        <f>IF('Données projet'!$A$166&gt;35,DO117+DN118-DW117,IF(A118&lt;'Données projet'!$A$166,$DL$205^A118,IF(A118='Données projet'!$A$166,'Données projet'!$B$166,DO117+DN118-DW117)))</f>
        <v>488.42800000000034</v>
      </c>
      <c r="DP118" s="17">
        <f>DO118*VLOOKUP('Données projet'!$B$14,Paramètres!$A$1:$I$89,3,0)*VLOOKUP('Données projet'!$B$14,Paramètres!$A$1:$I$89,5,0)</f>
        <v>472.40756160000035</v>
      </c>
      <c r="DQ118" s="13">
        <f t="shared" si="97"/>
        <v>106.31105431123427</v>
      </c>
      <c r="DR118" s="20">
        <f t="shared" si="70"/>
        <v>1007.9349227120669</v>
      </c>
      <c r="DS118" s="59">
        <f t="shared" si="71"/>
        <v>1289.9785035529756</v>
      </c>
      <c r="DT118" s="59">
        <f ca="1">AVERAGE(OFFSET($DS$3,0,0,'Données projet'!$E$14+1,1))-AVERAGE(OFFSET($H$3,0,0,'Données projet'!$E$14+1,1))</f>
        <v>598.03945725240396</v>
      </c>
      <c r="DU118" s="59">
        <f t="shared" si="98"/>
        <v>313.9014686755695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125.95498302220943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125.95498302220943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9.4029999999999916</v>
      </c>
      <c r="EJ118" s="12">
        <f>IF('Données projet'!$A$192&gt;35,EJ117+EI118-ER117,IF(A118&lt;'Données projet'!$A$192,$EG$205^A118,IF(A118='Données projet'!$A$192,'Données projet'!$B$192,EJ117+EI118-ER117)))</f>
        <v>488.42800000000034</v>
      </c>
      <c r="EK118" s="17">
        <f>EJ118*VLOOKUP('Données projet'!$B$15,Paramètres!$A$1:$I$89,3,0)*VLOOKUP('Données projet'!$B$15,Paramètres!$A$1:$I$89,5,0)</f>
        <v>327.63750240000024</v>
      </c>
      <c r="EL118" s="13">
        <f t="shared" si="99"/>
        <v>76.940296516334129</v>
      </c>
      <c r="EM118" s="20">
        <f t="shared" si="73"/>
        <v>704.63966644594893</v>
      </c>
      <c r="EN118" s="59">
        <f t="shared" si="74"/>
        <v>986.68324728685752</v>
      </c>
      <c r="EO118" s="59">
        <f ca="1">AVERAGE(OFFSET($EN$3,0,0,'Données projet'!$E$15+1,1))-AVERAGE(OFFSET($H$3,0,0,'Données projet'!$E$15+1,1))</f>
        <v>438.27475674276604</v>
      </c>
      <c r="EP118" s="59">
        <f t="shared" si="100"/>
        <v>235.97720136798864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107.67119516414674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107.67119516414674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5.2499999999990337</v>
      </c>
      <c r="FF118" s="17">
        <f>FE118*VLOOKUP('Données projet'!$B$16,Paramètres!$A$1:$I$89,3,0)*VLOOKUP('Données projet'!$B$16,Paramètres!$A$1:$I$89,5,0)</f>
        <v>2.4569999999995478</v>
      </c>
      <c r="FG118" s="13">
        <f t="shared" si="101"/>
        <v>1.0197977774625564</v>
      </c>
      <c r="FH118" s="20">
        <f t="shared" si="76"/>
        <v>6.0554227957464972</v>
      </c>
      <c r="FI118" s="59">
        <f t="shared" si="77"/>
        <v>288.09900363665514</v>
      </c>
      <c r="FJ118" s="59">
        <f ca="1">AVERAGE(OFFSET($FI$3,0,0,'Données projet'!$E$16+1,1))-AVERAGE(OFFSET($H$3,0,0,'Données projet'!$E$16+1,1))</f>
        <v>329.49463758169588</v>
      </c>
      <c r="FK118" s="59">
        <f t="shared" si="102"/>
        <v>207.1447698203379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215.6765525656925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215.6765525656925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763.00000000000057</v>
      </c>
      <c r="GA118" s="17">
        <f>FZ118*VLOOKUP('Données projet'!$B$17,Paramètres!$A$1:$I$89,3,0)*VLOOKUP('Données projet'!$B$17,Paramètres!$A$1:$I$89,5,0)</f>
        <v>456.2740000000004</v>
      </c>
      <c r="GB118" s="13">
        <f t="shared" si="103"/>
        <v>103.09649786611838</v>
      </c>
      <c r="GC118" s="20">
        <f t="shared" si="79"/>
        <v>974.23695045015677</v>
      </c>
      <c r="GD118" s="59">
        <f t="shared" si="80"/>
        <v>1256.2805312910655</v>
      </c>
      <c r="GE118" s="59">
        <f ca="1">AVERAGE(OFFSET($GD$3,0,0,'Données projet'!$E$17+1,1))-AVERAGE(OFFSET($H$3,0,0,'Données projet'!$E$17+1,1))</f>
        <v>577.07444926285291</v>
      </c>
      <c r="GF118" s="59">
        <f t="shared" si="104"/>
        <v>501.3762209070419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53.21085412670466</v>
      </c>
      <c r="GM118" s="21">
        <f>EXP(-LN(2)/25)*GM117+(1-EXP(-LN(2)/25))/(LN(2)/25)*Calculateur!GH118*Calculateur!GJ118*VLOOKUP('Données projet'!$B$17,Paramètres!$A$1:$I$89,3,0)*0.475*44/12</f>
        <v>6.1975162056168163</v>
      </c>
      <c r="GN118" s="21">
        <f>EXP(-LN(2)/2)*GN117+(1-EXP(-LN(2)/2))/(LN(2)/2)*GH118*GK118*VLOOKUP('Données projet'!$B$17,Paramètres!$A$1:$I$89,3,0)*0.475*44/12</f>
        <v>1.2628629868360778E-14</v>
      </c>
      <c r="GO118" s="21">
        <f t="shared" si="81"/>
        <v>59.408370332321489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66.920976592975094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-5.6843418860808015E-14</v>
      </c>
      <c r="GV118" s="17">
        <f>GU118*VLOOKUP('Données projet'!$B$18,Paramètres!$A$1:$I$89,3,0)*VLOOKUP('Données projet'!$B$18,Paramètres!$A$1:$I$89,5,0)</f>
        <v>-3.0061073630349716E-14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212.75657290802619</v>
      </c>
      <c r="HA118" s="59">
        <f t="shared" si="106"/>
        <v>411.47446316045978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14.278441276571757</v>
      </c>
      <c r="HH118" s="21">
        <f>EXP(-LN(2)/25)*HH117+(1-EXP(-LN(2)/25))/(LN(2)/25)*Calculateur!HC118*Calculateur!HE118*VLOOKUP('Données projet'!$B$18,Paramètres!$A$1:$I$89,3,0)*0.475*44/12</f>
        <v>1.8863610292961515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16.164802305867909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4.60745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16.893983333333335</v>
      </c>
      <c r="H119" s="66">
        <f t="shared" si="56"/>
        <v>189.09073333333333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1244.2800931032712</v>
      </c>
      <c r="S119" s="59">
        <f ca="1">AVERAGE(OFFSET($R$3,0,0,'Données projet'!$E$9+1,1))-AVERAGE(OFFSET($H$3,0,0,'Données projet'!$E$9+1,1))</f>
        <v>564.49981446852132</v>
      </c>
      <c r="T119" s="59">
        <f t="shared" si="88"/>
        <v>297.54722913785406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9.4029999999999916</v>
      </c>
      <c r="AI119" s="13">
        <f>IF('Données projet'!$A$62&gt;35,AI118+AH119-AQ118,IF(A119&lt;'Données projet'!$A$62,$AF$205^A119,IF(A119='Données projet'!$A$62,'Données projet'!$B$62,AI118+AH119-AQ118)))</f>
        <v>497.83100000000036</v>
      </c>
      <c r="AJ119" s="13">
        <f>AI119*VLOOKUP('Données projet'!$B$10,Paramètres!$A$1:$I$89,3,0)*VLOOKUP('Données projet'!$B$10,Paramètres!$A$1:$I$89,5,0)</f>
        <v>504.80063400000034</v>
      </c>
      <c r="AK119" s="13">
        <f t="shared" si="89"/>
        <v>112.72722111509829</v>
      </c>
      <c r="AL119" s="20">
        <f t="shared" si="58"/>
        <v>1075.5276809921299</v>
      </c>
      <c r="AM119" s="59">
        <f t="shared" si="59"/>
        <v>1357.7671137986767</v>
      </c>
      <c r="AN119" s="59">
        <f ca="1">AVERAGE(OFFSET($AM$3,0,0,'Données projet'!$E$10+1,1))-AVERAGE(OFFSET($H$3,0,0,'Données projet'!$E$10+1,1))</f>
        <v>623.16549611107564</v>
      </c>
      <c r="AO119" s="59">
        <f t="shared" si="90"/>
        <v>326.15178903425885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129.46016727348956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129.46016727348956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266.99999999999983</v>
      </c>
      <c r="BE119" s="13">
        <f>BD119*VLOOKUP('Données projet'!$B$11,Paramètres!$A$1:$I$89,3,0)*VLOOKUP('Données projet'!$B$11,Paramètres!$A$1:$I$89,5,0)</f>
        <v>216.59039999999987</v>
      </c>
      <c r="BF119" s="13">
        <f t="shared" si="91"/>
        <v>53.373153688190904</v>
      </c>
      <c r="BG119" s="20">
        <f t="shared" si="61"/>
        <v>470.18652267359886</v>
      </c>
      <c r="BH119" s="59">
        <f t="shared" si="62"/>
        <v>752.42595548014572</v>
      </c>
      <c r="BI119" s="59">
        <f ca="1">AVERAGE(OFFSET($BH$3,0,0,'Données projet'!$E$11+1,1))-AVERAGE(OFFSET($H$3,0,0,'Données projet'!$E$11+1,1))</f>
        <v>326.2912419133811</v>
      </c>
      <c r="BJ119" s="59">
        <f t="shared" si="92"/>
        <v>315.07976787459938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21.685013831848014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21.685013831848014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243</v>
      </c>
      <c r="BZ119" s="13">
        <f>BY119*VLOOKUP('Données projet'!$B$12,Paramètres!$A$1:$I$89,3,0)*VLOOKUP('Données projet'!$B$12,Paramètres!$A$1:$I$89,5,0)</f>
        <v>155.4228</v>
      </c>
      <c r="CA119" s="13">
        <f t="shared" si="93"/>
        <v>39.808377687614154</v>
      </c>
      <c r="CB119" s="20">
        <f t="shared" si="64"/>
        <v>340.02763447259463</v>
      </c>
      <c r="CC119" s="59">
        <f t="shared" si="65"/>
        <v>622.26706727914143</v>
      </c>
      <c r="CD119" s="59">
        <f ca="1">AVERAGE(OFFSET($CC$3,0,0,'Données projet'!$E$12+1,1))-AVERAGE(OFFSET($H$3,0,0,'Données projet'!$E$12+1,1))</f>
        <v>297.03992602744393</v>
      </c>
      <c r="CE119" s="59">
        <f t="shared" si="94"/>
        <v>265.2588848922893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29.939559724256178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29.939559724256178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367.99999999999972</v>
      </c>
      <c r="CU119" s="17">
        <f>CT119*VLOOKUP('Données projet'!$B$13,Paramètres!$A$1:$I$89,3,0)*VLOOKUP('Données projet'!$B$13,Paramètres!$A$1:$I$89,5,0)</f>
        <v>292.78079999999977</v>
      </c>
      <c r="CV119" s="13">
        <f t="shared" si="95"/>
        <v>69.660903052386217</v>
      </c>
      <c r="CW119" s="20">
        <f t="shared" si="67"/>
        <v>631.25263281623893</v>
      </c>
      <c r="CX119" s="59">
        <f t="shared" si="68"/>
        <v>913.49206562278573</v>
      </c>
      <c r="CY119" s="59">
        <f ca="1">AVERAGE(OFFSET($CX$3,0,0,'Données projet'!$E$13+1,1))-AVERAGE(OFFSET($H$3,0,0,'Données projet'!$E$13+1,1))</f>
        <v>427.42918901489531</v>
      </c>
      <c r="CZ119" s="59">
        <f t="shared" si="96"/>
        <v>410.68601510655412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30.212054853437984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30.212054853437984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9.4029999999999916</v>
      </c>
      <c r="DO119" s="12">
        <f>IF('Données projet'!$A$166&gt;35,DO118+DN119-DW118,IF(A119&lt;'Données projet'!$A$166,$DL$205^A119,IF(A119='Données projet'!$A$166,'Données projet'!$B$166,DO118+DN119-DW118)))</f>
        <v>497.83100000000036</v>
      </c>
      <c r="DP119" s="17">
        <f>DO119*VLOOKUP('Données projet'!$B$14,Paramètres!$A$1:$I$89,3,0)*VLOOKUP('Données projet'!$B$14,Paramètres!$A$1:$I$89,5,0)</f>
        <v>481.50214320000038</v>
      </c>
      <c r="DQ119" s="13">
        <f t="shared" si="97"/>
        <v>108.11746542536339</v>
      </c>
      <c r="DR119" s="20">
        <f t="shared" si="70"/>
        <v>1026.9208183558419</v>
      </c>
      <c r="DS119" s="59">
        <f t="shared" si="71"/>
        <v>1309.1602511623887</v>
      </c>
      <c r="DT119" s="59">
        <f ca="1">AVERAGE(OFFSET($DS$3,0,0,'Données projet'!$E$14+1,1))-AVERAGE(OFFSET($H$3,0,0,'Données projet'!$E$14+1,1))</f>
        <v>598.03945725240396</v>
      </c>
      <c r="DU119" s="59">
        <f t="shared" si="98"/>
        <v>313.9014686755695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123.48508263009772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123.48508263009772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9.4029999999999916</v>
      </c>
      <c r="EJ119" s="12">
        <f>IF('Données projet'!$A$192&gt;35,EJ118+EI119-ER118,IF(A119&lt;'Données projet'!$A$192,$EG$205^A119,IF(A119='Données projet'!$A$192,'Données projet'!$B$192,EJ118+EI119-ER118)))</f>
        <v>497.83100000000036</v>
      </c>
      <c r="EK119" s="17">
        <f>EJ119*VLOOKUP('Données projet'!$B$15,Paramètres!$A$1:$I$89,3,0)*VLOOKUP('Données projet'!$B$15,Paramètres!$A$1:$I$89,5,0)</f>
        <v>333.94503480000026</v>
      </c>
      <c r="EL119" s="13">
        <f t="shared" si="99"/>
        <v>78.247646985689798</v>
      </c>
      <c r="EM119" s="20">
        <f t="shared" si="73"/>
        <v>717.9022541100768</v>
      </c>
      <c r="EN119" s="59">
        <f t="shared" si="74"/>
        <v>1000.1416869166237</v>
      </c>
      <c r="EO119" s="59">
        <f ca="1">AVERAGE(OFFSET($EN$3,0,0,'Données projet'!$E$15+1,1))-AVERAGE(OFFSET($H$3,0,0,'Données projet'!$E$15+1,1))</f>
        <v>438.27475674276604</v>
      </c>
      <c r="EP119" s="59">
        <f t="shared" si="100"/>
        <v>235.97720136798864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105.55982869992221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105.55982869992221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5.2499999999990337</v>
      </c>
      <c r="FF119" s="17">
        <f>FE119*VLOOKUP('Données projet'!$B$16,Paramètres!$A$1:$I$89,3,0)*VLOOKUP('Données projet'!$B$16,Paramètres!$A$1:$I$89,5,0)</f>
        <v>2.4569999999995478</v>
      </c>
      <c r="FG119" s="13">
        <f t="shared" si="101"/>
        <v>1.0197977774625564</v>
      </c>
      <c r="FH119" s="20">
        <f t="shared" si="76"/>
        <v>6.0554227957464972</v>
      </c>
      <c r="FI119" s="59">
        <f t="shared" si="77"/>
        <v>288.29485560229335</v>
      </c>
      <c r="FJ119" s="59">
        <f ca="1">AVERAGE(OFFSET($FI$3,0,0,'Données projet'!$E$16+1,1))-AVERAGE(OFFSET($H$3,0,0,'Données projet'!$E$16+1,1))</f>
        <v>329.49463758169588</v>
      </c>
      <c r="FK119" s="59">
        <f t="shared" si="102"/>
        <v>207.1447698203379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211.44726691958689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211.44726691958689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763.00000000000057</v>
      </c>
      <c r="GA119" s="17">
        <f>FZ119*VLOOKUP('Données projet'!$B$17,Paramètres!$A$1:$I$89,3,0)*VLOOKUP('Données projet'!$B$17,Paramètres!$A$1:$I$89,5,0)</f>
        <v>456.2740000000004</v>
      </c>
      <c r="GB119" s="13">
        <f t="shared" si="103"/>
        <v>103.09649786611838</v>
      </c>
      <c r="GC119" s="20">
        <f t="shared" si="79"/>
        <v>974.23695045015677</v>
      </c>
      <c r="GD119" s="59">
        <f t="shared" si="80"/>
        <v>1256.4763832567037</v>
      </c>
      <c r="GE119" s="59">
        <f ca="1">AVERAGE(OFFSET($GD$3,0,0,'Données projet'!$E$17+1,1))-AVERAGE(OFFSET($H$3,0,0,'Données projet'!$E$17+1,1))</f>
        <v>577.07444926285291</v>
      </c>
      <c r="GF119" s="59">
        <f t="shared" si="104"/>
        <v>501.3762209070419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52.16742173269629</v>
      </c>
      <c r="GM119" s="21">
        <f>EXP(-LN(2)/25)*GM118+(1-EXP(-LN(2)/25))/(LN(2)/25)*Calculateur!GH119*Calculateur!GJ119*VLOOKUP('Données projet'!$B$17,Paramètres!$A$1:$I$89,3,0)*0.475*44/12</f>
        <v>6.0280447990610115</v>
      </c>
      <c r="GN119" s="21">
        <f>EXP(-LN(2)/2)*GN118+(1-EXP(-LN(2)/2))/(LN(2)/2)*GH119*GK119*VLOOKUP('Données projet'!$B$17,Paramètres!$A$1:$I$89,3,0)*0.475*44/12</f>
        <v>8.9297898170128831E-15</v>
      </c>
      <c r="GO119" s="21">
        <f t="shared" si="81"/>
        <v>58.195466531757312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66.974390765421873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-5.6843418860808015E-14</v>
      </c>
      <c r="GV119" s="17">
        <f>GU119*VLOOKUP('Données projet'!$B$18,Paramètres!$A$1:$I$89,3,0)*VLOOKUP('Données projet'!$B$18,Paramètres!$A$1:$I$89,5,0)</f>
        <v>-3.0061073630349716E-14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212.75657290802619</v>
      </c>
      <c r="HA119" s="59">
        <f t="shared" si="106"/>
        <v>411.47446316045978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13.998449752127422</v>
      </c>
      <c r="HH119" s="21">
        <f>EXP(-LN(2)/25)*HH118+(1-EXP(-LN(2)/25))/(LN(2)/25)*Calculateur!HC119*Calculateur!HE119*VLOOKUP('Données projet'!$B$18,Paramètres!$A$1:$I$89,3,0)*0.475*44/12</f>
        <v>1.834778387750633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15.833228139878056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4.60745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16.893983333333335</v>
      </c>
      <c r="H120" s="66">
        <f t="shared" si="56"/>
        <v>189.09073333333333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1262.2499687021548</v>
      </c>
      <c r="S120" s="59">
        <f ca="1">AVERAGE(OFFSET($R$3,0,0,'Données projet'!$E$9+1,1))-AVERAGE(OFFSET($H$3,0,0,'Données projet'!$E$9+1,1))</f>
        <v>564.49981446852132</v>
      </c>
      <c r="T120" s="59">
        <f t="shared" si="88"/>
        <v>297.54722913785406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9.4029999999999916</v>
      </c>
      <c r="AI120" s="13">
        <f>IF('Données projet'!$A$62&gt;35,AI119+AH120-AQ119,IF(A120&lt;'Données projet'!$A$62,$AF$205^A120,IF(A120='Données projet'!$A$62,'Données projet'!$B$62,AI119+AH120-AQ119)))</f>
        <v>507.23400000000038</v>
      </c>
      <c r="AJ120" s="13">
        <f>AI120*VLOOKUP('Données projet'!$B$10,Paramètres!$A$1:$I$89,3,0)*VLOOKUP('Données projet'!$B$10,Paramètres!$A$1:$I$89,5,0)</f>
        <v>514.33527600000036</v>
      </c>
      <c r="AK120" s="13">
        <f t="shared" si="89"/>
        <v>114.6065148287007</v>
      </c>
      <c r="AL120" s="20">
        <f t="shared" si="58"/>
        <v>1095.4069523599876</v>
      </c>
      <c r="AM120" s="59">
        <f t="shared" si="59"/>
        <v>1377.8388395384284</v>
      </c>
      <c r="AN120" s="59">
        <f ca="1">AVERAGE(OFFSET($AM$3,0,0,'Données projet'!$E$10+1,1))-AVERAGE(OFFSET($H$3,0,0,'Données projet'!$E$10+1,1))</f>
        <v>623.16549611107564</v>
      </c>
      <c r="AO120" s="59">
        <f t="shared" si="90"/>
        <v>326.15178903425885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126.92153235616152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126.92153235616152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266.99999999999983</v>
      </c>
      <c r="BE120" s="13">
        <f>BD120*VLOOKUP('Données projet'!$B$11,Paramètres!$A$1:$I$89,3,0)*VLOOKUP('Données projet'!$B$11,Paramètres!$A$1:$I$89,5,0)</f>
        <v>216.59039999999987</v>
      </c>
      <c r="BF120" s="13">
        <f t="shared" si="91"/>
        <v>53.373153688190904</v>
      </c>
      <c r="BG120" s="20">
        <f t="shared" si="61"/>
        <v>470.18652267359886</v>
      </c>
      <c r="BH120" s="59">
        <f t="shared" si="62"/>
        <v>752.61840985203958</v>
      </c>
      <c r="BI120" s="59">
        <f ca="1">AVERAGE(OFFSET($BH$3,0,0,'Données projet'!$E$11+1,1))-AVERAGE(OFFSET($H$3,0,0,'Données projet'!$E$11+1,1))</f>
        <v>326.2912419133811</v>
      </c>
      <c r="BJ120" s="59">
        <f t="shared" si="92"/>
        <v>315.07976787459938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21.259783937157898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21.259783937157898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243</v>
      </c>
      <c r="BZ120" s="13">
        <f>BY120*VLOOKUP('Données projet'!$B$12,Paramètres!$A$1:$I$89,3,0)*VLOOKUP('Données projet'!$B$12,Paramètres!$A$1:$I$89,5,0)</f>
        <v>155.4228</v>
      </c>
      <c r="CA120" s="13">
        <f t="shared" si="93"/>
        <v>39.808377687614154</v>
      </c>
      <c r="CB120" s="20">
        <f t="shared" si="64"/>
        <v>340.02763447259463</v>
      </c>
      <c r="CC120" s="59">
        <f t="shared" si="65"/>
        <v>622.4595216510354</v>
      </c>
      <c r="CD120" s="59">
        <f ca="1">AVERAGE(OFFSET($CC$3,0,0,'Données projet'!$E$12+1,1))-AVERAGE(OFFSET($H$3,0,0,'Données projet'!$E$12+1,1))</f>
        <v>297.03992602744393</v>
      </c>
      <c r="CE120" s="59">
        <f t="shared" si="94"/>
        <v>265.2588848922893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29.35246321939179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29.35246321939179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367.99999999999972</v>
      </c>
      <c r="CU120" s="17">
        <f>CT120*VLOOKUP('Données projet'!$B$13,Paramètres!$A$1:$I$89,3,0)*VLOOKUP('Données projet'!$B$13,Paramètres!$A$1:$I$89,5,0)</f>
        <v>292.78079999999977</v>
      </c>
      <c r="CV120" s="13">
        <f t="shared" si="95"/>
        <v>69.660903052386217</v>
      </c>
      <c r="CW120" s="20">
        <f t="shared" si="67"/>
        <v>631.25263281623893</v>
      </c>
      <c r="CX120" s="59">
        <f t="shared" si="68"/>
        <v>913.6845199946797</v>
      </c>
      <c r="CY120" s="59">
        <f ca="1">AVERAGE(OFFSET($CX$3,0,0,'Données projet'!$E$13+1,1))-AVERAGE(OFFSET($H$3,0,0,'Données projet'!$E$13+1,1))</f>
        <v>427.42918901489531</v>
      </c>
      <c r="CZ120" s="59">
        <f t="shared" si="96"/>
        <v>410.68601510655412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29.619614885295956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29.619614885295956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9.4029999999999916</v>
      </c>
      <c r="DO120" s="12">
        <f>IF('Données projet'!$A$166&gt;35,DO119+DN120-DW119,IF(A120&lt;'Données projet'!$A$166,$DL$205^A120,IF(A120='Données projet'!$A$166,'Données projet'!$B$166,DO119+DN120-DW119)))</f>
        <v>507.23400000000038</v>
      </c>
      <c r="DP120" s="17">
        <f>DO120*VLOOKUP('Données projet'!$B$14,Paramètres!$A$1:$I$89,3,0)*VLOOKUP('Données projet'!$B$14,Paramètres!$A$1:$I$89,5,0)</f>
        <v>490.59672480000035</v>
      </c>
      <c r="DQ120" s="13">
        <f t="shared" si="97"/>
        <v>109.91990915718451</v>
      </c>
      <c r="DR120" s="20">
        <f t="shared" si="70"/>
        <v>1045.8998041420966</v>
      </c>
      <c r="DS120" s="59">
        <f t="shared" si="71"/>
        <v>1328.3316913205374</v>
      </c>
      <c r="DT120" s="59">
        <f ca="1">AVERAGE(OFFSET($DS$3,0,0,'Données projet'!$E$14+1,1))-AVERAGE(OFFSET($H$3,0,0,'Données projet'!$E$14+1,1))</f>
        <v>598.03945725240396</v>
      </c>
      <c r="DU120" s="59">
        <f t="shared" si="98"/>
        <v>313.9014686755695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121.06361547818483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121.06361547818483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9.4029999999999916</v>
      </c>
      <c r="EJ120" s="12">
        <f>IF('Données projet'!$A$192&gt;35,EJ119+EI120-ER119,IF(A120&lt;'Données projet'!$A$192,$EG$205^A120,IF(A120='Données projet'!$A$192,'Données projet'!$B$192,EJ119+EI120-ER119)))</f>
        <v>507.23400000000038</v>
      </c>
      <c r="EK120" s="17">
        <f>EJ120*VLOOKUP('Données projet'!$B$15,Paramètres!$A$1:$I$89,3,0)*VLOOKUP('Données projet'!$B$15,Paramètres!$A$1:$I$89,5,0)</f>
        <v>340.25256720000027</v>
      </c>
      <c r="EL120" s="13">
        <f t="shared" si="99"/>
        <v>79.552126149016743</v>
      </c>
      <c r="EM120" s="20">
        <f t="shared" si="73"/>
        <v>731.15984091620464</v>
      </c>
      <c r="EN120" s="59">
        <f t="shared" si="74"/>
        <v>1013.5917280946453</v>
      </c>
      <c r="EO120" s="59">
        <f ca="1">AVERAGE(OFFSET($EN$3,0,0,'Données projet'!$E$15+1,1))-AVERAGE(OFFSET($H$3,0,0,'Données projet'!$E$15+1,1))</f>
        <v>438.27475674276604</v>
      </c>
      <c r="EP120" s="59">
        <f t="shared" si="100"/>
        <v>235.97720136798864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103.48986484425474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103.48986484425474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5.2499999999990337</v>
      </c>
      <c r="FF120" s="17">
        <f>FE120*VLOOKUP('Données projet'!$B$16,Paramètres!$A$1:$I$89,3,0)*VLOOKUP('Données projet'!$B$16,Paramètres!$A$1:$I$89,5,0)</f>
        <v>2.4569999999995478</v>
      </c>
      <c r="FG120" s="13">
        <f t="shared" si="101"/>
        <v>1.0197977774625564</v>
      </c>
      <c r="FH120" s="20">
        <f t="shared" si="76"/>
        <v>6.0554227957464972</v>
      </c>
      <c r="FI120" s="59">
        <f t="shared" si="77"/>
        <v>288.48730997418721</v>
      </c>
      <c r="FJ120" s="59">
        <f ca="1">AVERAGE(OFFSET($FI$3,0,0,'Données projet'!$E$16+1,1))-AVERAGE(OFFSET($H$3,0,0,'Données projet'!$E$16+1,1))</f>
        <v>329.49463758169588</v>
      </c>
      <c r="FK120" s="59">
        <f t="shared" si="102"/>
        <v>207.1447698203379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207.30091498539187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207.30091498539187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763.00000000000057</v>
      </c>
      <c r="GA120" s="17">
        <f>FZ120*VLOOKUP('Données projet'!$B$17,Paramètres!$A$1:$I$89,3,0)*VLOOKUP('Données projet'!$B$17,Paramètres!$A$1:$I$89,5,0)</f>
        <v>456.2740000000004</v>
      </c>
      <c r="GB120" s="13">
        <f t="shared" si="103"/>
        <v>103.09649786611838</v>
      </c>
      <c r="GC120" s="20">
        <f t="shared" si="79"/>
        <v>974.23695045015677</v>
      </c>
      <c r="GD120" s="59">
        <f t="shared" si="80"/>
        <v>1256.6688376285974</v>
      </c>
      <c r="GE120" s="59">
        <f ca="1">AVERAGE(OFFSET($GD$3,0,0,'Données projet'!$E$17+1,1))-AVERAGE(OFFSET($H$3,0,0,'Données projet'!$E$17+1,1))</f>
        <v>577.07444926285291</v>
      </c>
      <c r="GF120" s="59">
        <f t="shared" si="104"/>
        <v>501.3762209070419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51.144450411503506</v>
      </c>
      <c r="GM120" s="21">
        <f>EXP(-LN(2)/25)*GM119+(1-EXP(-LN(2)/25))/(LN(2)/25)*Calculateur!GH120*Calculateur!GJ120*VLOOKUP('Données projet'!$B$17,Paramètres!$A$1:$I$89,3,0)*0.475*44/12</f>
        <v>5.8632075970295894</v>
      </c>
      <c r="GN120" s="21">
        <f>EXP(-LN(2)/2)*GN119+(1-EXP(-LN(2)/2))/(LN(2)/2)*GH120*GK120*VLOOKUP('Données projet'!$B$17,Paramètres!$A$1:$I$89,3,0)*0.475*44/12</f>
        <v>6.314314934180389E-15</v>
      </c>
      <c r="GO120" s="21">
        <f t="shared" si="81"/>
        <v>57.007658008533106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67.026878321392928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-5.6843418860808015E-14</v>
      </c>
      <c r="GV120" s="17">
        <f>GU120*VLOOKUP('Données projet'!$B$18,Paramètres!$A$1:$I$89,3,0)*VLOOKUP('Données projet'!$B$18,Paramètres!$A$1:$I$89,5,0)</f>
        <v>-3.0061073630349716E-14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212.75657290802619</v>
      </c>
      <c r="HA120" s="59">
        <f t="shared" si="106"/>
        <v>411.47446316045978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13.723948690699475</v>
      </c>
      <c r="HH120" s="21">
        <f>EXP(-LN(2)/25)*HH119+(1-EXP(-LN(2)/25))/(LN(2)/25)*Calculateur!HC120*Calculateur!HE120*VLOOKUP('Données projet'!$B$18,Paramètres!$A$1:$I$89,3,0)*0.475*44/12</f>
        <v>1.7846062762507899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15.508554966950264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4.60745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16.893983333333335</v>
      </c>
      <c r="H121" s="66">
        <f t="shared" si="56"/>
        <v>189.09073333333333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1280.2101259030328</v>
      </c>
      <c r="S121" s="59">
        <f ca="1">AVERAGE(OFFSET($R$3,0,0,'Données projet'!$E$9+1,1))-AVERAGE(OFFSET($H$3,0,0,'Données projet'!$E$9+1,1))</f>
        <v>564.49981446852132</v>
      </c>
      <c r="T121" s="59">
        <f t="shared" si="88"/>
        <v>297.54722913785406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9.4029999999999916</v>
      </c>
      <c r="AI121" s="13">
        <f>IF('Données projet'!$A$62&gt;35,AI120+AH121-AQ120,IF(A121&lt;'Données projet'!$A$62,$AF$205^A121,IF(A121='Données projet'!$A$62,'Données projet'!$B$62,AI120+AH121-AQ120)))</f>
        <v>516.6370000000004</v>
      </c>
      <c r="AJ121" s="13">
        <f>AI121*VLOOKUP('Données projet'!$B$10,Paramètres!$A$1:$I$89,3,0)*VLOOKUP('Données projet'!$B$10,Paramètres!$A$1:$I$89,5,0)</f>
        <v>523.86991800000044</v>
      </c>
      <c r="AK121" s="13">
        <f t="shared" si="89"/>
        <v>116.48175753019471</v>
      </c>
      <c r="AL121" s="20">
        <f t="shared" si="58"/>
        <v>1115.2791682150898</v>
      </c>
      <c r="AM121" s="59">
        <f t="shared" si="59"/>
        <v>1397.9001711123356</v>
      </c>
      <c r="AN121" s="59">
        <f ca="1">AVERAGE(OFFSET($AM$3,0,0,'Données projet'!$E$10+1,1))-AVERAGE(OFFSET($H$3,0,0,'Données projet'!$E$10+1,1))</f>
        <v>623.16549611107564</v>
      </c>
      <c r="AO121" s="59">
        <f t="shared" si="90"/>
        <v>326.15178903425885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124.43267852114788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124.43267852114788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266.99999999999983</v>
      </c>
      <c r="BE121" s="13">
        <f>BD121*VLOOKUP('Données projet'!$B$11,Paramètres!$A$1:$I$89,3,0)*VLOOKUP('Données projet'!$B$11,Paramètres!$A$1:$I$89,5,0)</f>
        <v>216.59039999999987</v>
      </c>
      <c r="BF121" s="13">
        <f t="shared" si="91"/>
        <v>53.373153688190904</v>
      </c>
      <c r="BG121" s="20">
        <f t="shared" si="61"/>
        <v>470.18652267359886</v>
      </c>
      <c r="BH121" s="59">
        <f t="shared" si="62"/>
        <v>752.80752557084452</v>
      </c>
      <c r="BI121" s="59">
        <f ca="1">AVERAGE(OFFSET($BH$3,0,0,'Données projet'!$E$11+1,1))-AVERAGE(OFFSET($H$3,0,0,'Données projet'!$E$11+1,1))</f>
        <v>326.2912419133811</v>
      </c>
      <c r="BJ121" s="59">
        <f t="shared" si="92"/>
        <v>315.07976787459938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20.842892541338031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20.842892541338031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243</v>
      </c>
      <c r="BZ121" s="13">
        <f>BY121*VLOOKUP('Données projet'!$B$12,Paramètres!$A$1:$I$89,3,0)*VLOOKUP('Données projet'!$B$12,Paramètres!$A$1:$I$89,5,0)</f>
        <v>155.4228</v>
      </c>
      <c r="CA121" s="13">
        <f t="shared" si="93"/>
        <v>39.808377687614154</v>
      </c>
      <c r="CB121" s="20">
        <f t="shared" si="64"/>
        <v>340.02763447259463</v>
      </c>
      <c r="CC121" s="59">
        <f t="shared" si="65"/>
        <v>622.64863736984034</v>
      </c>
      <c r="CD121" s="59">
        <f ca="1">AVERAGE(OFFSET($CC$3,0,0,'Données projet'!$E$12+1,1))-AVERAGE(OFFSET($H$3,0,0,'Données projet'!$E$12+1,1))</f>
        <v>297.03992602744393</v>
      </c>
      <c r="CE121" s="59">
        <f t="shared" si="94"/>
        <v>265.2588848922893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28.776879318894284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28.776879318894284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367.99999999999972</v>
      </c>
      <c r="CU121" s="17">
        <f>CT121*VLOOKUP('Données projet'!$B$13,Paramètres!$A$1:$I$89,3,0)*VLOOKUP('Données projet'!$B$13,Paramètres!$A$1:$I$89,5,0)</f>
        <v>292.78079999999977</v>
      </c>
      <c r="CV121" s="13">
        <f t="shared" si="95"/>
        <v>69.660903052386217</v>
      </c>
      <c r="CW121" s="20">
        <f t="shared" si="67"/>
        <v>631.25263281623893</v>
      </c>
      <c r="CX121" s="59">
        <f t="shared" si="68"/>
        <v>913.87363571348465</v>
      </c>
      <c r="CY121" s="59">
        <f ca="1">AVERAGE(OFFSET($CX$3,0,0,'Données projet'!$E$13+1,1))-AVERAGE(OFFSET($H$3,0,0,'Données projet'!$E$13+1,1))</f>
        <v>427.42918901489531</v>
      </c>
      <c r="CZ121" s="59">
        <f t="shared" si="96"/>
        <v>410.68601510655412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29.038792303576496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29.038792303576496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9.4029999999999916</v>
      </c>
      <c r="DO121" s="12">
        <f>IF('Données projet'!$A$166&gt;35,DO120+DN121-DW120,IF(A121&lt;'Données projet'!$A$166,$DL$205^A121,IF(A121='Données projet'!$A$166,'Données projet'!$B$166,DO120+DN121-DW120)))</f>
        <v>516.6370000000004</v>
      </c>
      <c r="DP121" s="17">
        <f>DO121*VLOOKUP('Données projet'!$B$14,Paramètres!$A$1:$I$89,3,0)*VLOOKUP('Données projet'!$B$14,Paramètres!$A$1:$I$89,5,0)</f>
        <v>499.69130640000043</v>
      </c>
      <c r="DQ121" s="13">
        <f t="shared" si="97"/>
        <v>111.71846753498681</v>
      </c>
      <c r="DR121" s="20">
        <f t="shared" si="70"/>
        <v>1064.8720229367693</v>
      </c>
      <c r="DS121" s="59">
        <f t="shared" si="71"/>
        <v>1347.493025834015</v>
      </c>
      <c r="DT121" s="59">
        <f ca="1">AVERAGE(OFFSET($DS$3,0,0,'Données projet'!$E$14+1,1))-AVERAGE(OFFSET($H$3,0,0,'Données projet'!$E$14+1,1))</f>
        <v>598.03945725240396</v>
      </c>
      <c r="DU121" s="59">
        <f t="shared" si="98"/>
        <v>313.9014686755695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118.68963182017183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118.68963182017183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9.4029999999999916</v>
      </c>
      <c r="EJ121" s="12">
        <f>IF('Données projet'!$A$192&gt;35,EJ120+EI121-ER120,IF(A121&lt;'Données projet'!$A$192,$EG$205^A121,IF(A121='Données projet'!$A$192,'Données projet'!$B$192,EJ120+EI121-ER120)))</f>
        <v>516.6370000000004</v>
      </c>
      <c r="EK121" s="17">
        <f>EJ121*VLOOKUP('Données projet'!$B$15,Paramètres!$A$1:$I$89,3,0)*VLOOKUP('Données projet'!$B$15,Paramètres!$A$1:$I$89,5,0)</f>
        <v>346.56009960000029</v>
      </c>
      <c r="EL121" s="13">
        <f t="shared" si="99"/>
        <v>80.853793372492134</v>
      </c>
      <c r="EM121" s="20">
        <f t="shared" si="73"/>
        <v>744.41253026042432</v>
      </c>
      <c r="EN121" s="59">
        <f t="shared" si="74"/>
        <v>1027.03353315767</v>
      </c>
      <c r="EO121" s="59">
        <f ca="1">AVERAGE(OFFSET($EN$3,0,0,'Données projet'!$E$15+1,1))-AVERAGE(OFFSET($H$3,0,0,'Données projet'!$E$15+1,1))</f>
        <v>438.27475674276604</v>
      </c>
      <c r="EP121" s="59">
        <f t="shared" si="100"/>
        <v>235.97720136798864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101.46049171724363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101.46049171724363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5.2499999999990337</v>
      </c>
      <c r="FF121" s="17">
        <f>FE121*VLOOKUP('Données projet'!$B$16,Paramètres!$A$1:$I$89,3,0)*VLOOKUP('Données projet'!$B$16,Paramètres!$A$1:$I$89,5,0)</f>
        <v>2.4569999999995478</v>
      </c>
      <c r="FG121" s="13">
        <f t="shared" si="101"/>
        <v>1.0197977774625564</v>
      </c>
      <c r="FH121" s="20">
        <f t="shared" si="76"/>
        <v>6.0554227957464972</v>
      </c>
      <c r="FI121" s="59">
        <f t="shared" si="77"/>
        <v>288.67642569299215</v>
      </c>
      <c r="FJ121" s="59">
        <f ca="1">AVERAGE(OFFSET($FI$3,0,0,'Données projet'!$E$16+1,1))-AVERAGE(OFFSET($H$3,0,0,'Données projet'!$E$16+1,1))</f>
        <v>329.49463758169588</v>
      </c>
      <c r="FK121" s="59">
        <f t="shared" si="102"/>
        <v>207.1447698203379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203.23587048360145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203.23587048360145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763.00000000000057</v>
      </c>
      <c r="GA121" s="17">
        <f>FZ121*VLOOKUP('Données projet'!$B$17,Paramètres!$A$1:$I$89,3,0)*VLOOKUP('Données projet'!$B$17,Paramètres!$A$1:$I$89,5,0)</f>
        <v>456.2740000000004</v>
      </c>
      <c r="GB121" s="13">
        <f t="shared" si="103"/>
        <v>103.09649786611838</v>
      </c>
      <c r="GC121" s="20">
        <f t="shared" si="79"/>
        <v>974.23695045015677</v>
      </c>
      <c r="GD121" s="59">
        <f t="shared" si="80"/>
        <v>1256.8579533474024</v>
      </c>
      <c r="GE121" s="59">
        <f ca="1">AVERAGE(OFFSET($GD$3,0,0,'Données projet'!$E$17+1,1))-AVERAGE(OFFSET($H$3,0,0,'Données projet'!$E$17+1,1))</f>
        <v>577.07444926285291</v>
      </c>
      <c r="GF121" s="59">
        <f t="shared" si="104"/>
        <v>501.3762209070419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50.14153893396842</v>
      </c>
      <c r="GM121" s="21">
        <f>EXP(-LN(2)/25)*GM120+(1-EXP(-LN(2)/25))/(LN(2)/25)*Calculateur!GH121*Calculateur!GJ121*VLOOKUP('Données projet'!$B$17,Paramètres!$A$1:$I$89,3,0)*0.475*44/12</f>
        <v>5.7028778769561281</v>
      </c>
      <c r="GN121" s="21">
        <f>EXP(-LN(2)/2)*GN120+(1-EXP(-LN(2)/2))/(LN(2)/2)*GH121*GK121*VLOOKUP('Données projet'!$B$17,Paramètres!$A$1:$I$89,3,0)*0.475*44/12</f>
        <v>4.4648949085064415E-15</v>
      </c>
      <c r="GO121" s="21">
        <f t="shared" si="81"/>
        <v>55.844416810924557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67.07845533561246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-5.6843418860808015E-14</v>
      </c>
      <c r="GV121" s="17">
        <f>GU121*VLOOKUP('Données projet'!$B$18,Paramètres!$A$1:$I$89,3,0)*VLOOKUP('Données projet'!$B$18,Paramètres!$A$1:$I$89,5,0)</f>
        <v>-3.0061073630349716E-14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212.75657290802619</v>
      </c>
      <c r="HA121" s="59">
        <f t="shared" si="106"/>
        <v>411.47446316045978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13.454830427657013</v>
      </c>
      <c r="HH121" s="21">
        <f>EXP(-LN(2)/25)*HH120+(1-EXP(-LN(2)/25))/(LN(2)/25)*Calculateur!HC121*Calculateur!HE121*VLOOKUP('Données projet'!$B$18,Paramètres!$A$1:$I$89,3,0)*0.475*44/12</f>
        <v>1.7358061237783469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15.190636551435361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4.60745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16.893983333333335</v>
      </c>
      <c r="H122" s="66">
        <f t="shared" si="56"/>
        <v>189.09073333333333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1298.1607521308433</v>
      </c>
      <c r="S122" s="59">
        <f ca="1">AVERAGE(OFFSET($R$3,0,0,'Données projet'!$E$9+1,1))-AVERAGE(OFFSET($H$3,0,0,'Données projet'!$E$9+1,1))</f>
        <v>564.49981446852132</v>
      </c>
      <c r="T122" s="59">
        <f t="shared" si="88"/>
        <v>297.54722913785406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526.04</v>
      </c>
      <c r="AG122" s="12">
        <f>VLOOKUP(A122,'Données projet'!$A$61:$I$81,9,0)</f>
        <v>9.4029999999999916</v>
      </c>
      <c r="AH122" s="12">
        <f t="array" ref="AH122">INDEX(AG:AG,MIN(IF(ISNUMBER(AG122:AG318),ROW(AG122:AG318),"")))</f>
        <v>9.4029999999999916</v>
      </c>
      <c r="AI122" s="13">
        <f>IF('Données projet'!$A$62&gt;35,AI121+AH122-AQ121,IF(A122&lt;'Données projet'!$A$62,$AF$205^A122,IF(A122='Données projet'!$A$62,'Données projet'!$B$62,AI121+AH122-AQ121)))</f>
        <v>526.04000000000042</v>
      </c>
      <c r="AJ122" s="13">
        <f>AI122*VLOOKUP('Données projet'!$B$10,Paramètres!$A$1:$I$89,3,0)*VLOOKUP('Données projet'!$B$10,Paramètres!$A$1:$I$89,5,0)</f>
        <v>533.4045600000004</v>
      </c>
      <c r="AK122" s="13">
        <f t="shared" si="89"/>
        <v>118.35303145382375</v>
      </c>
      <c r="AL122" s="20">
        <f t="shared" si="58"/>
        <v>1135.1444717820771</v>
      </c>
      <c r="AM122" s="59">
        <f t="shared" si="59"/>
        <v>1417.9513096632058</v>
      </c>
      <c r="AN122" s="59">
        <f ca="1">AVERAGE(OFFSET($AM$3,0,0,'Données projet'!$E$10+1,1))-AVERAGE(OFFSET($H$3,0,0,'Données projet'!$E$10+1,1))</f>
        <v>623.16549611107564</v>
      </c>
      <c r="AO122" s="59">
        <f t="shared" si="90"/>
        <v>326.15178903425885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196.46</v>
      </c>
      <c r="AR122" s="16">
        <f>IF(ISNA(VLOOKUP(A122,'Données projet'!$A$61:$I$81,5,0)),0%,VLOOKUP(A122,'Données projet'!$A$61:$I$81,5,0)*VLOOKUP('Données projet'!$B$10,Paramètres!$A$1:$I$89,7,0))</f>
        <v>0.43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216.68776309869008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216.68776309869008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266.99999999999983</v>
      </c>
      <c r="BE122" s="13">
        <f>BD122*VLOOKUP('Données projet'!$B$11,Paramètres!$A$1:$I$89,3,0)*VLOOKUP('Données projet'!$B$11,Paramètres!$A$1:$I$89,5,0)</f>
        <v>216.59039999999987</v>
      </c>
      <c r="BF122" s="13">
        <f t="shared" si="91"/>
        <v>53.373153688190904</v>
      </c>
      <c r="BG122" s="20">
        <f t="shared" si="61"/>
        <v>470.18652267359886</v>
      </c>
      <c r="BH122" s="59">
        <f t="shared" si="62"/>
        <v>752.99336055472759</v>
      </c>
      <c r="BI122" s="59">
        <f ca="1">AVERAGE(OFFSET($BH$3,0,0,'Données projet'!$E$11+1,1))-AVERAGE(OFFSET($H$3,0,0,'Données projet'!$E$11+1,1))</f>
        <v>326.2912419133811</v>
      </c>
      <c r="BJ122" s="59">
        <f t="shared" si="92"/>
        <v>315.07976787459938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20.434176131511546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20.434176131511546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243</v>
      </c>
      <c r="BZ122" s="13">
        <f>BY122*VLOOKUP('Données projet'!$B$12,Paramètres!$A$1:$I$89,3,0)*VLOOKUP('Données projet'!$B$12,Paramètres!$A$1:$I$89,5,0)</f>
        <v>155.4228</v>
      </c>
      <c r="CA122" s="13">
        <f t="shared" si="93"/>
        <v>39.808377687614154</v>
      </c>
      <c r="CB122" s="20">
        <f t="shared" si="64"/>
        <v>340.02763447259463</v>
      </c>
      <c r="CC122" s="59">
        <f t="shared" si="65"/>
        <v>622.83447235372341</v>
      </c>
      <c r="CD122" s="59">
        <f ca="1">AVERAGE(OFFSET($CC$3,0,0,'Données projet'!$E$12+1,1))-AVERAGE(OFFSET($H$3,0,0,'Données projet'!$E$12+1,1))</f>
        <v>297.03992602744393</v>
      </c>
      <c r="CE122" s="59">
        <f t="shared" si="94"/>
        <v>265.2588848922893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28.212582267614021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28.212582267614021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367.99999999999972</v>
      </c>
      <c r="CU122" s="17">
        <f>CT122*VLOOKUP('Données projet'!$B$13,Paramètres!$A$1:$I$89,3,0)*VLOOKUP('Données projet'!$B$13,Paramètres!$A$1:$I$89,5,0)</f>
        <v>292.78079999999977</v>
      </c>
      <c r="CV122" s="13">
        <f t="shared" si="95"/>
        <v>69.660903052386217</v>
      </c>
      <c r="CW122" s="20">
        <f t="shared" si="67"/>
        <v>631.25263281623893</v>
      </c>
      <c r="CX122" s="59">
        <f t="shared" si="68"/>
        <v>914.05947069736771</v>
      </c>
      <c r="CY122" s="59">
        <f ca="1">AVERAGE(OFFSET($CX$3,0,0,'Données projet'!$E$13+1,1))-AVERAGE(OFFSET($H$3,0,0,'Données projet'!$E$13+1,1))</f>
        <v>427.42918901489531</v>
      </c>
      <c r="CZ122" s="59">
        <f t="shared" si="96"/>
        <v>410.68601510655412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28.469359298417761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28.469359298417761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>
        <f>VLOOKUP(A122,'Données projet'!$A$165:$I$185,2,0)</f>
        <v>526.04</v>
      </c>
      <c r="DM122" s="12">
        <f>VLOOKUP(A122,'Données projet'!$A$165:$I$185,9,0)</f>
        <v>9.4029999999999916</v>
      </c>
      <c r="DN122" s="12">
        <f t="array" ref="DN122">INDEX(DM:DM,MIN(IF(ISNUMBER(DM122:DM318),ROW(DM122:DM318),"")))</f>
        <v>9.4029999999999916</v>
      </c>
      <c r="DO122" s="12">
        <f>IF('Données projet'!$A$166&gt;35,DO121+DN122-DW121,IF(A122&lt;'Données projet'!$A$166,$DL$205^A122,IF(A122='Données projet'!$A$166,'Données projet'!$B$166,DO121+DN122-DW121)))</f>
        <v>526.04000000000042</v>
      </c>
      <c r="DP122" s="17">
        <f>DO122*VLOOKUP('Données projet'!$B$14,Paramètres!$A$1:$I$89,3,0)*VLOOKUP('Données projet'!$B$14,Paramètres!$A$1:$I$89,5,0)</f>
        <v>508.7858880000004</v>
      </c>
      <c r="DQ122" s="13">
        <f t="shared" si="97"/>
        <v>113.51321943020805</v>
      </c>
      <c r="DR122" s="20">
        <f t="shared" si="70"/>
        <v>1083.837612107613</v>
      </c>
      <c r="DS122" s="59">
        <f t="shared" si="71"/>
        <v>1366.6444499887418</v>
      </c>
      <c r="DT122" s="59">
        <f ca="1">AVERAGE(OFFSET($DS$3,0,0,'Données projet'!$E$14+1,1))-AVERAGE(OFFSET($H$3,0,0,'Données projet'!$E$14+1,1))</f>
        <v>598.03945725240396</v>
      </c>
      <c r="DU122" s="59">
        <f t="shared" si="98"/>
        <v>313.9014686755695</v>
      </c>
      <c r="DV122" s="15">
        <f>IF(ISNA(VLOOKUP(A122,'Données projet'!$A$165:$I$185,3,0)),0,VLOOKUP(A122,'Données projet'!$A$165:$I$185,3,0))</f>
        <v>11</v>
      </c>
      <c r="DW122" s="15">
        <f>IF(ISNA(VLOOKUP(A122,'Données projet'!$A$165:$I$185,4,0)),0,VLOOKUP(A122,'Données projet'!$A$165:$I$185,4,0))</f>
        <v>196.46</v>
      </c>
      <c r="DX122" s="16">
        <f>IF(ISNA(VLOOKUP(A122,'Données projet'!$A$165:$I$185,5,0)),0%,VLOOKUP(A122,'Données projet'!$A$165:$I$185,5,0)*VLOOKUP('Données projet'!$B$14,Paramètres!$A$1:$I$89,7,0))</f>
        <v>0.43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206.68678941721208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206.68678941721208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>
        <f>VLOOKUP(A122,'Données projet'!$A$191:$I$211,2,0)</f>
        <v>526.04</v>
      </c>
      <c r="EH122" s="12">
        <f>VLOOKUP(A122,'Données projet'!$A$191:$I$211,9,0)</f>
        <v>9.4029999999999916</v>
      </c>
      <c r="EI122" s="12">
        <f t="array" ref="EI122">INDEX(EH:EH,MIN(IF(ISNUMBER(EH122:EH318),ROW(EH122:EH318),"")))</f>
        <v>9.4029999999999916</v>
      </c>
      <c r="EJ122" s="12">
        <f>IF('Données projet'!$A$192&gt;35,EJ121+EI122-ER121,IF(A122&lt;'Données projet'!$A$192,$EG$205^A122,IF(A122='Données projet'!$A$192,'Données projet'!$B$192,EJ121+EI122-ER121)))</f>
        <v>526.04000000000042</v>
      </c>
      <c r="EK122" s="17">
        <f>EJ122*VLOOKUP('Données projet'!$B$15,Paramètres!$A$1:$I$89,3,0)*VLOOKUP('Données projet'!$B$15,Paramètres!$A$1:$I$89,5,0)</f>
        <v>352.8676320000003</v>
      </c>
      <c r="EL122" s="13">
        <f t="shared" si="99"/>
        <v>82.152705737591219</v>
      </c>
      <c r="EM122" s="20">
        <f t="shared" si="73"/>
        <v>757.66042155963851</v>
      </c>
      <c r="EN122" s="59">
        <f t="shared" si="74"/>
        <v>1040.4672594407673</v>
      </c>
      <c r="EO122" s="59">
        <f ca="1">AVERAGE(OFFSET($EN$3,0,0,'Données projet'!$E$15+1,1))-AVERAGE(OFFSET($H$3,0,0,'Données projet'!$E$15+1,1))</f>
        <v>438.27475674276604</v>
      </c>
      <c r="EP122" s="59">
        <f t="shared" si="100"/>
        <v>235.97720136798864</v>
      </c>
      <c r="EQ122" s="15">
        <f>IF(ISNA(VLOOKUP(A122,'Données projet'!$A$191:$I$211,3,0)),0,VLOOKUP(A122,'Données projet'!$A$191:$I$211,3,0))</f>
        <v>11</v>
      </c>
      <c r="ER122" s="15">
        <f>IF(ISNA(VLOOKUP(A122,'Données projet'!$A$191:$I$211,4,0)),0,VLOOKUP(A122,'Données projet'!$A$191:$I$211,4,0))</f>
        <v>196.46</v>
      </c>
      <c r="ES122" s="16">
        <f>IF(ISNA(VLOOKUP(A122,'Données projet'!$A$191:$I$211,5,0)),0%,VLOOKUP(A122,'Données projet'!$A$191:$I$211,5,0)*VLOOKUP('Données projet'!$B$15,Paramètres!$A$1:$I$89,7,0))</f>
        <v>0.53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176.68386837277805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176.68386837277805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5.2499999999990337</v>
      </c>
      <c r="FF122" s="17">
        <f>FE122*VLOOKUP('Données projet'!$B$16,Paramètres!$A$1:$I$89,3,0)*VLOOKUP('Données projet'!$B$16,Paramètres!$A$1:$I$89,5,0)</f>
        <v>2.4569999999995478</v>
      </c>
      <c r="FG122" s="13">
        <f t="shared" si="101"/>
        <v>1.0197977774625564</v>
      </c>
      <c r="FH122" s="20">
        <f t="shared" si="76"/>
        <v>6.0554227957464972</v>
      </c>
      <c r="FI122" s="59">
        <f t="shared" si="77"/>
        <v>288.86226067687522</v>
      </c>
      <c r="FJ122" s="59">
        <f ca="1">AVERAGE(OFFSET($FI$3,0,0,'Données projet'!$E$16+1,1))-AVERAGE(OFFSET($H$3,0,0,'Données projet'!$E$16+1,1))</f>
        <v>329.49463758169588</v>
      </c>
      <c r="FK122" s="59">
        <f t="shared" si="102"/>
        <v>207.1447698203379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199.25053902505883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199.25053902505883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763.00000000000057</v>
      </c>
      <c r="GA122" s="17">
        <f>FZ122*VLOOKUP('Données projet'!$B$17,Paramètres!$A$1:$I$89,3,0)*VLOOKUP('Données projet'!$B$17,Paramètres!$A$1:$I$89,5,0)</f>
        <v>456.2740000000004</v>
      </c>
      <c r="GB122" s="13">
        <f t="shared" si="103"/>
        <v>103.09649786611838</v>
      </c>
      <c r="GC122" s="20">
        <f t="shared" si="79"/>
        <v>974.23695045015677</v>
      </c>
      <c r="GD122" s="59">
        <f t="shared" si="80"/>
        <v>1257.0437883312854</v>
      </c>
      <c r="GE122" s="59">
        <f ca="1">AVERAGE(OFFSET($GD$3,0,0,'Données projet'!$E$17+1,1))-AVERAGE(OFFSET($H$3,0,0,'Données projet'!$E$17+1,1))</f>
        <v>577.07444926285291</v>
      </c>
      <c r="GF122" s="59">
        <f t="shared" si="104"/>
        <v>501.3762209070419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49.158293938792198</v>
      </c>
      <c r="GM122" s="21">
        <f>EXP(-LN(2)/25)*GM121+(1-EXP(-LN(2)/25))/(LN(2)/25)*Calculateur!GH122*Calculateur!GJ122*VLOOKUP('Données projet'!$B$17,Paramètres!$A$1:$I$89,3,0)*0.475*44/12</f>
        <v>5.5469323815094498</v>
      </c>
      <c r="GN122" s="21">
        <f>EXP(-LN(2)/2)*GN121+(1-EXP(-LN(2)/2))/(LN(2)/2)*GH122*GK122*VLOOKUP('Données projet'!$B$17,Paramètres!$A$1:$I$89,3,0)*0.475*44/12</f>
        <v>3.1571574670901945E-15</v>
      </c>
      <c r="GO122" s="21">
        <f t="shared" si="81"/>
        <v>54.705226320301648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67.129137603944201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-5.6843418860808015E-14</v>
      </c>
      <c r="GV122" s="17">
        <f>GU122*VLOOKUP('Données projet'!$B$18,Paramètres!$A$1:$I$89,3,0)*VLOOKUP('Données projet'!$B$18,Paramètres!$A$1:$I$89,5,0)</f>
        <v>-3.0061073630349716E-14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212.75657290802619</v>
      </c>
      <c r="HA122" s="59">
        <f t="shared" si="106"/>
        <v>411.47446316045978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13.190989409606882</v>
      </c>
      <c r="HH122" s="21">
        <f>EXP(-LN(2)/25)*HH121+(1-EXP(-LN(2)/25))/(LN(2)/25)*Calculateur!HC122*Calculateur!HE122*VLOOKUP('Données projet'!$B$18,Paramètres!$A$1:$I$89,3,0)*0.475*44/12</f>
        <v>1.6883404140415512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14.879329823648433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4.60745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16.893983333333335</v>
      </c>
      <c r="H123" s="66">
        <f t="shared" si="56"/>
        <v>189.09073333333333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924.96090956818773</v>
      </c>
      <c r="S123" s="59">
        <f ca="1">AVERAGE(OFFSET($R$3,0,0,'Données projet'!$E$9+1,1))-AVERAGE(OFFSET($H$3,0,0,'Données projet'!$E$9+1,1))</f>
        <v>564.49981446852132</v>
      </c>
      <c r="T123" s="59">
        <f t="shared" si="88"/>
        <v>297.54722913785406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-0.37249999999998806</v>
      </c>
      <c r="AI123" s="13">
        <f>IF('Données projet'!$A$62&gt;35,AI122+AH123-AQ122,IF(A123&lt;'Données projet'!$A$62,$AF$205^A123,IF(A123='Données projet'!$A$62,'Données projet'!$B$62,AI122+AH123-AQ122)))</f>
        <v>329.20750000000044</v>
      </c>
      <c r="AJ123" s="13">
        <f>AI123*VLOOKUP('Données projet'!$B$10,Paramètres!$A$1:$I$89,3,0)*VLOOKUP('Données projet'!$B$10,Paramètres!$A$1:$I$89,5,0)</f>
        <v>333.81640500000049</v>
      </c>
      <c r="AK123" s="13">
        <f t="shared" si="89"/>
        <v>78.221015013130113</v>
      </c>
      <c r="AL123" s="20">
        <f t="shared" si="58"/>
        <v>717.63183985620242</v>
      </c>
      <c r="AM123" s="59">
        <f t="shared" si="59"/>
        <v>1000.6212888997087</v>
      </c>
      <c r="AN123" s="59">
        <f ca="1">AVERAGE(OFFSET($AM$3,0,0,'Données projet'!$E$10+1,1))-AVERAGE(OFFSET($H$3,0,0,'Données projet'!$E$10+1,1))</f>
        <v>623.16549611107564</v>
      </c>
      <c r="AO123" s="59">
        <f t="shared" si="90"/>
        <v>326.15178903425885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212.43864823080992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212.43864823080992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266.99999999999983</v>
      </c>
      <c r="BE123" s="13">
        <f>BD123*VLOOKUP('Données projet'!$B$11,Paramètres!$A$1:$I$89,3,0)*VLOOKUP('Données projet'!$B$11,Paramètres!$A$1:$I$89,5,0)</f>
        <v>216.59039999999987</v>
      </c>
      <c r="BF123" s="13">
        <f t="shared" si="91"/>
        <v>53.373153688190904</v>
      </c>
      <c r="BG123" s="20">
        <f t="shared" si="61"/>
        <v>470.18652267359886</v>
      </c>
      <c r="BH123" s="59">
        <f t="shared" si="62"/>
        <v>753.17597171710509</v>
      </c>
      <c r="BI123" s="59">
        <f ca="1">AVERAGE(OFFSET($BH$3,0,0,'Données projet'!$E$11+1,1))-AVERAGE(OFFSET($H$3,0,0,'Données projet'!$E$11+1,1))</f>
        <v>326.2912419133811</v>
      </c>
      <c r="BJ123" s="59">
        <f t="shared" si="92"/>
        <v>315.07976787459938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20.033474401189366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20.033474401189366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243</v>
      </c>
      <c r="BZ123" s="13">
        <f>BY123*VLOOKUP('Données projet'!$B$12,Paramètres!$A$1:$I$89,3,0)*VLOOKUP('Données projet'!$B$12,Paramètres!$A$1:$I$89,5,0)</f>
        <v>155.4228</v>
      </c>
      <c r="CA123" s="13">
        <f t="shared" si="93"/>
        <v>39.808377687614154</v>
      </c>
      <c r="CB123" s="20">
        <f t="shared" si="64"/>
        <v>340.02763447259463</v>
      </c>
      <c r="CC123" s="59">
        <f t="shared" si="65"/>
        <v>623.01708351610091</v>
      </c>
      <c r="CD123" s="59">
        <f ca="1">AVERAGE(OFFSET($CC$3,0,0,'Données projet'!$E$12+1,1))-AVERAGE(OFFSET($H$3,0,0,'Données projet'!$E$12+1,1))</f>
        <v>297.03992602744393</v>
      </c>
      <c r="CE123" s="59">
        <f t="shared" si="94"/>
        <v>265.2588848922893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27.659350737322146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27.659350737322146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367.99999999999972</v>
      </c>
      <c r="CU123" s="17">
        <f>CT123*VLOOKUP('Données projet'!$B$13,Paramètres!$A$1:$I$89,3,0)*VLOOKUP('Données projet'!$B$13,Paramètres!$A$1:$I$89,5,0)</f>
        <v>292.78079999999977</v>
      </c>
      <c r="CV123" s="13">
        <f t="shared" si="95"/>
        <v>69.660903052386217</v>
      </c>
      <c r="CW123" s="20">
        <f t="shared" si="67"/>
        <v>631.25263281623893</v>
      </c>
      <c r="CX123" s="59">
        <f t="shared" si="68"/>
        <v>914.24208185974521</v>
      </c>
      <c r="CY123" s="59">
        <f ca="1">AVERAGE(OFFSET($CX$3,0,0,'Données projet'!$E$13+1,1))-AVERAGE(OFFSET($H$3,0,0,'Données projet'!$E$13+1,1))</f>
        <v>427.42918901489531</v>
      </c>
      <c r="CZ123" s="59">
        <f t="shared" si="96"/>
        <v>410.68601510655412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27.91109252717035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27.91109252717035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-0.37249999999998806</v>
      </c>
      <c r="DO123" s="12">
        <f>IF('Données projet'!$A$166&gt;35,DO122+DN123-DW122,IF(A123&lt;'Données projet'!$A$166,$DL$205^A123,IF(A123='Données projet'!$A$166,'Données projet'!$B$166,DO122+DN123-DW122)))</f>
        <v>329.20750000000044</v>
      </c>
      <c r="DP123" s="17">
        <f>DO123*VLOOKUP('Données projet'!$B$14,Paramètres!$A$1:$I$89,3,0)*VLOOKUP('Données projet'!$B$14,Paramètres!$A$1:$I$89,5,0)</f>
        <v>318.40949400000045</v>
      </c>
      <c r="DQ123" s="13">
        <f t="shared" si="97"/>
        <v>75.022322049294417</v>
      </c>
      <c r="DR123" s="20">
        <f t="shared" si="70"/>
        <v>685.22707961918843</v>
      </c>
      <c r="DS123" s="59">
        <f t="shared" si="71"/>
        <v>968.21652866269471</v>
      </c>
      <c r="DT123" s="59">
        <f ca="1">AVERAGE(OFFSET($DS$3,0,0,'Données projet'!$E$14+1,1))-AVERAGE(OFFSET($H$3,0,0,'Données projet'!$E$14+1,1))</f>
        <v>598.03945725240396</v>
      </c>
      <c r="DU123" s="59">
        <f t="shared" si="98"/>
        <v>313.9014686755695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202.63378754323406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202.63378754323406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-0.37249999999998806</v>
      </c>
      <c r="EJ123" s="12">
        <f>IF('Données projet'!$A$192&gt;35,EJ122+EI123-ER122,IF(A123&lt;'Données projet'!$A$192,$EG$205^A123,IF(A123='Données projet'!$A$192,'Données projet'!$B$192,EJ122+EI123-ER122)))</f>
        <v>329.20750000000044</v>
      </c>
      <c r="EK123" s="17">
        <f>EJ123*VLOOKUP('Données projet'!$B$15,Paramètres!$A$1:$I$89,3,0)*VLOOKUP('Données projet'!$B$15,Paramètres!$A$1:$I$89,5,0)</f>
        <v>220.83239100000031</v>
      </c>
      <c r="EL123" s="13">
        <f t="shared" si="99"/>
        <v>54.295762009074963</v>
      </c>
      <c r="EM123" s="20">
        <f t="shared" si="73"/>
        <v>479.18153315747281</v>
      </c>
      <c r="EN123" s="59">
        <f t="shared" si="74"/>
        <v>762.1709822009791</v>
      </c>
      <c r="EO123" s="59">
        <f ca="1">AVERAGE(OFFSET($EN$3,0,0,'Données projet'!$E$15+1,1))-AVERAGE(OFFSET($H$3,0,0,'Données projet'!$E$15+1,1))</f>
        <v>438.27475674276604</v>
      </c>
      <c r="EP123" s="59">
        <f t="shared" si="100"/>
        <v>235.97720136798864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173.21920548050653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173.21920548050653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5.2499999999990337</v>
      </c>
      <c r="FF123" s="17">
        <f>FE123*VLOOKUP('Données projet'!$B$16,Paramètres!$A$1:$I$89,3,0)*VLOOKUP('Données projet'!$B$16,Paramètres!$A$1:$I$89,5,0)</f>
        <v>2.4569999999995478</v>
      </c>
      <c r="FG123" s="13">
        <f t="shared" si="101"/>
        <v>1.0197977774625564</v>
      </c>
      <c r="FH123" s="20">
        <f t="shared" si="76"/>
        <v>6.0554227957464972</v>
      </c>
      <c r="FI123" s="59">
        <f t="shared" si="77"/>
        <v>289.04487183925278</v>
      </c>
      <c r="FJ123" s="59">
        <f ca="1">AVERAGE(OFFSET($FI$3,0,0,'Données projet'!$E$16+1,1))-AVERAGE(OFFSET($H$3,0,0,'Données projet'!$E$16+1,1))</f>
        <v>329.49463758169588</v>
      </c>
      <c r="FK123" s="59">
        <f t="shared" si="102"/>
        <v>207.1447698203379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195.34335748560605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195.34335748560605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763.00000000000057</v>
      </c>
      <c r="GA123" s="17">
        <f>FZ123*VLOOKUP('Données projet'!$B$17,Paramètres!$A$1:$I$89,3,0)*VLOOKUP('Données projet'!$B$17,Paramètres!$A$1:$I$89,5,0)</f>
        <v>456.2740000000004</v>
      </c>
      <c r="GB123" s="13">
        <f t="shared" si="103"/>
        <v>103.09649786611838</v>
      </c>
      <c r="GC123" s="20">
        <f t="shared" si="79"/>
        <v>974.23695045015677</v>
      </c>
      <c r="GD123" s="59">
        <f t="shared" si="80"/>
        <v>1257.2263994936629</v>
      </c>
      <c r="GE123" s="59">
        <f ca="1">AVERAGE(OFFSET($GD$3,0,0,'Données projet'!$E$17+1,1))-AVERAGE(OFFSET($H$3,0,0,'Données projet'!$E$17+1,1))</f>
        <v>577.07444926285291</v>
      </c>
      <c r="GF123" s="59">
        <f t="shared" si="104"/>
        <v>501.3762209070419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48.194329778251152</v>
      </c>
      <c r="GM123" s="21">
        <f>EXP(-LN(2)/25)*GM122+(1-EXP(-LN(2)/25))/(LN(2)/25)*Calculateur!GH123*Calculateur!GJ123*VLOOKUP('Données projet'!$B$17,Paramètres!$A$1:$I$89,3,0)*0.475*44/12</f>
        <v>5.3952512238365777</v>
      </c>
      <c r="GN123" s="21">
        <f>EXP(-LN(2)/2)*GN122+(1-EXP(-LN(2)/2))/(LN(2)/2)*GH123*GK123*VLOOKUP('Données projet'!$B$17,Paramètres!$A$1:$I$89,3,0)*0.475*44/12</f>
        <v>2.2324474542532208E-15</v>
      </c>
      <c r="GO123" s="21">
        <f t="shared" si="81"/>
        <v>53.589581002087726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67.178940648228988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-5.6843418860808015E-14</v>
      </c>
      <c r="GV123" s="17">
        <f>GU123*VLOOKUP('Données projet'!$B$18,Paramètres!$A$1:$I$89,3,0)*VLOOKUP('Données projet'!$B$18,Paramètres!$A$1:$I$89,5,0)</f>
        <v>-3.0061073630349716E-14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212.75657290802619</v>
      </c>
      <c r="HA123" s="59">
        <f t="shared" si="106"/>
        <v>411.47446316045978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12.932322152993583</v>
      </c>
      <c r="HH123" s="21">
        <f>EXP(-LN(2)/25)*HH122+(1-EXP(-LN(2)/25))/(LN(2)/25)*Calculateur!HC123*Calculateur!HE123*VLOOKUP('Données projet'!$B$18,Paramètres!$A$1:$I$89,3,0)*0.475*44/12</f>
        <v>1.6421726566336214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14.574494809627204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4.60745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16.893983333333335</v>
      </c>
      <c r="H124" s="66">
        <f t="shared" si="56"/>
        <v>189.09073333333333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924.4301752252361</v>
      </c>
      <c r="S124" s="59">
        <f ca="1">AVERAGE(OFFSET($R$3,0,0,'Données projet'!$E$9+1,1))-AVERAGE(OFFSET($H$3,0,0,'Données projet'!$E$9+1,1))</f>
        <v>564.49981446852132</v>
      </c>
      <c r="T124" s="59">
        <f t="shared" si="88"/>
        <v>297.54722913785406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-0.37249999999998806</v>
      </c>
      <c r="AI124" s="13">
        <f>IF('Données projet'!$A$62&gt;35,AI123+AH124-AQ123,IF(A124&lt;'Données projet'!$A$62,$AF$205^A124,IF(A124='Données projet'!$A$62,'Données projet'!$B$62,AI123+AH124-AQ123)))</f>
        <v>328.83500000000043</v>
      </c>
      <c r="AJ124" s="13">
        <f>AI124*VLOOKUP('Données projet'!$B$10,Paramètres!$A$1:$I$89,3,0)*VLOOKUP('Données projet'!$B$10,Paramètres!$A$1:$I$89,5,0)</f>
        <v>333.43869000000046</v>
      </c>
      <c r="AK124" s="13">
        <f t="shared" si="89"/>
        <v>78.142804646517234</v>
      </c>
      <c r="AL124" s="20">
        <f t="shared" si="58"/>
        <v>716.83776984268491</v>
      </c>
      <c r="AM124" s="59">
        <f t="shared" si="59"/>
        <v>1000.0066621531589</v>
      </c>
      <c r="AN124" s="59">
        <f ca="1">AVERAGE(OFFSET($AM$3,0,0,'Données projet'!$E$10+1,1))-AVERAGE(OFFSET($H$3,0,0,'Données projet'!$E$10+1,1))</f>
        <v>623.16549611107564</v>
      </c>
      <c r="AO124" s="59">
        <f t="shared" si="90"/>
        <v>326.15178903425885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208.2728559137847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208.2728559137847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266.99999999999983</v>
      </c>
      <c r="BE124" s="13">
        <f>BD124*VLOOKUP('Données projet'!$B$11,Paramètres!$A$1:$I$89,3,0)*VLOOKUP('Données projet'!$B$11,Paramètres!$A$1:$I$89,5,0)</f>
        <v>216.59039999999987</v>
      </c>
      <c r="BF124" s="13">
        <f t="shared" si="91"/>
        <v>53.373153688190904</v>
      </c>
      <c r="BG124" s="20">
        <f t="shared" si="61"/>
        <v>470.18652267359886</v>
      </c>
      <c r="BH124" s="59">
        <f t="shared" si="62"/>
        <v>753.35541498407292</v>
      </c>
      <c r="BI124" s="59">
        <f ca="1">AVERAGE(OFFSET($BH$3,0,0,'Données projet'!$E$11+1,1))-AVERAGE(OFFSET($H$3,0,0,'Données projet'!$E$11+1,1))</f>
        <v>326.2912419133811</v>
      </c>
      <c r="BJ124" s="59">
        <f t="shared" si="92"/>
        <v>315.07976787459938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19.64063018739488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19.64063018739488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243</v>
      </c>
      <c r="BZ124" s="13">
        <f>BY124*VLOOKUP('Données projet'!$B$12,Paramètres!$A$1:$I$89,3,0)*VLOOKUP('Données projet'!$B$12,Paramètres!$A$1:$I$89,5,0)</f>
        <v>155.4228</v>
      </c>
      <c r="CA124" s="13">
        <f t="shared" si="93"/>
        <v>39.808377687614154</v>
      </c>
      <c r="CB124" s="20">
        <f t="shared" si="64"/>
        <v>340.02763447259463</v>
      </c>
      <c r="CC124" s="59">
        <f t="shared" si="65"/>
        <v>623.19652678306863</v>
      </c>
      <c r="CD124" s="59">
        <f ca="1">AVERAGE(OFFSET($CC$3,0,0,'Données projet'!$E$12+1,1))-AVERAGE(OFFSET($H$3,0,0,'Données projet'!$E$12+1,1))</f>
        <v>297.03992602744393</v>
      </c>
      <c r="CE124" s="59">
        <f t="shared" si="94"/>
        <v>265.2588848922893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27.11696773990138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27.11696773990138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367.99999999999972</v>
      </c>
      <c r="CU124" s="17">
        <f>CT124*VLOOKUP('Données projet'!$B$13,Paramètres!$A$1:$I$89,3,0)*VLOOKUP('Données projet'!$B$13,Paramètres!$A$1:$I$89,5,0)</f>
        <v>292.78079999999977</v>
      </c>
      <c r="CV124" s="13">
        <f t="shared" si="95"/>
        <v>69.660903052386217</v>
      </c>
      <c r="CW124" s="20">
        <f t="shared" si="67"/>
        <v>631.25263281623893</v>
      </c>
      <c r="CX124" s="59">
        <f t="shared" si="68"/>
        <v>914.42152512671294</v>
      </c>
      <c r="CY124" s="59">
        <f ca="1">AVERAGE(OFFSET($CX$3,0,0,'Données projet'!$E$13+1,1))-AVERAGE(OFFSET($H$3,0,0,'Données projet'!$E$13+1,1))</f>
        <v>427.42918901489531</v>
      </c>
      <c r="CZ124" s="59">
        <f t="shared" si="96"/>
        <v>410.68601510655412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27.363773026797993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27.363773026797993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-0.37249999999998806</v>
      </c>
      <c r="DO124" s="12">
        <f>IF('Données projet'!$A$166&gt;35,DO123+DN124-DW123,IF(A124&lt;'Données projet'!$A$166,$DL$205^A124,IF(A124='Données projet'!$A$166,'Données projet'!$B$166,DO123+DN124-DW123)))</f>
        <v>328.83500000000043</v>
      </c>
      <c r="DP124" s="17">
        <f>DO124*VLOOKUP('Données projet'!$B$14,Paramètres!$A$1:$I$89,3,0)*VLOOKUP('Données projet'!$B$14,Paramètres!$A$1:$I$89,5,0)</f>
        <v>318.04921200000041</v>
      </c>
      <c r="DQ124" s="13">
        <f t="shared" si="97"/>
        <v>74.947309940200213</v>
      </c>
      <c r="DR124" s="20">
        <f t="shared" si="70"/>
        <v>684.46894237918275</v>
      </c>
      <c r="DS124" s="59">
        <f t="shared" si="71"/>
        <v>967.63783468965676</v>
      </c>
      <c r="DT124" s="59">
        <f ca="1">AVERAGE(OFFSET($DS$3,0,0,'Données projet'!$E$14+1,1))-AVERAGE(OFFSET($H$3,0,0,'Données projet'!$E$14+1,1))</f>
        <v>598.03945725240396</v>
      </c>
      <c r="DU124" s="59">
        <f t="shared" si="98"/>
        <v>313.9014686755695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198.66026256391771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198.66026256391771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-0.37249999999998806</v>
      </c>
      <c r="EJ124" s="12">
        <f>IF('Données projet'!$A$192&gt;35,EJ123+EI124-ER123,IF(A124&lt;'Données projet'!$A$192,$EG$205^A124,IF(A124='Données projet'!$A$192,'Données projet'!$B$192,EJ123+EI124-ER123)))</f>
        <v>328.83500000000043</v>
      </c>
      <c r="EK124" s="17">
        <f>EJ124*VLOOKUP('Données projet'!$B$15,Paramètres!$A$1:$I$89,3,0)*VLOOKUP('Données projet'!$B$15,Paramètres!$A$1:$I$89,5,0)</f>
        <v>220.58251800000031</v>
      </c>
      <c r="EL124" s="13">
        <f t="shared" si="99"/>
        <v>54.241473638468392</v>
      </c>
      <c r="EM124" s="20">
        <f t="shared" si="73"/>
        <v>478.65178543699955</v>
      </c>
      <c r="EN124" s="59">
        <f t="shared" si="74"/>
        <v>761.82067774747361</v>
      </c>
      <c r="EO124" s="59">
        <f ca="1">AVERAGE(OFFSET($EN$3,0,0,'Données projet'!$E$15+1,1))-AVERAGE(OFFSET($H$3,0,0,'Données projet'!$E$15+1,1))</f>
        <v>438.27475674276604</v>
      </c>
      <c r="EP124" s="59">
        <f t="shared" si="100"/>
        <v>235.97720136798864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169.82248251431673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169.82248251431673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5.2499999999990337</v>
      </c>
      <c r="FF124" s="17">
        <f>FE124*VLOOKUP('Données projet'!$B$16,Paramètres!$A$1:$I$89,3,0)*VLOOKUP('Données projet'!$B$16,Paramètres!$A$1:$I$89,5,0)</f>
        <v>2.4569999999995478</v>
      </c>
      <c r="FG124" s="13">
        <f t="shared" si="101"/>
        <v>1.0197977774625564</v>
      </c>
      <c r="FH124" s="20">
        <f t="shared" si="76"/>
        <v>6.0554227957464972</v>
      </c>
      <c r="FI124" s="59">
        <f t="shared" si="77"/>
        <v>289.2243151062205</v>
      </c>
      <c r="FJ124" s="59">
        <f ca="1">AVERAGE(OFFSET($FI$3,0,0,'Données projet'!$E$16+1,1))-AVERAGE(OFFSET($H$3,0,0,'Données projet'!$E$16+1,1))</f>
        <v>329.49463758169588</v>
      </c>
      <c r="FK124" s="59">
        <f t="shared" si="102"/>
        <v>207.1447698203379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191.51279339299651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191.51279339299651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763.00000000000057</v>
      </c>
      <c r="GA124" s="17">
        <f>FZ124*VLOOKUP('Données projet'!$B$17,Paramètres!$A$1:$I$89,3,0)*VLOOKUP('Données projet'!$B$17,Paramètres!$A$1:$I$89,5,0)</f>
        <v>456.2740000000004</v>
      </c>
      <c r="GB124" s="13">
        <f t="shared" si="103"/>
        <v>103.09649786611838</v>
      </c>
      <c r="GC124" s="20">
        <f t="shared" si="79"/>
        <v>974.23695045015677</v>
      </c>
      <c r="GD124" s="59">
        <f t="shared" si="80"/>
        <v>1257.4058427606308</v>
      </c>
      <c r="GE124" s="59">
        <f ca="1">AVERAGE(OFFSET($GD$3,0,0,'Données projet'!$E$17+1,1))-AVERAGE(OFFSET($H$3,0,0,'Données projet'!$E$17+1,1))</f>
        <v>577.07444926285291</v>
      </c>
      <c r="GF124" s="59">
        <f t="shared" si="104"/>
        <v>501.3762209070419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47.249268366938232</v>
      </c>
      <c r="GM124" s="21">
        <f>EXP(-LN(2)/25)*GM123+(1-EXP(-LN(2)/25))/(LN(2)/25)*Calculateur!GH124*Calculateur!GJ124*VLOOKUP('Données projet'!$B$17,Paramètres!$A$1:$I$89,3,0)*0.475*44/12</f>
        <v>5.2477177953968352</v>
      </c>
      <c r="GN124" s="21">
        <f>EXP(-LN(2)/2)*GN123+(1-EXP(-LN(2)/2))/(LN(2)/2)*GH124*GK124*VLOOKUP('Données projet'!$B$17,Paramètres!$A$1:$I$89,3,0)*0.475*44/12</f>
        <v>1.5785787335450973E-15</v>
      </c>
      <c r="GO124" s="21">
        <f t="shared" si="81"/>
        <v>52.49698616233507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67.227879721038363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-5.6843418860808015E-14</v>
      </c>
      <c r="GV124" s="17">
        <f>GU124*VLOOKUP('Données projet'!$B$18,Paramètres!$A$1:$I$89,3,0)*VLOOKUP('Données projet'!$B$18,Paramètres!$A$1:$I$89,5,0)</f>
        <v>-3.0061073630349716E-14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212.75657290802619</v>
      </c>
      <c r="HA124" s="59">
        <f t="shared" si="106"/>
        <v>411.47446316045978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12.678727203511023</v>
      </c>
      <c r="HH124" s="21">
        <f>EXP(-LN(2)/25)*HH123+(1-EXP(-LN(2)/25))/(LN(2)/25)*Calculateur!HC124*Calculateur!HE124*VLOOKUP('Données projet'!$B$18,Paramètres!$A$1:$I$89,3,0)*0.475*44/12</f>
        <v>1.5972673589798683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14.275994562490892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4.60745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16.893983333333335</v>
      </c>
      <c r="H125" s="66">
        <f t="shared" si="56"/>
        <v>189.09073333333333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923.89631170098187</v>
      </c>
      <c r="S125" s="59">
        <f ca="1">AVERAGE(OFFSET($R$3,0,0,'Données projet'!$E$9+1,1))-AVERAGE(OFFSET($H$3,0,0,'Données projet'!$E$9+1,1))</f>
        <v>564.49981446852132</v>
      </c>
      <c r="T125" s="59">
        <f t="shared" si="88"/>
        <v>297.54722913785406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-0.37249999999998806</v>
      </c>
      <c r="AI125" s="13">
        <f>IF('Données projet'!$A$62&gt;35,AI124+AH125-AQ124,IF(A125&lt;'Données projet'!$A$62,$AF$205^A125,IF(A125='Données projet'!$A$62,'Données projet'!$B$62,AI124+AH125-AQ124)))</f>
        <v>328.46250000000043</v>
      </c>
      <c r="AJ125" s="13">
        <f>AI125*VLOOKUP('Données projet'!$B$10,Paramètres!$A$1:$I$89,3,0)*VLOOKUP('Données projet'!$B$10,Paramètres!$A$1:$I$89,5,0)</f>
        <v>333.0609750000005</v>
      </c>
      <c r="AK125" s="13">
        <f t="shared" si="89"/>
        <v>78.064583966684552</v>
      </c>
      <c r="AL125" s="20">
        <f t="shared" si="58"/>
        <v>716.04368186697639</v>
      </c>
      <c r="AM125" s="59">
        <f t="shared" si="59"/>
        <v>999.38890450491112</v>
      </c>
      <c r="AN125" s="59">
        <f ca="1">AVERAGE(OFFSET($AM$3,0,0,'Données projet'!$E$10+1,1))-AVERAGE(OFFSET($H$3,0,0,'Données projet'!$E$10+1,1))</f>
        <v>623.16549611107564</v>
      </c>
      <c r="AO125" s="59">
        <f t="shared" si="90"/>
        <v>326.15178903425885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204.18875224321394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204.18875224321394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266.99999999999983</v>
      </c>
      <c r="BE125" s="13">
        <f>BD125*VLOOKUP('Données projet'!$B$11,Paramètres!$A$1:$I$89,3,0)*VLOOKUP('Données projet'!$B$11,Paramètres!$A$1:$I$89,5,0)</f>
        <v>216.59039999999987</v>
      </c>
      <c r="BF125" s="13">
        <f t="shared" si="91"/>
        <v>53.373153688190904</v>
      </c>
      <c r="BG125" s="20">
        <f t="shared" si="61"/>
        <v>470.18652267359886</v>
      </c>
      <c r="BH125" s="59">
        <f t="shared" si="62"/>
        <v>753.53174531153365</v>
      </c>
      <c r="BI125" s="59">
        <f ca="1">AVERAGE(OFFSET($BH$3,0,0,'Données projet'!$E$11+1,1))-AVERAGE(OFFSET($H$3,0,0,'Données projet'!$E$11+1,1))</f>
        <v>326.2912419133811</v>
      </c>
      <c r="BJ125" s="59">
        <f t="shared" si="92"/>
        <v>315.07976787459938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19.255489409021592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19.255489409021592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243</v>
      </c>
      <c r="BZ125" s="13">
        <f>BY125*VLOOKUP('Données projet'!$B$12,Paramètres!$A$1:$I$89,3,0)*VLOOKUP('Données projet'!$B$12,Paramètres!$A$1:$I$89,5,0)</f>
        <v>155.4228</v>
      </c>
      <c r="CA125" s="13">
        <f t="shared" si="93"/>
        <v>39.808377687614154</v>
      </c>
      <c r="CB125" s="20">
        <f t="shared" si="64"/>
        <v>340.02763447259463</v>
      </c>
      <c r="CC125" s="59">
        <f t="shared" si="65"/>
        <v>623.37285711052937</v>
      </c>
      <c r="CD125" s="59">
        <f ca="1">AVERAGE(OFFSET($CC$3,0,0,'Données projet'!$E$12+1,1))-AVERAGE(OFFSET($H$3,0,0,'Données projet'!$E$12+1,1))</f>
        <v>297.03992602744393</v>
      </c>
      <c r="CE125" s="59">
        <f t="shared" si="94"/>
        <v>265.2588848922893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26.585220542239075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26.585220542239075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367.99999999999972</v>
      </c>
      <c r="CU125" s="17">
        <f>CT125*VLOOKUP('Données projet'!$B$13,Paramètres!$A$1:$I$89,3,0)*VLOOKUP('Données projet'!$B$13,Paramètres!$A$1:$I$89,5,0)</f>
        <v>292.78079999999977</v>
      </c>
      <c r="CV125" s="13">
        <f t="shared" si="95"/>
        <v>69.660903052386217</v>
      </c>
      <c r="CW125" s="20">
        <f t="shared" si="67"/>
        <v>631.25263281623893</v>
      </c>
      <c r="CX125" s="59">
        <f t="shared" si="68"/>
        <v>914.59785545417367</v>
      </c>
      <c r="CY125" s="59">
        <f ca="1">AVERAGE(OFFSET($CX$3,0,0,'Données projet'!$E$13+1,1))-AVERAGE(OFFSET($H$3,0,0,'Données projet'!$E$13+1,1))</f>
        <v>427.42918901489531</v>
      </c>
      <c r="CZ125" s="59">
        <f t="shared" si="96"/>
        <v>410.68601510655412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26.827186127996004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26.827186127996004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-0.37249999999998806</v>
      </c>
      <c r="DO125" s="12">
        <f>IF('Données projet'!$A$166&gt;35,DO124+DN125-DW124,IF(A125&lt;'Données projet'!$A$166,$DL$205^A125,IF(A125='Données projet'!$A$166,'Données projet'!$B$166,DO124+DN125-DW124)))</f>
        <v>328.46250000000043</v>
      </c>
      <c r="DP125" s="17">
        <f>DO125*VLOOKUP('Données projet'!$B$14,Paramètres!$A$1:$I$89,3,0)*VLOOKUP('Données projet'!$B$14,Paramètres!$A$1:$I$89,5,0)</f>
        <v>317.68893000000043</v>
      </c>
      <c r="DQ125" s="13">
        <f t="shared" si="97"/>
        <v>74.872287939624826</v>
      </c>
      <c r="DR125" s="20">
        <f t="shared" si="70"/>
        <v>683.71078791151388</v>
      </c>
      <c r="DS125" s="59">
        <f t="shared" si="71"/>
        <v>967.05601054944873</v>
      </c>
      <c r="DT125" s="59">
        <f ca="1">AVERAGE(OFFSET($DS$3,0,0,'Données projet'!$E$14+1,1))-AVERAGE(OFFSET($H$3,0,0,'Données projet'!$E$14+1,1))</f>
        <v>598.03945725240396</v>
      </c>
      <c r="DU125" s="59">
        <f t="shared" si="98"/>
        <v>313.9014686755695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194.76465598583482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194.76465598583482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-0.37249999999998806</v>
      </c>
      <c r="EJ125" s="12">
        <f>IF('Données projet'!$A$192&gt;35,EJ124+EI125-ER124,IF(A125&lt;'Données projet'!$A$192,$EG$205^A125,IF(A125='Données projet'!$A$192,'Données projet'!$B$192,EJ124+EI125-ER124)))</f>
        <v>328.46250000000043</v>
      </c>
      <c r="EK125" s="17">
        <f>EJ125*VLOOKUP('Données projet'!$B$15,Paramètres!$A$1:$I$89,3,0)*VLOOKUP('Données projet'!$B$15,Paramètres!$A$1:$I$89,5,0)</f>
        <v>220.3326450000003</v>
      </c>
      <c r="EL125" s="13">
        <f t="shared" si="99"/>
        <v>54.187178109119017</v>
      </c>
      <c r="EM125" s="20">
        <f t="shared" si="73"/>
        <v>478.12202524838284</v>
      </c>
      <c r="EN125" s="59">
        <f t="shared" si="74"/>
        <v>761.46724788631764</v>
      </c>
      <c r="EO125" s="59">
        <f ca="1">AVERAGE(OFFSET($EN$3,0,0,'Données projet'!$E$15+1,1))-AVERAGE(OFFSET($H$3,0,0,'Données projet'!$E$15+1,1))</f>
        <v>438.27475674276604</v>
      </c>
      <c r="EP125" s="59">
        <f t="shared" si="100"/>
        <v>235.97720136798864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166.49236721369749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166.49236721369749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5.2499999999990337</v>
      </c>
      <c r="FF125" s="17">
        <f>FE125*VLOOKUP('Données projet'!$B$16,Paramètres!$A$1:$I$89,3,0)*VLOOKUP('Données projet'!$B$16,Paramètres!$A$1:$I$89,5,0)</f>
        <v>2.4569999999995478</v>
      </c>
      <c r="FG125" s="13">
        <f t="shared" si="101"/>
        <v>1.0197977774625564</v>
      </c>
      <c r="FH125" s="20">
        <f t="shared" si="76"/>
        <v>6.0554227957464972</v>
      </c>
      <c r="FI125" s="59">
        <f t="shared" si="77"/>
        <v>289.40064543368129</v>
      </c>
      <c r="FJ125" s="59">
        <f ca="1">AVERAGE(OFFSET($FI$3,0,0,'Données projet'!$E$16+1,1))-AVERAGE(OFFSET($H$3,0,0,'Données projet'!$E$16+1,1))</f>
        <v>329.49463758169588</v>
      </c>
      <c r="FK125" s="59">
        <f t="shared" si="102"/>
        <v>207.1447698203379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187.75734432582968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187.75734432582968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763.00000000000057</v>
      </c>
      <c r="GA125" s="17">
        <f>FZ125*VLOOKUP('Données projet'!$B$17,Paramètres!$A$1:$I$89,3,0)*VLOOKUP('Données projet'!$B$17,Paramètres!$A$1:$I$89,5,0)</f>
        <v>456.2740000000004</v>
      </c>
      <c r="GB125" s="13">
        <f t="shared" si="103"/>
        <v>103.09649786611838</v>
      </c>
      <c r="GC125" s="20">
        <f t="shared" si="79"/>
        <v>974.23695045015677</v>
      </c>
      <c r="GD125" s="59">
        <f t="shared" si="80"/>
        <v>1257.5821730880916</v>
      </c>
      <c r="GE125" s="59">
        <f ca="1">AVERAGE(OFFSET($GD$3,0,0,'Données projet'!$E$17+1,1))-AVERAGE(OFFSET($H$3,0,0,'Données projet'!$E$17+1,1))</f>
        <v>577.07444926285291</v>
      </c>
      <c r="GF125" s="59">
        <f t="shared" si="104"/>
        <v>501.3762209070419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46.322739033470619</v>
      </c>
      <c r="GM125" s="21">
        <f>EXP(-LN(2)/25)*GM124+(1-EXP(-LN(2)/25))/(LN(2)/25)*Calculateur!GH125*Calculateur!GJ125*VLOOKUP('Données projet'!$B$17,Paramètres!$A$1:$I$89,3,0)*0.475*44/12</f>
        <v>5.1042186763162238</v>
      </c>
      <c r="GN125" s="21">
        <f>EXP(-LN(2)/2)*GN124+(1-EXP(-LN(2)/2))/(LN(2)/2)*GH125*GK125*VLOOKUP('Données projet'!$B$17,Paramètres!$A$1:$I$89,3,0)*0.475*44/12</f>
        <v>1.1162237271266104E-15</v>
      </c>
      <c r="GO125" s="21">
        <f t="shared" si="81"/>
        <v>51.426957709786841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67.275969810345856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-5.6843418860808015E-14</v>
      </c>
      <c r="GV125" s="17">
        <f>GU125*VLOOKUP('Données projet'!$B$18,Paramètres!$A$1:$I$89,3,0)*VLOOKUP('Données projet'!$B$18,Paramètres!$A$1:$I$89,5,0)</f>
        <v>-3.0061073630349716E-14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212.75657290802619</v>
      </c>
      <c r="HA125" s="59">
        <f t="shared" si="106"/>
        <v>411.47446316045978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12.43010509631017</v>
      </c>
      <c r="HH125" s="21">
        <f>EXP(-LN(2)/25)*HH124+(1-EXP(-LN(2)/25))/(LN(2)/25)*Calculateur!HC125*Calculateur!HE125*VLOOKUP('Données projet'!$B$18,Paramètres!$A$1:$I$89,3,0)*0.475*44/12</f>
        <v>1.553589999051924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13.983695095362094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4.60745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16.893983333333335</v>
      </c>
      <c r="H126" s="66">
        <f t="shared" si="56"/>
        <v>189.09073333333333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923.35937297740111</v>
      </c>
      <c r="S126" s="59">
        <f ca="1">AVERAGE(OFFSET($R$3,0,0,'Données projet'!$E$9+1,1))-AVERAGE(OFFSET($H$3,0,0,'Données projet'!$E$9+1,1))</f>
        <v>564.49981446852132</v>
      </c>
      <c r="T126" s="59">
        <f t="shared" si="88"/>
        <v>297.54722913785406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328.09</v>
      </c>
      <c r="AG126" s="12">
        <f>VLOOKUP(A126,'Données projet'!$A$61:$I$81,9,0)</f>
        <v>-0.37249999999998806</v>
      </c>
      <c r="AH126" s="12">
        <f t="array" ref="AH126">INDEX(AG:AG,MIN(IF(ISNUMBER(AG126:AG322),ROW(AG126:AG322),"")))</f>
        <v>-0.37249999999998806</v>
      </c>
      <c r="AI126" s="13">
        <f>IF('Données projet'!$A$62&gt;35,AI125+AH126-AQ125,IF(A126&lt;'Données projet'!$A$62,$AF$205^A126,IF(A126='Données projet'!$A$62,'Données projet'!$B$62,AI125+AH126-AQ125)))</f>
        <v>328.09000000000043</v>
      </c>
      <c r="AJ126" s="13">
        <f>AI126*VLOOKUP('Données projet'!$B$10,Paramètres!$A$1:$I$89,3,0)*VLOOKUP('Données projet'!$B$10,Paramètres!$A$1:$I$89,5,0)</f>
        <v>332.68326000000047</v>
      </c>
      <c r="AK126" s="13">
        <f t="shared" si="89"/>
        <v>77.986352960573853</v>
      </c>
      <c r="AL126" s="20">
        <f t="shared" si="58"/>
        <v>715.24957590633358</v>
      </c>
      <c r="AM126" s="59">
        <f t="shared" si="59"/>
        <v>998.76806993476339</v>
      </c>
      <c r="AN126" s="59">
        <f ca="1">AVERAGE(OFFSET($AM$3,0,0,'Données projet'!$E$10+1,1))-AVERAGE(OFFSET($H$3,0,0,'Données projet'!$E$10+1,1))</f>
        <v>623.16549611107564</v>
      </c>
      <c r="AO126" s="59">
        <f t="shared" si="90"/>
        <v>326.15178903425885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100.6</v>
      </c>
      <c r="AR126" s="16">
        <f>IF(ISNA(VLOOKUP(A126,'Données projet'!$A$61:$I$81,5,0)),0%,VLOOKUP(A126,'Données projet'!$A$61:$I$81,5,0)*VLOOKUP('Données projet'!$B$10,Paramètres!$A$1:$I$89,7,0))</f>
        <v>0.43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248.67465915989186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248.67465915989186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266.99999999999983</v>
      </c>
      <c r="BE126" s="13">
        <f>BD126*VLOOKUP('Données projet'!$B$11,Paramètres!$A$1:$I$89,3,0)*VLOOKUP('Données projet'!$B$11,Paramètres!$A$1:$I$89,5,0)</f>
        <v>216.59039999999987</v>
      </c>
      <c r="BF126" s="13">
        <f t="shared" si="91"/>
        <v>53.373153688190904</v>
      </c>
      <c r="BG126" s="20">
        <f t="shared" si="61"/>
        <v>470.18652267359886</v>
      </c>
      <c r="BH126" s="59">
        <f t="shared" si="62"/>
        <v>753.70501670202862</v>
      </c>
      <c r="BI126" s="59">
        <f ca="1">AVERAGE(OFFSET($BH$3,0,0,'Données projet'!$E$11+1,1))-AVERAGE(OFFSET($H$3,0,0,'Données projet'!$E$11+1,1))</f>
        <v>326.2912419133811</v>
      </c>
      <c r="BJ126" s="59">
        <f t="shared" si="92"/>
        <v>315.07976787459938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18.877901006399526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18.877901006399526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243</v>
      </c>
      <c r="BZ126" s="13">
        <f>BY126*VLOOKUP('Données projet'!$B$12,Paramètres!$A$1:$I$89,3,0)*VLOOKUP('Données projet'!$B$12,Paramètres!$A$1:$I$89,5,0)</f>
        <v>155.4228</v>
      </c>
      <c r="CA126" s="13">
        <f t="shared" si="93"/>
        <v>39.808377687614154</v>
      </c>
      <c r="CB126" s="20">
        <f t="shared" si="64"/>
        <v>340.02763447259463</v>
      </c>
      <c r="CC126" s="59">
        <f t="shared" si="65"/>
        <v>623.54612850102444</v>
      </c>
      <c r="CD126" s="59">
        <f ca="1">AVERAGE(OFFSET($CC$3,0,0,'Données projet'!$E$12+1,1))-AVERAGE(OFFSET($H$3,0,0,'Données projet'!$E$12+1,1))</f>
        <v>297.03992602744393</v>
      </c>
      <c r="CE126" s="59">
        <f t="shared" si="94"/>
        <v>265.2588848922893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26.063900582789159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26.063900582789159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367.99999999999972</v>
      </c>
      <c r="CU126" s="17">
        <f>CT126*VLOOKUP('Données projet'!$B$13,Paramètres!$A$1:$I$89,3,0)*VLOOKUP('Données projet'!$B$13,Paramètres!$A$1:$I$89,5,0)</f>
        <v>292.78079999999977</v>
      </c>
      <c r="CV126" s="13">
        <f t="shared" si="95"/>
        <v>69.660903052386217</v>
      </c>
      <c r="CW126" s="20">
        <f t="shared" si="67"/>
        <v>631.25263281623893</v>
      </c>
      <c r="CX126" s="59">
        <f t="shared" si="68"/>
        <v>914.77112684466874</v>
      </c>
      <c r="CY126" s="59">
        <f ca="1">AVERAGE(OFFSET($CX$3,0,0,'Données projet'!$E$13+1,1))-AVERAGE(OFFSET($H$3,0,0,'Données projet'!$E$13+1,1))</f>
        <v>427.42918901489531</v>
      </c>
      <c r="CZ126" s="59">
        <f t="shared" si="96"/>
        <v>410.68601510655412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26.301121370993833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26.301121370993833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328.09</v>
      </c>
      <c r="DM126" s="12">
        <f>VLOOKUP(A126,'Données projet'!$A$165:$I$185,9,0)</f>
        <v>-0.37249999999998806</v>
      </c>
      <c r="DN126" s="12">
        <f t="array" ref="DN126">INDEX(DM:DM,MIN(IF(ISNUMBER(DM126:DM322),ROW(DM126:DM322),"")))</f>
        <v>-0.37249999999998806</v>
      </c>
      <c r="DO126" s="12">
        <f>IF('Données projet'!$A$166&gt;35,DO125+DN126-DW125,IF(A126&lt;'Données projet'!$A$166,$DL$205^A126,IF(A126='Données projet'!$A$166,'Données projet'!$B$166,DO125+DN126-DW125)))</f>
        <v>328.09000000000043</v>
      </c>
      <c r="DP126" s="17">
        <f>DO126*VLOOKUP('Données projet'!$B$14,Paramètres!$A$1:$I$89,3,0)*VLOOKUP('Données projet'!$B$14,Paramètres!$A$1:$I$89,5,0)</f>
        <v>317.32864800000044</v>
      </c>
      <c r="DQ126" s="13">
        <f t="shared" si="97"/>
        <v>74.797256035044029</v>
      </c>
      <c r="DR126" s="20">
        <f t="shared" si="70"/>
        <v>682.95261619436906</v>
      </c>
      <c r="DS126" s="59">
        <f t="shared" si="71"/>
        <v>966.47111022279887</v>
      </c>
      <c r="DT126" s="59">
        <f ca="1">AVERAGE(OFFSET($DS$3,0,0,'Données projet'!$E$14+1,1))-AVERAGE(OFFSET($H$3,0,0,'Données projet'!$E$14+1,1))</f>
        <v>598.03945725240396</v>
      </c>
      <c r="DU126" s="59">
        <f t="shared" si="98"/>
        <v>313.9014686755695</v>
      </c>
      <c r="DV126" s="15">
        <f>IF(ISNA(VLOOKUP(A126,'Données projet'!$A$165:$I$185,3,0)),0,VLOOKUP(A126,'Données projet'!$A$165:$I$185,3,0))</f>
        <v>12</v>
      </c>
      <c r="DW126" s="15">
        <f>IF(ISNA(VLOOKUP(A126,'Données projet'!$A$165:$I$185,4,0)),0,VLOOKUP(A126,'Données projet'!$A$165:$I$185,4,0))</f>
        <v>100.6</v>
      </c>
      <c r="DX126" s="16">
        <f>IF(ISNA(VLOOKUP(A126,'Données projet'!$A$165:$I$185,5,0)),0%,VLOOKUP(A126,'Données projet'!$A$165:$I$185,5,0)*VLOOKUP('Données projet'!$B$14,Paramètres!$A$1:$I$89,7,0))</f>
        <v>0.43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237.19736719866609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237.19736719866609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>
        <f>VLOOKUP(A126,'Données projet'!$A$191:$I$211,2,0)</f>
        <v>328.09</v>
      </c>
      <c r="EH126" s="12">
        <f>VLOOKUP(A126,'Données projet'!$A$191:$I$211,9,0)</f>
        <v>-0.37249999999998806</v>
      </c>
      <c r="EI126" s="12">
        <f t="array" ref="EI126">INDEX(EH:EH,MIN(IF(ISNUMBER(EH126:EH322),ROW(EH126:EH322),"")))</f>
        <v>-0.37249999999998806</v>
      </c>
      <c r="EJ126" s="12">
        <f>IF('Données projet'!$A$192&gt;35,EJ125+EI126-ER125,IF(A126&lt;'Données projet'!$A$192,$EG$205^A126,IF(A126='Données projet'!$A$192,'Données projet'!$B$192,EJ125+EI126-ER125)))</f>
        <v>328.09000000000043</v>
      </c>
      <c r="EK126" s="17">
        <f>EJ126*VLOOKUP('Données projet'!$B$15,Paramètres!$A$1:$I$89,3,0)*VLOOKUP('Données projet'!$B$15,Paramètres!$A$1:$I$89,5,0)</f>
        <v>220.08277200000032</v>
      </c>
      <c r="EL126" s="13">
        <f t="shared" si="99"/>
        <v>54.132875411962701</v>
      </c>
      <c r="EM126" s="20">
        <f t="shared" si="73"/>
        <v>477.59225257583557</v>
      </c>
      <c r="EN126" s="59">
        <f t="shared" si="74"/>
        <v>761.11074660426539</v>
      </c>
      <c r="EO126" s="59">
        <f ca="1">AVERAGE(OFFSET($EN$3,0,0,'Données projet'!$E$15+1,1))-AVERAGE(OFFSET($H$3,0,0,'Données projet'!$E$15+1,1))</f>
        <v>438.27475674276604</v>
      </c>
      <c r="EP126" s="59">
        <f t="shared" si="100"/>
        <v>235.97720136798864</v>
      </c>
      <c r="EQ126" s="15">
        <f>IF(ISNA(VLOOKUP(A126,'Données projet'!$A$191:$I$211,3,0)),0,VLOOKUP(A126,'Données projet'!$A$191:$I$211,3,0))</f>
        <v>12</v>
      </c>
      <c r="ER126" s="15">
        <f>IF(ISNA(VLOOKUP(A126,'Données projet'!$A$191:$I$211,4,0)),0,VLOOKUP(A126,'Données projet'!$A$191:$I$211,4,0))</f>
        <v>100.6</v>
      </c>
      <c r="ES126" s="16">
        <f>IF(ISNA(VLOOKUP(A126,'Données projet'!$A$191:$I$211,5,0)),0%,VLOOKUP(A126,'Données projet'!$A$191:$I$211,5,0)*VLOOKUP('Données projet'!$B$15,Paramètres!$A$1:$I$89,7,0))</f>
        <v>0.53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202.76549131498871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202.76549131498871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5.2499999999990337</v>
      </c>
      <c r="FF126" s="17">
        <f>FE126*VLOOKUP('Données projet'!$B$16,Paramètres!$A$1:$I$89,3,0)*VLOOKUP('Données projet'!$B$16,Paramètres!$A$1:$I$89,5,0)</f>
        <v>2.4569999999995478</v>
      </c>
      <c r="FG126" s="13">
        <f t="shared" si="101"/>
        <v>1.0197977774625564</v>
      </c>
      <c r="FH126" s="20">
        <f t="shared" si="76"/>
        <v>6.0554227957464972</v>
      </c>
      <c r="FI126" s="59">
        <f t="shared" si="77"/>
        <v>289.57391682417625</v>
      </c>
      <c r="FJ126" s="59">
        <f ca="1">AVERAGE(OFFSET($FI$3,0,0,'Données projet'!$E$16+1,1))-AVERAGE(OFFSET($H$3,0,0,'Données projet'!$E$16+1,1))</f>
        <v>329.49463758169588</v>
      </c>
      <c r="FK126" s="59">
        <f t="shared" si="102"/>
        <v>207.1447698203379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184.07553732427223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184.07553732427223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763.00000000000057</v>
      </c>
      <c r="GA126" s="17">
        <f>FZ126*VLOOKUP('Données projet'!$B$17,Paramètres!$A$1:$I$89,3,0)*VLOOKUP('Données projet'!$B$17,Paramètres!$A$1:$I$89,5,0)</f>
        <v>456.2740000000004</v>
      </c>
      <c r="GB126" s="13">
        <f t="shared" si="103"/>
        <v>103.09649786611838</v>
      </c>
      <c r="GC126" s="20">
        <f t="shared" si="79"/>
        <v>974.23695045015677</v>
      </c>
      <c r="GD126" s="59">
        <f t="shared" si="80"/>
        <v>1257.7554444785865</v>
      </c>
      <c r="GE126" s="59">
        <f ca="1">AVERAGE(OFFSET($GD$3,0,0,'Données projet'!$E$17+1,1))-AVERAGE(OFFSET($H$3,0,0,'Données projet'!$E$17+1,1))</f>
        <v>577.07444926285291</v>
      </c>
      <c r="GF126" s="59">
        <f t="shared" si="104"/>
        <v>501.3762209070419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45.414378375105208</v>
      </c>
      <c r="GM126" s="21">
        <f>EXP(-LN(2)/25)*GM125+(1-EXP(-LN(2)/25))/(LN(2)/25)*Calculateur!GH126*Calculateur!GJ126*VLOOKUP('Données projet'!$B$17,Paramètres!$A$1:$I$89,3,0)*0.475*44/12</f>
        <v>4.9646435481931626</v>
      </c>
      <c r="GN126" s="21">
        <f>EXP(-LN(2)/2)*GN125+(1-EXP(-LN(2)/2))/(LN(2)/2)*GH126*GK126*VLOOKUP('Données projet'!$B$17,Paramètres!$A$1:$I$89,3,0)*0.475*44/12</f>
        <v>7.8928936677254863E-16</v>
      </c>
      <c r="GO126" s="21">
        <f t="shared" si="81"/>
        <v>50.379021923298367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67.323225644117201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-5.6843418860808015E-14</v>
      </c>
      <c r="GV126" s="17">
        <f>GU126*VLOOKUP('Données projet'!$B$18,Paramètres!$A$1:$I$89,3,0)*VLOOKUP('Données projet'!$B$18,Paramètres!$A$1:$I$89,5,0)</f>
        <v>-3.0061073630349716E-14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212.75657290802619</v>
      </c>
      <c r="HA126" s="59">
        <f t="shared" si="106"/>
        <v>411.47446316045978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12.186358316987013</v>
      </c>
      <c r="HH126" s="21">
        <f>EXP(-LN(2)/25)*HH125+(1-EXP(-LN(2)/25))/(LN(2)/25)*Calculateur!HC126*Calculateur!HE126*VLOOKUP('Données projet'!$B$18,Paramètres!$A$1:$I$89,3,0)*0.475*44/12</f>
        <v>1.5111069988281018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13.697465315815116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4.60745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16.893983333333335</v>
      </c>
      <c r="H127" s="66">
        <f t="shared" si="56"/>
        <v>189.09073333333333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731.42721390044244</v>
      </c>
      <c r="S127" s="59">
        <f ca="1">AVERAGE(OFFSET($R$3,0,0,'Données projet'!$E$9+1,1))-AVERAGE(OFFSET($H$3,0,0,'Données projet'!$E$9+1,1))</f>
        <v>564.49981446852132</v>
      </c>
      <c r="T127" s="59">
        <f t="shared" si="88"/>
        <v>297.54722913785406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0.19750000000000512</v>
      </c>
      <c r="AI127" s="13">
        <f>IF('Données projet'!$A$62&gt;35,AI126+AH127-AQ126,IF(A127&lt;'Données projet'!$A$62,$AF$205^A127,IF(A127='Données projet'!$A$62,'Données projet'!$B$62,AI126+AH127-AQ126)))</f>
        <v>227.68750000000043</v>
      </c>
      <c r="AJ127" s="13">
        <f>AI127*VLOOKUP('Données projet'!$B$10,Paramètres!$A$1:$I$89,3,0)*VLOOKUP('Données projet'!$B$10,Paramètres!$A$1:$I$89,5,0)</f>
        <v>230.87512500000042</v>
      </c>
      <c r="AK127" s="13">
        <f t="shared" si="89"/>
        <v>56.471862173466945</v>
      </c>
      <c r="AL127" s="20">
        <f t="shared" si="58"/>
        <v>500.46266932712228</v>
      </c>
      <c r="AM127" s="59">
        <f t="shared" si="59"/>
        <v>784.15142887479874</v>
      </c>
      <c r="AN127" s="59">
        <f ca="1">AVERAGE(OFFSET($AM$3,0,0,'Données projet'!$E$10+1,1))-AVERAGE(OFFSET($H$3,0,0,'Données projet'!$E$10+1,1))</f>
        <v>623.16549611107564</v>
      </c>
      <c r="AO127" s="59">
        <f t="shared" si="90"/>
        <v>326.15178903425885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243.79830077033165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243.79830077033165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266.99999999999983</v>
      </c>
      <c r="BE127" s="13">
        <f>BD127*VLOOKUP('Données projet'!$B$11,Paramètres!$A$1:$I$89,3,0)*VLOOKUP('Données projet'!$B$11,Paramètres!$A$1:$I$89,5,0)</f>
        <v>216.59039999999987</v>
      </c>
      <c r="BF127" s="13">
        <f t="shared" si="91"/>
        <v>53.373153688190904</v>
      </c>
      <c r="BG127" s="20">
        <f t="shared" si="61"/>
        <v>470.18652267359886</v>
      </c>
      <c r="BH127" s="59">
        <f t="shared" si="62"/>
        <v>753.87528222127526</v>
      </c>
      <c r="BI127" s="59">
        <f ca="1">AVERAGE(OFFSET($BH$3,0,0,'Données projet'!$E$11+1,1))-AVERAGE(OFFSET($H$3,0,0,'Données projet'!$E$11+1,1))</f>
        <v>326.2912419133811</v>
      </c>
      <c r="BJ127" s="59">
        <f t="shared" si="92"/>
        <v>315.07976787459938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18.507716882046694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18.507716882046694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243</v>
      </c>
      <c r="BZ127" s="13">
        <f>BY127*VLOOKUP('Données projet'!$B$12,Paramètres!$A$1:$I$89,3,0)*VLOOKUP('Données projet'!$B$12,Paramètres!$A$1:$I$89,5,0)</f>
        <v>155.4228</v>
      </c>
      <c r="CA127" s="13">
        <f t="shared" si="93"/>
        <v>39.808377687614154</v>
      </c>
      <c r="CB127" s="20">
        <f t="shared" si="64"/>
        <v>340.02763447259463</v>
      </c>
      <c r="CC127" s="59">
        <f t="shared" si="65"/>
        <v>623.71639402027108</v>
      </c>
      <c r="CD127" s="59">
        <f ca="1">AVERAGE(OFFSET($CC$3,0,0,'Données projet'!$E$12+1,1))-AVERAGE(OFFSET($H$3,0,0,'Données projet'!$E$12+1,1))</f>
        <v>297.03992602744393</v>
      </c>
      <c r="CE127" s="59">
        <f t="shared" si="94"/>
        <v>265.2588848922893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25.552803389770279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25.552803389770279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367.99999999999972</v>
      </c>
      <c r="CU127" s="17">
        <f>CT127*VLOOKUP('Données projet'!$B$13,Paramètres!$A$1:$I$89,3,0)*VLOOKUP('Données projet'!$B$13,Paramètres!$A$1:$I$89,5,0)</f>
        <v>292.78079999999977</v>
      </c>
      <c r="CV127" s="13">
        <f t="shared" si="95"/>
        <v>69.660903052386217</v>
      </c>
      <c r="CW127" s="20">
        <f t="shared" si="67"/>
        <v>631.25263281623893</v>
      </c>
      <c r="CX127" s="59">
        <f t="shared" si="68"/>
        <v>914.94139236391538</v>
      </c>
      <c r="CY127" s="59">
        <f ca="1">AVERAGE(OFFSET($CX$3,0,0,'Données projet'!$E$13+1,1))-AVERAGE(OFFSET($H$3,0,0,'Données projet'!$E$13+1,1))</f>
        <v>427.42918901489531</v>
      </c>
      <c r="CZ127" s="59">
        <f t="shared" si="96"/>
        <v>410.68601510655412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25.785372423008656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25.785372423008656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0.19750000000000512</v>
      </c>
      <c r="DO127" s="12">
        <f>IF('Données projet'!$A$166&gt;35,DO126+DN127-DW126,IF(A127&lt;'Données projet'!$A$166,$DL$205^A127,IF(A127='Données projet'!$A$166,'Données projet'!$B$166,DO126+DN127-DW126)))</f>
        <v>227.68750000000043</v>
      </c>
      <c r="DP127" s="17">
        <f>DO127*VLOOKUP('Données projet'!$B$14,Paramètres!$A$1:$I$89,3,0)*VLOOKUP('Données projet'!$B$14,Paramètres!$A$1:$I$89,5,0)</f>
        <v>220.21935000000045</v>
      </c>
      <c r="DQ127" s="13">
        <f t="shared" si="97"/>
        <v>54.162557593890185</v>
      </c>
      <c r="DR127" s="20">
        <f t="shared" si="70"/>
        <v>477.88182239269281</v>
      </c>
      <c r="DS127" s="59">
        <f t="shared" si="71"/>
        <v>761.57058194036927</v>
      </c>
      <c r="DT127" s="59">
        <f ca="1">AVERAGE(OFFSET($DS$3,0,0,'Données projet'!$E$14+1,1))-AVERAGE(OFFSET($H$3,0,0,'Données projet'!$E$14+1,1))</f>
        <v>598.03945725240396</v>
      </c>
      <c r="DU127" s="59">
        <f t="shared" si="98"/>
        <v>313.9014686755695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232.54607150400867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232.54607150400867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0.19750000000000512</v>
      </c>
      <c r="EJ127" s="12">
        <f>IF('Données projet'!$A$192&gt;35,EJ126+EI127-ER126,IF(A127&lt;'Données projet'!$A$192,$EG$205^A127,IF(A127='Données projet'!$A$192,'Données projet'!$B$192,EJ126+EI127-ER126)))</f>
        <v>227.68750000000043</v>
      </c>
      <c r="EK127" s="17">
        <f>EJ127*VLOOKUP('Données projet'!$B$15,Paramètres!$A$1:$I$89,3,0)*VLOOKUP('Données projet'!$B$15,Paramètres!$A$1:$I$89,5,0)</f>
        <v>152.73277500000029</v>
      </c>
      <c r="EL127" s="13">
        <f t="shared" si="99"/>
        <v>39.198964476044708</v>
      </c>
      <c r="EM127" s="20">
        <f t="shared" si="73"/>
        <v>334.2811129207783</v>
      </c>
      <c r="EN127" s="59">
        <f t="shared" si="74"/>
        <v>617.9698724684547</v>
      </c>
      <c r="EO127" s="59">
        <f ca="1">AVERAGE(OFFSET($EN$3,0,0,'Données projet'!$E$15+1,1))-AVERAGE(OFFSET($H$3,0,0,'Données projet'!$E$15+1,1))</f>
        <v>438.27475674276604</v>
      </c>
      <c r="EP127" s="59">
        <f t="shared" si="100"/>
        <v>235.97720136798864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198.78938370503963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198.78938370503963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5.2499999999990337</v>
      </c>
      <c r="FF127" s="17">
        <f>FE127*VLOOKUP('Données projet'!$B$16,Paramètres!$A$1:$I$89,3,0)*VLOOKUP('Données projet'!$B$16,Paramètres!$A$1:$I$89,5,0)</f>
        <v>2.4569999999995478</v>
      </c>
      <c r="FG127" s="13">
        <f t="shared" si="101"/>
        <v>1.0197977774625564</v>
      </c>
      <c r="FH127" s="20">
        <f t="shared" si="76"/>
        <v>6.0554227957464972</v>
      </c>
      <c r="FI127" s="59">
        <f t="shared" si="77"/>
        <v>289.74418234342295</v>
      </c>
      <c r="FJ127" s="59">
        <f ca="1">AVERAGE(OFFSET($FI$3,0,0,'Données projet'!$E$16+1,1))-AVERAGE(OFFSET($H$3,0,0,'Données projet'!$E$16+1,1))</f>
        <v>329.49463758169588</v>
      </c>
      <c r="FK127" s="59">
        <f t="shared" si="102"/>
        <v>207.1447698203379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180.4659283123348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180.4659283123348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763.00000000000057</v>
      </c>
      <c r="GA127" s="17">
        <f>FZ127*VLOOKUP('Données projet'!$B$17,Paramètres!$A$1:$I$89,3,0)*VLOOKUP('Données projet'!$B$17,Paramètres!$A$1:$I$89,5,0)</f>
        <v>456.2740000000004</v>
      </c>
      <c r="GB127" s="13">
        <f t="shared" si="103"/>
        <v>103.09649786611838</v>
      </c>
      <c r="GC127" s="20">
        <f t="shared" si="79"/>
        <v>974.23695045015677</v>
      </c>
      <c r="GD127" s="59">
        <f t="shared" si="80"/>
        <v>1257.9257099978331</v>
      </c>
      <c r="GE127" s="59">
        <f ca="1">AVERAGE(OFFSET($GD$3,0,0,'Données projet'!$E$17+1,1))-AVERAGE(OFFSET($H$3,0,0,'Données projet'!$E$17+1,1))</f>
        <v>577.07444926285291</v>
      </c>
      <c r="GF127" s="59">
        <f t="shared" si="104"/>
        <v>501.3762209070419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44.523830115205051</v>
      </c>
      <c r="GM127" s="21">
        <f>EXP(-LN(2)/25)*GM126+(1-EXP(-LN(2)/25))/(LN(2)/25)*Calculateur!GH127*Calculateur!GJ127*VLOOKUP('Données projet'!$B$17,Paramètres!$A$1:$I$89,3,0)*0.475*44/12</f>
        <v>4.8288851092885627</v>
      </c>
      <c r="GN127" s="21">
        <f>EXP(-LN(2)/2)*GN126+(1-EXP(-LN(2)/2))/(LN(2)/2)*GH127*GK127*VLOOKUP('Données projet'!$B$17,Paramètres!$A$1:$I$89,3,0)*0.475*44/12</f>
        <v>5.5811186356330519E-16</v>
      </c>
      <c r="GO127" s="21">
        <f t="shared" si="81"/>
        <v>49.352715224493615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67.369661694820849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-5.6843418860808015E-14</v>
      </c>
      <c r="GV127" s="17">
        <f>GU127*VLOOKUP('Données projet'!$B$18,Paramètres!$A$1:$I$89,3,0)*VLOOKUP('Données projet'!$B$18,Paramètres!$A$1:$I$89,5,0)</f>
        <v>-3.0061073630349716E-14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212.75657290802619</v>
      </c>
      <c r="HA127" s="59">
        <f t="shared" si="106"/>
        <v>411.47446316045978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11.947391263335529</v>
      </c>
      <c r="HH127" s="21">
        <f>EXP(-LN(2)/25)*HH126+(1-EXP(-LN(2)/25))/(LN(2)/25)*Calculateur!HC127*Calculateur!HE127*VLOOKUP('Données projet'!$B$18,Paramètres!$A$1:$I$89,3,0)*0.475*44/12</f>
        <v>1.4697856984794839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13.417176961815013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4.60745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16.893983333333335</v>
      </c>
      <c r="H128" s="66">
        <f t="shared" si="56"/>
        <v>189.09073333333333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731.97391867148326</v>
      </c>
      <c r="S128" s="59">
        <f ca="1">AVERAGE(OFFSET($R$3,0,0,'Données projet'!$E$9+1,1))-AVERAGE(OFFSET($H$3,0,0,'Données projet'!$E$9+1,1))</f>
        <v>564.49981446852132</v>
      </c>
      <c r="T128" s="59">
        <f t="shared" si="88"/>
        <v>297.54722913785406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0.19750000000000512</v>
      </c>
      <c r="AI128" s="13">
        <f>IF('Données projet'!$A$62&gt;35,AI127+AH128-AQ127,IF(A128&lt;'Données projet'!$A$62,$AF$205^A128,IF(A128='Données projet'!$A$62,'Données projet'!$B$62,AI127+AH128-AQ127)))</f>
        <v>227.88500000000045</v>
      </c>
      <c r="AJ128" s="13">
        <f>AI128*VLOOKUP('Données projet'!$B$10,Paramètres!$A$1:$I$89,3,0)*VLOOKUP('Données projet'!$B$10,Paramètres!$A$1:$I$89,5,0)</f>
        <v>231.07539000000048</v>
      </c>
      <c r="AK128" s="13">
        <f t="shared" si="89"/>
        <v>56.515142826931459</v>
      </c>
      <c r="AL128" s="20">
        <f t="shared" si="58"/>
        <v>500.88684467357308</v>
      </c>
      <c r="AM128" s="59">
        <f t="shared" si="59"/>
        <v>784.74291601439381</v>
      </c>
      <c r="AN128" s="59">
        <f ca="1">AVERAGE(OFFSET($AM$3,0,0,'Données projet'!$E$10+1,1))-AVERAGE(OFFSET($H$3,0,0,'Données projet'!$E$10+1,1))</f>
        <v>623.16549611107564</v>
      </c>
      <c r="AO128" s="59">
        <f t="shared" si="90"/>
        <v>326.15178903425885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239.01756479450577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239.01756479450577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266.99999999999983</v>
      </c>
      <c r="BE128" s="13">
        <f>BD128*VLOOKUP('Données projet'!$B$11,Paramètres!$A$1:$I$89,3,0)*VLOOKUP('Données projet'!$B$11,Paramètres!$A$1:$I$89,5,0)</f>
        <v>216.59039999999987</v>
      </c>
      <c r="BF128" s="13">
        <f t="shared" si="91"/>
        <v>53.373153688190904</v>
      </c>
      <c r="BG128" s="20">
        <f t="shared" si="61"/>
        <v>470.18652267359886</v>
      </c>
      <c r="BH128" s="59">
        <f t="shared" si="62"/>
        <v>754.04259401441959</v>
      </c>
      <c r="BI128" s="59">
        <f ca="1">AVERAGE(OFFSET($BH$3,0,0,'Données projet'!$E$11+1,1))-AVERAGE(OFFSET($H$3,0,0,'Données projet'!$E$11+1,1))</f>
        <v>326.2912419133811</v>
      </c>
      <c r="BJ128" s="59">
        <f t="shared" si="92"/>
        <v>315.07976787459938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18.1447918425824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18.1447918425824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243</v>
      </c>
      <c r="BZ128" s="13">
        <f>BY128*VLOOKUP('Données projet'!$B$12,Paramètres!$A$1:$I$89,3,0)*VLOOKUP('Données projet'!$B$12,Paramètres!$A$1:$I$89,5,0)</f>
        <v>155.4228</v>
      </c>
      <c r="CA128" s="13">
        <f t="shared" si="93"/>
        <v>39.808377687614154</v>
      </c>
      <c r="CB128" s="20">
        <f t="shared" si="64"/>
        <v>340.02763447259463</v>
      </c>
      <c r="CC128" s="59">
        <f t="shared" si="65"/>
        <v>623.88370581341542</v>
      </c>
      <c r="CD128" s="59">
        <f ca="1">AVERAGE(OFFSET($CC$3,0,0,'Données projet'!$E$12+1,1))-AVERAGE(OFFSET($H$3,0,0,'Données projet'!$E$12+1,1))</f>
        <v>297.03992602744393</v>
      </c>
      <c r="CE128" s="59">
        <f t="shared" si="94"/>
        <v>265.2588848922893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25.051728500967993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25.051728500967993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367.99999999999972</v>
      </c>
      <c r="CU128" s="17">
        <f>CT128*VLOOKUP('Données projet'!$B$13,Paramètres!$A$1:$I$89,3,0)*VLOOKUP('Données projet'!$B$13,Paramètres!$A$1:$I$89,5,0)</f>
        <v>292.78079999999977</v>
      </c>
      <c r="CV128" s="13">
        <f t="shared" si="95"/>
        <v>69.660903052386217</v>
      </c>
      <c r="CW128" s="20">
        <f t="shared" si="67"/>
        <v>631.25263281623893</v>
      </c>
      <c r="CX128" s="59">
        <f t="shared" si="68"/>
        <v>915.10870415705972</v>
      </c>
      <c r="CY128" s="59">
        <f ca="1">AVERAGE(OFFSET($CX$3,0,0,'Données projet'!$E$13+1,1))-AVERAGE(OFFSET($H$3,0,0,'Données projet'!$E$13+1,1))</f>
        <v>427.42918901489531</v>
      </c>
      <c r="CZ128" s="59">
        <f t="shared" si="96"/>
        <v>410.68601510655412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25.27973699731767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25.27973699731767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0.19750000000000512</v>
      </c>
      <c r="DO128" s="12">
        <f>IF('Données projet'!$A$166&gt;35,DO127+DN128-DW127,IF(A128&lt;'Données projet'!$A$166,$DL$205^A128,IF(A128='Données projet'!$A$166,'Données projet'!$B$166,DO127+DN128-DW127)))</f>
        <v>227.88500000000045</v>
      </c>
      <c r="DP128" s="17">
        <f>DO128*VLOOKUP('Données projet'!$B$14,Paramètres!$A$1:$I$89,3,0)*VLOOKUP('Données projet'!$B$14,Paramètres!$A$1:$I$89,5,0)</f>
        <v>220.41037200000042</v>
      </c>
      <c r="DQ128" s="13">
        <f t="shared" si="97"/>
        <v>54.204068371040925</v>
      </c>
      <c r="DR128" s="20">
        <f t="shared" si="70"/>
        <v>478.28681697956364</v>
      </c>
      <c r="DS128" s="59">
        <f t="shared" si="71"/>
        <v>762.14288832038437</v>
      </c>
      <c r="DT128" s="59">
        <f ca="1">AVERAGE(OFFSET($DS$3,0,0,'Données projet'!$E$14+1,1))-AVERAGE(OFFSET($H$3,0,0,'Données projet'!$E$14+1,1))</f>
        <v>598.03945725240396</v>
      </c>
      <c r="DU128" s="59">
        <f t="shared" si="98"/>
        <v>313.9014686755695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227.98598488091324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227.98598488091324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0.19750000000000512</v>
      </c>
      <c r="EJ128" s="12">
        <f>IF('Données projet'!$A$192&gt;35,EJ127+EI128-ER127,IF(A128&lt;'Données projet'!$A$192,$EG$205^A128,IF(A128='Données projet'!$A$192,'Données projet'!$B$192,EJ127+EI128-ER127)))</f>
        <v>227.88500000000045</v>
      </c>
      <c r="EK128" s="17">
        <f>EJ128*VLOOKUP('Données projet'!$B$15,Paramètres!$A$1:$I$89,3,0)*VLOOKUP('Données projet'!$B$15,Paramètres!$A$1:$I$89,5,0)</f>
        <v>152.8652580000003</v>
      </c>
      <c r="EL128" s="13">
        <f t="shared" si="99"/>
        <v>39.229006991597707</v>
      </c>
      <c r="EM128" s="20">
        <f t="shared" si="73"/>
        <v>334.56417819369989</v>
      </c>
      <c r="EN128" s="59">
        <f t="shared" si="74"/>
        <v>618.42024953452074</v>
      </c>
      <c r="EO128" s="59">
        <f ca="1">AVERAGE(OFFSET($EN$3,0,0,'Données projet'!$E$15+1,1))-AVERAGE(OFFSET($H$3,0,0,'Données projet'!$E$15+1,1))</f>
        <v>438.27475674276604</v>
      </c>
      <c r="EP128" s="59">
        <f t="shared" si="100"/>
        <v>235.97720136798864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194.89124514013545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194.89124514013545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5.2499999999990337</v>
      </c>
      <c r="FF128" s="17">
        <f>FE128*VLOOKUP('Données projet'!$B$16,Paramètres!$A$1:$I$89,3,0)*VLOOKUP('Données projet'!$B$16,Paramètres!$A$1:$I$89,5,0)</f>
        <v>2.4569999999995478</v>
      </c>
      <c r="FG128" s="13">
        <f t="shared" si="101"/>
        <v>1.0197977774625564</v>
      </c>
      <c r="FH128" s="20">
        <f t="shared" si="76"/>
        <v>6.0554227957464972</v>
      </c>
      <c r="FI128" s="59">
        <f t="shared" si="77"/>
        <v>289.91149413656728</v>
      </c>
      <c r="FJ128" s="59">
        <f ca="1">AVERAGE(OFFSET($FI$3,0,0,'Données projet'!$E$16+1,1))-AVERAGE(OFFSET($H$3,0,0,'Données projet'!$E$16+1,1))</f>
        <v>329.49463758169588</v>
      </c>
      <c r="FK128" s="59">
        <f t="shared" si="102"/>
        <v>207.1447698203379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176.92710153147735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176.92710153147735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763.00000000000057</v>
      </c>
      <c r="GA128" s="17">
        <f>FZ128*VLOOKUP('Données projet'!$B$17,Paramètres!$A$1:$I$89,3,0)*VLOOKUP('Données projet'!$B$17,Paramètres!$A$1:$I$89,5,0)</f>
        <v>456.2740000000004</v>
      </c>
      <c r="GB128" s="13">
        <f t="shared" si="103"/>
        <v>103.09649786611838</v>
      </c>
      <c r="GC128" s="20">
        <f t="shared" si="79"/>
        <v>974.23695045015677</v>
      </c>
      <c r="GD128" s="59">
        <f t="shared" si="80"/>
        <v>1258.0930217909777</v>
      </c>
      <c r="GE128" s="59">
        <f ca="1">AVERAGE(OFFSET($GD$3,0,0,'Données projet'!$E$17+1,1))-AVERAGE(OFFSET($H$3,0,0,'Données projet'!$E$17+1,1))</f>
        <v>577.07444926285291</v>
      </c>
      <c r="GF128" s="59">
        <f t="shared" si="104"/>
        <v>501.3762209070419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43.650744963500735</v>
      </c>
      <c r="GM128" s="21">
        <f>EXP(-LN(2)/25)*GM127+(1-EXP(-LN(2)/25))/(LN(2)/25)*Calculateur!GH128*Calculateur!GJ128*VLOOKUP('Données projet'!$B$17,Paramètres!$A$1:$I$89,3,0)*0.475*44/12</f>
        <v>4.696838992035036</v>
      </c>
      <c r="GN128" s="21">
        <f>EXP(-LN(2)/2)*GN127+(1-EXP(-LN(2)/2))/(LN(2)/2)*GH128*GK128*VLOOKUP('Données projet'!$B$17,Paramètres!$A$1:$I$89,3,0)*0.475*44/12</f>
        <v>3.9464468338627432E-16</v>
      </c>
      <c r="GO128" s="21">
        <f t="shared" si="81"/>
        <v>48.347583955535768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67.415292183860217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-5.6843418860808015E-14</v>
      </c>
      <c r="GV128" s="17">
        <f>GU128*VLOOKUP('Données projet'!$B$18,Paramètres!$A$1:$I$89,3,0)*VLOOKUP('Données projet'!$B$18,Paramètres!$A$1:$I$89,5,0)</f>
        <v>-3.0061073630349716E-14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212.75657290802619</v>
      </c>
      <c r="HA128" s="59">
        <f t="shared" si="106"/>
        <v>411.47446316045978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11.71311020785064</v>
      </c>
      <c r="HH128" s="21">
        <f>EXP(-LN(2)/25)*HH127+(1-EXP(-LN(2)/25))/(LN(2)/25)*Calculateur!HC128*Calculateur!HE128*VLOOKUP('Données projet'!$B$18,Paramètres!$A$1:$I$89,3,0)*0.475*44/12</f>
        <v>1.4295943312618917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13.142704539112533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4.60745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16.893983333333335</v>
      </c>
      <c r="H129" s="66">
        <f t="shared" si="56"/>
        <v>189.09073333333333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732.51771408128013</v>
      </c>
      <c r="S129" s="59">
        <f ca="1">AVERAGE(OFFSET($R$3,0,0,'Données projet'!$E$9+1,1))-AVERAGE(OFFSET($H$3,0,0,'Données projet'!$E$9+1,1))</f>
        <v>564.49981446852132</v>
      </c>
      <c r="T129" s="59">
        <f t="shared" si="88"/>
        <v>297.54722913785406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0.19750000000000512</v>
      </c>
      <c r="AI129" s="13">
        <f>IF('Données projet'!$A$62&gt;35,AI128+AH129-AQ128,IF(A129&lt;'Données projet'!$A$62,$AF$205^A129,IF(A129='Données projet'!$A$62,'Données projet'!$B$62,AI128+AH129-AQ128)))</f>
        <v>228.08250000000044</v>
      </c>
      <c r="AJ129" s="13">
        <f>AI129*VLOOKUP('Données projet'!$B$10,Paramètres!$A$1:$I$89,3,0)*VLOOKUP('Données projet'!$B$10,Paramètres!$A$1:$I$89,5,0)</f>
        <v>231.27565500000046</v>
      </c>
      <c r="AK129" s="13">
        <f t="shared" si="89"/>
        <v>56.558419114470617</v>
      </c>
      <c r="AL129" s="20">
        <f t="shared" si="58"/>
        <v>501.31101241603716</v>
      </c>
      <c r="AM129" s="59">
        <f t="shared" si="59"/>
        <v>785.33149306444443</v>
      </c>
      <c r="AN129" s="59">
        <f ca="1">AVERAGE(OFFSET($AM$3,0,0,'Données projet'!$E$10+1,1))-AVERAGE(OFFSET($H$3,0,0,'Données projet'!$E$10+1,1))</f>
        <v>623.16549611107564</v>
      </c>
      <c r="AO129" s="59">
        <f t="shared" si="90"/>
        <v>326.15178903425885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234.33057613520484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234.33057613520484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266.99999999999983</v>
      </c>
      <c r="BE129" s="13">
        <f>BD129*VLOOKUP('Données projet'!$B$11,Paramètres!$A$1:$I$89,3,0)*VLOOKUP('Données projet'!$B$11,Paramètres!$A$1:$I$89,5,0)</f>
        <v>216.59039999999987</v>
      </c>
      <c r="BF129" s="13">
        <f t="shared" si="91"/>
        <v>53.373153688190904</v>
      </c>
      <c r="BG129" s="20">
        <f t="shared" si="61"/>
        <v>470.18652267359886</v>
      </c>
      <c r="BH129" s="59">
        <f t="shared" si="62"/>
        <v>754.20700332200613</v>
      </c>
      <c r="BI129" s="59">
        <f ca="1">AVERAGE(OFFSET($BH$3,0,0,'Données projet'!$E$11+1,1))-AVERAGE(OFFSET($H$3,0,0,'Données projet'!$E$11+1,1))</f>
        <v>326.2912419133811</v>
      </c>
      <c r="BJ129" s="59">
        <f t="shared" si="92"/>
        <v>315.07976787459938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17.788983541779587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17.788983541779587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243</v>
      </c>
      <c r="BZ129" s="13">
        <f>BY129*VLOOKUP('Données projet'!$B$12,Paramètres!$A$1:$I$89,3,0)*VLOOKUP('Données projet'!$B$12,Paramètres!$A$1:$I$89,5,0)</f>
        <v>155.4228</v>
      </c>
      <c r="CA129" s="13">
        <f t="shared" si="93"/>
        <v>39.808377687614154</v>
      </c>
      <c r="CB129" s="20">
        <f t="shared" si="64"/>
        <v>340.02763447259463</v>
      </c>
      <c r="CC129" s="59">
        <f t="shared" si="65"/>
        <v>624.04811512100196</v>
      </c>
      <c r="CD129" s="59">
        <f ca="1">AVERAGE(OFFSET($CC$3,0,0,'Données projet'!$E$12+1,1))-AVERAGE(OFFSET($H$3,0,0,'Données projet'!$E$12+1,1))</f>
        <v>297.03992602744393</v>
      </c>
      <c r="CE129" s="59">
        <f t="shared" si="94"/>
        <v>265.2588848922893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24.560479385109616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24.560479385109616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367.99999999999972</v>
      </c>
      <c r="CU129" s="17">
        <f>CT129*VLOOKUP('Données projet'!$B$13,Paramètres!$A$1:$I$89,3,0)*VLOOKUP('Données projet'!$B$13,Paramètres!$A$1:$I$89,5,0)</f>
        <v>292.78079999999977</v>
      </c>
      <c r="CV129" s="13">
        <f t="shared" si="95"/>
        <v>69.660903052386217</v>
      </c>
      <c r="CW129" s="20">
        <f t="shared" si="67"/>
        <v>631.25263281623893</v>
      </c>
      <c r="CX129" s="59">
        <f t="shared" si="68"/>
        <v>915.27311346464626</v>
      </c>
      <c r="CY129" s="59">
        <f ca="1">AVERAGE(OFFSET($CX$3,0,0,'Données projet'!$E$13+1,1))-AVERAGE(OFFSET($H$3,0,0,'Données projet'!$E$13+1,1))</f>
        <v>427.42918901489531</v>
      </c>
      <c r="CZ129" s="59">
        <f t="shared" si="96"/>
        <v>410.68601510655412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24.784016773917326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24.784016773917326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0.19750000000000512</v>
      </c>
      <c r="DO129" s="12">
        <f>IF('Données projet'!$A$166&gt;35,DO128+DN129-DW128,IF(A129&lt;'Données projet'!$A$166,$DL$205^A129,IF(A129='Données projet'!$A$166,'Données projet'!$B$166,DO128+DN129-DW128)))</f>
        <v>228.08250000000044</v>
      </c>
      <c r="DP129" s="17">
        <f>DO129*VLOOKUP('Données projet'!$B$14,Paramètres!$A$1:$I$89,3,0)*VLOOKUP('Données projet'!$B$14,Paramètres!$A$1:$I$89,5,0)</f>
        <v>220.60139400000043</v>
      </c>
      <c r="DQ129" s="13">
        <f t="shared" si="97"/>
        <v>54.245574960802195</v>
      </c>
      <c r="DR129" s="20">
        <f t="shared" si="70"/>
        <v>478.69180427339779</v>
      </c>
      <c r="DS129" s="59">
        <f t="shared" si="71"/>
        <v>762.71228492180512</v>
      </c>
      <c r="DT129" s="59">
        <f ca="1">AVERAGE(OFFSET($DS$3,0,0,'Données projet'!$E$14+1,1))-AVERAGE(OFFSET($H$3,0,0,'Données projet'!$E$14+1,1))</f>
        <v>598.03945725240396</v>
      </c>
      <c r="DU129" s="59">
        <f t="shared" si="98"/>
        <v>313.9014686755695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223.51531877511849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223.51531877511849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0.19750000000000512</v>
      </c>
      <c r="EJ129" s="12">
        <f>IF('Données projet'!$A$192&gt;35,EJ128+EI129-ER128,IF(A129&lt;'Données projet'!$A$192,$EG$205^A129,IF(A129='Données projet'!$A$192,'Données projet'!$B$192,EJ128+EI129-ER128)))</f>
        <v>228.08250000000044</v>
      </c>
      <c r="EK129" s="17">
        <f>EJ129*VLOOKUP('Données projet'!$B$15,Paramètres!$A$1:$I$89,3,0)*VLOOKUP('Données projet'!$B$15,Paramètres!$A$1:$I$89,5,0)</f>
        <v>152.9977410000003</v>
      </c>
      <c r="EL129" s="13">
        <f t="shared" si="99"/>
        <v>39.259046476619361</v>
      </c>
      <c r="EM129" s="20">
        <f t="shared" si="73"/>
        <v>334.84723818844589</v>
      </c>
      <c r="EN129" s="59">
        <f t="shared" si="74"/>
        <v>618.8677188368531</v>
      </c>
      <c r="EO129" s="59">
        <f ca="1">AVERAGE(OFFSET($EN$3,0,0,'Données projet'!$E$15+1,1))-AVERAGE(OFFSET($H$3,0,0,'Données projet'!$E$15+1,1))</f>
        <v>438.27475674276604</v>
      </c>
      <c r="EP129" s="59">
        <f t="shared" si="100"/>
        <v>235.97720136798864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191.0695466948593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191.0695466948593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5.2499999999990337</v>
      </c>
      <c r="FF129" s="17">
        <f>FE129*VLOOKUP('Données projet'!$B$16,Paramètres!$A$1:$I$89,3,0)*VLOOKUP('Données projet'!$B$16,Paramètres!$A$1:$I$89,5,0)</f>
        <v>2.4569999999995478</v>
      </c>
      <c r="FG129" s="13">
        <f t="shared" si="101"/>
        <v>1.0197977774625564</v>
      </c>
      <c r="FH129" s="20">
        <f t="shared" si="76"/>
        <v>6.0554227957464972</v>
      </c>
      <c r="FI129" s="59">
        <f t="shared" si="77"/>
        <v>290.07590344415377</v>
      </c>
      <c r="FJ129" s="59">
        <f ca="1">AVERAGE(OFFSET($FI$3,0,0,'Données projet'!$E$16+1,1))-AVERAGE(OFFSET($H$3,0,0,'Données projet'!$E$16+1,1))</f>
        <v>329.49463758169588</v>
      </c>
      <c r="FK129" s="59">
        <f t="shared" si="102"/>
        <v>207.1447698203379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173.45766898532131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173.45766898532131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763.00000000000057</v>
      </c>
      <c r="GA129" s="17">
        <f>FZ129*VLOOKUP('Données projet'!$B$17,Paramètres!$A$1:$I$89,3,0)*VLOOKUP('Données projet'!$B$17,Paramètres!$A$1:$I$89,5,0)</f>
        <v>456.2740000000004</v>
      </c>
      <c r="GB129" s="13">
        <f t="shared" si="103"/>
        <v>103.09649786611838</v>
      </c>
      <c r="GC129" s="20">
        <f t="shared" si="79"/>
        <v>974.23695045015677</v>
      </c>
      <c r="GD129" s="59">
        <f t="shared" si="80"/>
        <v>1258.257431098564</v>
      </c>
      <c r="GE129" s="59">
        <f ca="1">AVERAGE(OFFSET($GD$3,0,0,'Données projet'!$E$17+1,1))-AVERAGE(OFFSET($H$3,0,0,'Données projet'!$E$17+1,1))</f>
        <v>577.07444926285291</v>
      </c>
      <c r="GF129" s="59">
        <f t="shared" si="104"/>
        <v>501.3762209070419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42.794780479091976</v>
      </c>
      <c r="GM129" s="21">
        <f>EXP(-LN(2)/25)*GM128+(1-EXP(-LN(2)/25))/(LN(2)/25)*Calculateur!GH129*Calculateur!GJ129*VLOOKUP('Données projet'!$B$17,Paramètres!$A$1:$I$89,3,0)*0.475*44/12</f>
        <v>4.5684036828018098</v>
      </c>
      <c r="GN129" s="21">
        <f>EXP(-LN(2)/2)*GN128+(1-EXP(-LN(2)/2))/(LN(2)/2)*GH129*GK129*VLOOKUP('Données projet'!$B$17,Paramètres!$A$1:$I$89,3,0)*0.475*44/12</f>
        <v>2.790559317816526E-16</v>
      </c>
      <c r="GO129" s="21">
        <f t="shared" si="81"/>
        <v>47.363184161893784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67.460131085929248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-5.6843418860808015E-14</v>
      </c>
      <c r="GV129" s="17">
        <f>GU129*VLOOKUP('Données projet'!$B$18,Paramètres!$A$1:$I$89,3,0)*VLOOKUP('Données projet'!$B$18,Paramètres!$A$1:$I$89,5,0)</f>
        <v>-3.0061073630349716E-14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212.75657290802619</v>
      </c>
      <c r="HA129" s="59">
        <f t="shared" si="106"/>
        <v>411.47446316045978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11.483423260966475</v>
      </c>
      <c r="HH129" s="21">
        <f>EXP(-LN(2)/25)*HH128+(1-EXP(-LN(2)/25))/(LN(2)/25)*Calculateur!HC129*Calculateur!HE129*VLOOKUP('Données projet'!$B$18,Paramètres!$A$1:$I$89,3,0)*0.475*44/12</f>
        <v>1.3905019990944367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12.873925260060911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4.60745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16.893983333333335</v>
      </c>
      <c r="H130" s="66">
        <f t="shared" si="56"/>
        <v>189.09073333333333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733.05865048811381</v>
      </c>
      <c r="S130" s="59">
        <f ca="1">AVERAGE(OFFSET($R$3,0,0,'Données projet'!$E$9+1,1))-AVERAGE(OFFSET($H$3,0,0,'Données projet'!$E$9+1,1))</f>
        <v>564.49981446852132</v>
      </c>
      <c r="T130" s="59">
        <f t="shared" si="88"/>
        <v>297.54722913785406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228.28</v>
      </c>
      <c r="AG130" s="12">
        <f>VLOOKUP(A130,'Données projet'!$A$61:$I$81,9,0)</f>
        <v>0.19750000000000512</v>
      </c>
      <c r="AH130" s="12">
        <f t="array" ref="AH130">INDEX(AG:AG,MIN(IF(ISNUMBER(AG130:AG326),ROW(AG130:AG326),"")))</f>
        <v>0.19750000000000512</v>
      </c>
      <c r="AI130" s="13">
        <f>IF('Données projet'!$A$62&gt;35,AI129+AH130-AQ129,IF(A130&lt;'Données projet'!$A$62,$AF$205^A130,IF(A130='Données projet'!$A$62,'Données projet'!$B$62,AI129+AH130-AQ129)))</f>
        <v>228.28000000000043</v>
      </c>
      <c r="AJ130" s="13">
        <f>AI130*VLOOKUP('Données projet'!$B$10,Paramètres!$A$1:$I$89,3,0)*VLOOKUP('Données projet'!$B$10,Paramètres!$A$1:$I$89,5,0)</f>
        <v>231.47592000000046</v>
      </c>
      <c r="AK130" s="13">
        <f t="shared" si="89"/>
        <v>56.601691040304857</v>
      </c>
      <c r="AL130" s="20">
        <f t="shared" si="58"/>
        <v>501.73517256186511</v>
      </c>
      <c r="AM130" s="59">
        <f t="shared" si="59"/>
        <v>785.91721038393632</v>
      </c>
      <c r="AN130" s="59">
        <f ca="1">AVERAGE(OFFSET($AM$3,0,0,'Données projet'!$E$10+1,1))-AVERAGE(OFFSET($H$3,0,0,'Données projet'!$E$10+1,1))</f>
        <v>623.16549611107564</v>
      </c>
      <c r="AO130" s="59">
        <f t="shared" si="90"/>
        <v>326.15178903425885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65.02</v>
      </c>
      <c r="AR130" s="16">
        <f>IF(ISNA(VLOOKUP(A130,'Données projet'!$A$61:$I$81,5,0)),0%,VLOOKUP(A130,'Données projet'!$A$61:$I$81,5,0)*VLOOKUP('Données projet'!$B$10,Paramètres!$A$1:$I$89,7,0))</f>
        <v>0.43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261.07560427608689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261.07560427608689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266.99999999999983</v>
      </c>
      <c r="BE130" s="13">
        <f>BD130*VLOOKUP('Données projet'!$B$11,Paramètres!$A$1:$I$89,3,0)*VLOOKUP('Données projet'!$B$11,Paramètres!$A$1:$I$89,5,0)</f>
        <v>216.59039999999987</v>
      </c>
      <c r="BF130" s="13">
        <f t="shared" si="91"/>
        <v>53.373153688190904</v>
      </c>
      <c r="BG130" s="20">
        <f t="shared" si="61"/>
        <v>470.18652267359886</v>
      </c>
      <c r="BH130" s="59">
        <f t="shared" si="62"/>
        <v>754.36856049567007</v>
      </c>
      <c r="BI130" s="59">
        <f ca="1">AVERAGE(OFFSET($BH$3,0,0,'Données projet'!$E$11+1,1))-AVERAGE(OFFSET($H$3,0,0,'Données projet'!$E$11+1,1))</f>
        <v>326.2912419133811</v>
      </c>
      <c r="BJ130" s="59">
        <f t="shared" si="92"/>
        <v>315.07976787459938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17.440152424733881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17.440152424733881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243</v>
      </c>
      <c r="BZ130" s="13">
        <f>BY130*VLOOKUP('Données projet'!$B$12,Paramètres!$A$1:$I$89,3,0)*VLOOKUP('Données projet'!$B$12,Paramètres!$A$1:$I$89,5,0)</f>
        <v>155.4228</v>
      </c>
      <c r="CA130" s="13">
        <f t="shared" si="93"/>
        <v>39.808377687614154</v>
      </c>
      <c r="CB130" s="20">
        <f t="shared" si="64"/>
        <v>340.02763447259463</v>
      </c>
      <c r="CC130" s="59">
        <f t="shared" si="65"/>
        <v>624.20967229466578</v>
      </c>
      <c r="CD130" s="59">
        <f ca="1">AVERAGE(OFFSET($CC$3,0,0,'Données projet'!$E$12+1,1))-AVERAGE(OFFSET($H$3,0,0,'Données projet'!$E$12+1,1))</f>
        <v>297.03992602744393</v>
      </c>
      <c r="CE130" s="59">
        <f t="shared" si="94"/>
        <v>265.2588848922893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24.078863364780847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24.078863364780847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367.99999999999972</v>
      </c>
      <c r="CU130" s="17">
        <f>CT130*VLOOKUP('Données projet'!$B$13,Paramètres!$A$1:$I$89,3,0)*VLOOKUP('Données projet'!$B$13,Paramètres!$A$1:$I$89,5,0)</f>
        <v>292.78079999999977</v>
      </c>
      <c r="CV130" s="13">
        <f t="shared" si="95"/>
        <v>69.660903052386217</v>
      </c>
      <c r="CW130" s="20">
        <f t="shared" si="67"/>
        <v>631.25263281623893</v>
      </c>
      <c r="CX130" s="59">
        <f t="shared" si="68"/>
        <v>915.43467063831008</v>
      </c>
      <c r="CY130" s="59">
        <f ca="1">AVERAGE(OFFSET($CX$3,0,0,'Données projet'!$E$13+1,1))-AVERAGE(OFFSET($H$3,0,0,'Données projet'!$E$13+1,1))</f>
        <v>427.42918901489531</v>
      </c>
      <c r="CZ130" s="59">
        <f t="shared" si="96"/>
        <v>410.68601510655412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24.298017321738385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24.298017321738385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>
        <f>VLOOKUP(A130,'Données projet'!$A$165:$I$185,2,0)</f>
        <v>228.28</v>
      </c>
      <c r="DM130" s="12">
        <f>VLOOKUP(A130,'Données projet'!$A$165:$I$185,9,0)</f>
        <v>0.19750000000000512</v>
      </c>
      <c r="DN130" s="12">
        <f t="array" ref="DN130">INDEX(DM:DM,MIN(IF(ISNUMBER(DM130:DM326),ROW(DM130:DM326),"")))</f>
        <v>0.19750000000000512</v>
      </c>
      <c r="DO130" s="12">
        <f>IF('Données projet'!$A$166&gt;35,DO129+DN130-DW129,IF(A130&lt;'Données projet'!$A$166,$DL$205^A130,IF(A130='Données projet'!$A$166,'Données projet'!$B$166,DO129+DN130-DW129)))</f>
        <v>228.28000000000043</v>
      </c>
      <c r="DP130" s="17">
        <f>DO130*VLOOKUP('Données projet'!$B$14,Paramètres!$A$1:$I$89,3,0)*VLOOKUP('Données projet'!$B$14,Paramètres!$A$1:$I$89,5,0)</f>
        <v>220.79241600000043</v>
      </c>
      <c r="DQ130" s="13">
        <f t="shared" si="97"/>
        <v>54.287077367221812</v>
      </c>
      <c r="DR130" s="20">
        <f t="shared" si="70"/>
        <v>479.09678428124539</v>
      </c>
      <c r="DS130" s="59">
        <f t="shared" si="71"/>
        <v>763.27882210331654</v>
      </c>
      <c r="DT130" s="59">
        <f ca="1">AVERAGE(OFFSET($DS$3,0,0,'Données projet'!$E$14+1,1))-AVERAGE(OFFSET($H$3,0,0,'Données projet'!$E$14+1,1))</f>
        <v>598.03945725240396</v>
      </c>
      <c r="DU130" s="59">
        <f t="shared" si="98"/>
        <v>313.9014686755695</v>
      </c>
      <c r="DV130" s="15">
        <f>IF(ISNA(VLOOKUP(A130,'Données projet'!$A$165:$I$185,3,0)),0,VLOOKUP(A130,'Données projet'!$A$165:$I$185,3,0))</f>
        <v>13</v>
      </c>
      <c r="DW130" s="15">
        <f>IF(ISNA(VLOOKUP(A130,'Données projet'!$A$165:$I$185,4,0)),0,VLOOKUP(A130,'Données projet'!$A$165:$I$185,4,0))</f>
        <v>65.02</v>
      </c>
      <c r="DX130" s="16">
        <f>IF(ISNA(VLOOKUP(A130,'Données projet'!$A$165:$I$185,5,0)),0%,VLOOKUP(A130,'Données projet'!$A$165:$I$185,5,0)*VLOOKUP('Données projet'!$B$14,Paramètres!$A$1:$I$89,7,0))</f>
        <v>0.43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249.02596100180597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249.02596100180597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>
        <f>VLOOKUP(A130,'Données projet'!$A$191:$I$211,2,0)</f>
        <v>228.28</v>
      </c>
      <c r="EH130" s="12">
        <f>VLOOKUP(A130,'Données projet'!$A$191:$I$211,9,0)</f>
        <v>0.19750000000000512</v>
      </c>
      <c r="EI130" s="12">
        <f t="array" ref="EI130">INDEX(EH:EH,MIN(IF(ISNUMBER(EH130:EH326),ROW(EH130:EH326),"")))</f>
        <v>0.19750000000000512</v>
      </c>
      <c r="EJ130" s="12">
        <f>IF('Données projet'!$A$192&gt;35,EJ129+EI130-ER129,IF(A130&lt;'Données projet'!$A$192,$EG$205^A130,IF(A130='Données projet'!$A$192,'Données projet'!$B$192,EJ129+EI130-ER129)))</f>
        <v>228.28000000000043</v>
      </c>
      <c r="EK130" s="17">
        <f>EJ130*VLOOKUP('Données projet'!$B$15,Paramètres!$A$1:$I$89,3,0)*VLOOKUP('Données projet'!$B$15,Paramètres!$A$1:$I$89,5,0)</f>
        <v>153.13022400000028</v>
      </c>
      <c r="EL130" s="13">
        <f t="shared" si="99"/>
        <v>39.289082934039058</v>
      </c>
      <c r="EM130" s="20">
        <f t="shared" si="73"/>
        <v>335.1302929101185</v>
      </c>
      <c r="EN130" s="59">
        <f t="shared" si="74"/>
        <v>619.31233073218971</v>
      </c>
      <c r="EO130" s="59">
        <f ca="1">AVERAGE(OFFSET($EN$3,0,0,'Données projet'!$E$15+1,1))-AVERAGE(OFFSET($H$3,0,0,'Données projet'!$E$15+1,1))</f>
        <v>438.27475674276604</v>
      </c>
      <c r="EP130" s="59">
        <f t="shared" si="100"/>
        <v>235.97720136798864</v>
      </c>
      <c r="EQ130" s="15">
        <f>IF(ISNA(VLOOKUP(A130,'Données projet'!$A$191:$I$211,3,0)),0,VLOOKUP(A130,'Données projet'!$A$191:$I$211,3,0))</f>
        <v>13</v>
      </c>
      <c r="ER130" s="15">
        <f>IF(ISNA(VLOOKUP(A130,'Données projet'!$A$191:$I$211,4,0)),0,VLOOKUP(A130,'Données projet'!$A$191:$I$211,4,0))</f>
        <v>65.02</v>
      </c>
      <c r="ES130" s="16">
        <f>IF(ISNA(VLOOKUP(A130,'Données projet'!$A$191:$I$211,5,0)),0%,VLOOKUP(A130,'Données projet'!$A$191:$I$211,5,0)*VLOOKUP('Données projet'!$B$15,Paramètres!$A$1:$I$89,7,0))</f>
        <v>0.53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212.87703117896311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212.87703117896311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5.2499999999990337</v>
      </c>
      <c r="FF130" s="17">
        <f>FE130*VLOOKUP('Données projet'!$B$16,Paramètres!$A$1:$I$89,3,0)*VLOOKUP('Données projet'!$B$16,Paramètres!$A$1:$I$89,5,0)</f>
        <v>2.4569999999995478</v>
      </c>
      <c r="FG130" s="13">
        <f t="shared" si="101"/>
        <v>1.0197977774625564</v>
      </c>
      <c r="FH130" s="20">
        <f t="shared" si="76"/>
        <v>6.0554227957464972</v>
      </c>
      <c r="FI130" s="59">
        <f t="shared" si="77"/>
        <v>290.2374606178177</v>
      </c>
      <c r="FJ130" s="59">
        <f ca="1">AVERAGE(OFFSET($FI$3,0,0,'Données projet'!$E$16+1,1))-AVERAGE(OFFSET($H$3,0,0,'Données projet'!$E$16+1,1))</f>
        <v>329.49463758169588</v>
      </c>
      <c r="FK130" s="59">
        <f t="shared" si="102"/>
        <v>207.1447698203379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170.05626989525047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170.05626989525047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763.00000000000057</v>
      </c>
      <c r="GA130" s="17">
        <f>FZ130*VLOOKUP('Données projet'!$B$17,Paramètres!$A$1:$I$89,3,0)*VLOOKUP('Données projet'!$B$17,Paramètres!$A$1:$I$89,5,0)</f>
        <v>456.2740000000004</v>
      </c>
      <c r="GB130" s="13">
        <f t="shared" si="103"/>
        <v>103.09649786611838</v>
      </c>
      <c r="GC130" s="20">
        <f t="shared" si="79"/>
        <v>974.23695045015677</v>
      </c>
      <c r="GD130" s="59">
        <f t="shared" si="80"/>
        <v>1258.418988272228</v>
      </c>
      <c r="GE130" s="59">
        <f ca="1">AVERAGE(OFFSET($GD$3,0,0,'Données projet'!$E$17+1,1))-AVERAGE(OFFSET($H$3,0,0,'Données projet'!$E$17+1,1))</f>
        <v>577.07444926285291</v>
      </c>
      <c r="GF130" s="59">
        <f t="shared" si="104"/>
        <v>501.3762209070419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41.955600936135696</v>
      </c>
      <c r="GM130" s="21">
        <f>EXP(-LN(2)/25)*GM129+(1-EXP(-LN(2)/25))/(LN(2)/25)*Calculateur!GH130*Calculateur!GJ130*VLOOKUP('Données projet'!$B$17,Paramètres!$A$1:$I$89,3,0)*0.475*44/12</f>
        <v>4.4434804438536855</v>
      </c>
      <c r="GN130" s="21">
        <f>EXP(-LN(2)/2)*GN129+(1-EXP(-LN(2)/2))/(LN(2)/2)*GH130*GK130*VLOOKUP('Données projet'!$B$17,Paramètres!$A$1:$I$89,3,0)*0.475*44/12</f>
        <v>1.9732234169313716E-16</v>
      </c>
      <c r="GO130" s="21">
        <f t="shared" si="81"/>
        <v>46.399081379989383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67.50419213329215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-5.6843418860808015E-14</v>
      </c>
      <c r="GV130" s="17">
        <f>GU130*VLOOKUP('Données projet'!$B$18,Paramètres!$A$1:$I$89,3,0)*VLOOKUP('Données projet'!$B$18,Paramètres!$A$1:$I$89,5,0)</f>
        <v>-3.0061073630349716E-14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212.75657290802619</v>
      </c>
      <c r="HA130" s="59">
        <f t="shared" si="106"/>
        <v>411.47446316045978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11.258240335015504</v>
      </c>
      <c r="HH130" s="21">
        <f>EXP(-LN(2)/25)*HH129+(1-EXP(-LN(2)/25))/(LN(2)/25)*Calculateur!HC130*Calculateur!HE130*VLOOKUP('Données projet'!$B$18,Paramètres!$A$1:$I$89,3,0)*0.475*44/12</f>
        <v>1.3524786488058773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12.610718983821382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4.60745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16.893983333333335</v>
      </c>
      <c r="H131" s="66">
        <f t="shared" si="56"/>
        <v>189.09073333333333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608.09119729816257</v>
      </c>
      <c r="S131" s="59">
        <f ca="1">AVERAGE(OFFSET($R$3,0,0,'Données projet'!$E$9+1,1))-AVERAGE(OFFSET($H$3,0,0,'Données projet'!$E$9+1,1))</f>
        <v>564.49981446852132</v>
      </c>
      <c r="T131" s="59">
        <f t="shared" si="88"/>
        <v>297.54722913785406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9.7500000000003695E-2</v>
      </c>
      <c r="AI131" s="13">
        <f>IF('Données projet'!$A$62&gt;35,AI130+AH131-AQ130,IF(A131&lt;'Données projet'!$A$62,$AF$205^A131,IF(A131='Données projet'!$A$62,'Données projet'!$B$62,AI130+AH131-AQ130)))</f>
        <v>163.35750000000041</v>
      </c>
      <c r="AJ131" s="13">
        <f>AI131*VLOOKUP('Données projet'!$B$10,Paramètres!$A$1:$I$89,3,0)*VLOOKUP('Données projet'!$B$10,Paramètres!$A$1:$I$89,5,0)</f>
        <v>165.64450500000044</v>
      </c>
      <c r="AK131" s="13">
        <f t="shared" si="89"/>
        <v>42.113068971150504</v>
      </c>
      <c r="AL131" s="20">
        <f t="shared" si="58"/>
        <v>361.8444413330879</v>
      </c>
      <c r="AM131" s="59">
        <f t="shared" si="59"/>
        <v>646.18523367304783</v>
      </c>
      <c r="AN131" s="59">
        <f ca="1">AVERAGE(OFFSET($AM$3,0,0,'Données projet'!$E$10+1,1))-AVERAGE(OFFSET($H$3,0,0,'Données projet'!$E$10+1,1))</f>
        <v>623.16549611107564</v>
      </c>
      <c r="AO131" s="59">
        <f t="shared" si="90"/>
        <v>326.15178903425885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255.95607091662777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255.95607091662777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266.99999999999983</v>
      </c>
      <c r="BE131" s="13">
        <f>BD131*VLOOKUP('Données projet'!$B$11,Paramètres!$A$1:$I$89,3,0)*VLOOKUP('Données projet'!$B$11,Paramètres!$A$1:$I$89,5,0)</f>
        <v>216.59039999999987</v>
      </c>
      <c r="BF131" s="13">
        <f t="shared" si="91"/>
        <v>53.373153688190904</v>
      </c>
      <c r="BG131" s="20">
        <f t="shared" si="61"/>
        <v>470.18652267359886</v>
      </c>
      <c r="BH131" s="59">
        <f t="shared" si="62"/>
        <v>754.52731501355879</v>
      </c>
      <c r="BI131" s="59">
        <f ca="1">AVERAGE(OFFSET($BH$3,0,0,'Données projet'!$E$11+1,1))-AVERAGE(OFFSET($H$3,0,0,'Données projet'!$E$11+1,1))</f>
        <v>326.2912419133811</v>
      </c>
      <c r="BJ131" s="59">
        <f t="shared" si="92"/>
        <v>315.07976787459938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17.098161673127468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17.098161673127468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243</v>
      </c>
      <c r="BZ131" s="13">
        <f>BY131*VLOOKUP('Données projet'!$B$12,Paramètres!$A$1:$I$89,3,0)*VLOOKUP('Données projet'!$B$12,Paramètres!$A$1:$I$89,5,0)</f>
        <v>155.4228</v>
      </c>
      <c r="CA131" s="13">
        <f t="shared" si="93"/>
        <v>39.808377687614154</v>
      </c>
      <c r="CB131" s="20">
        <f t="shared" si="64"/>
        <v>340.02763447259463</v>
      </c>
      <c r="CC131" s="59">
        <f t="shared" si="65"/>
        <v>624.36842681255462</v>
      </c>
      <c r="CD131" s="59">
        <f ca="1">AVERAGE(OFFSET($CC$3,0,0,'Données projet'!$E$12+1,1))-AVERAGE(OFFSET($H$3,0,0,'Données projet'!$E$12+1,1))</f>
        <v>297.03992602744393</v>
      </c>
      <c r="CE131" s="59">
        <f t="shared" si="94"/>
        <v>265.2588848922893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23.606691540853962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23.606691540853962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367.99999999999972</v>
      </c>
      <c r="CU131" s="17">
        <f>CT131*VLOOKUP('Données projet'!$B$13,Paramètres!$A$1:$I$89,3,0)*VLOOKUP('Données projet'!$B$13,Paramètres!$A$1:$I$89,5,0)</f>
        <v>292.78079999999977</v>
      </c>
      <c r="CV131" s="13">
        <f t="shared" si="95"/>
        <v>69.660903052386217</v>
      </c>
      <c r="CW131" s="20">
        <f t="shared" si="67"/>
        <v>631.25263281623893</v>
      </c>
      <c r="CX131" s="59">
        <f t="shared" si="68"/>
        <v>915.59342515619892</v>
      </c>
      <c r="CY131" s="59">
        <f ca="1">AVERAGE(OFFSET($CX$3,0,0,'Données projet'!$E$13+1,1))-AVERAGE(OFFSET($H$3,0,0,'Données projet'!$E$13+1,1))</f>
        <v>427.42918901489531</v>
      </c>
      <c r="CZ131" s="59">
        <f t="shared" si="96"/>
        <v>410.68601510655412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23.821548022386274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23.821548022386274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9.7500000000003695E-2</v>
      </c>
      <c r="DO131" s="12">
        <f>IF('Données projet'!$A$166&gt;35,DO130+DN131-DW130,IF(A131&lt;'Données projet'!$A$166,$DL$205^A131,IF(A131='Données projet'!$A$166,'Données projet'!$B$166,DO130+DN131-DW130)))</f>
        <v>163.35750000000041</v>
      </c>
      <c r="DP131" s="17">
        <f>DO131*VLOOKUP('Données projet'!$B$14,Paramètres!$A$1:$I$89,3,0)*VLOOKUP('Données projet'!$B$14,Paramètres!$A$1:$I$89,5,0)</f>
        <v>157.99937400000042</v>
      </c>
      <c r="DQ131" s="13">
        <f t="shared" si="97"/>
        <v>40.390938704994603</v>
      </c>
      <c r="DR131" s="20">
        <f t="shared" si="70"/>
        <v>345.52979462786629</v>
      </c>
      <c r="DS131" s="59">
        <f t="shared" si="71"/>
        <v>629.87058696782628</v>
      </c>
      <c r="DT131" s="59">
        <f ca="1">AVERAGE(OFFSET($DS$3,0,0,'Données projet'!$E$14+1,1))-AVERAGE(OFFSET($H$3,0,0,'Données projet'!$E$14+1,1))</f>
        <v>598.03945725240396</v>
      </c>
      <c r="DU131" s="59">
        <f t="shared" si="98"/>
        <v>313.9014686755695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244.14271379739878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244.14271379739878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9.7500000000003695E-2</v>
      </c>
      <c r="EJ131" s="12">
        <f>IF('Données projet'!$A$192&gt;35,EJ130+EI131-ER130,IF(A131&lt;'Données projet'!$A$192,$EG$205^A131,IF(A131='Données projet'!$A$192,'Données projet'!$B$192,EJ130+EI131-ER130)))</f>
        <v>163.35750000000041</v>
      </c>
      <c r="EK131" s="17">
        <f>EJ131*VLOOKUP('Données projet'!$B$15,Paramètres!$A$1:$I$89,3,0)*VLOOKUP('Données projet'!$B$15,Paramètres!$A$1:$I$89,5,0)</f>
        <v>109.58021100000029</v>
      </c>
      <c r="EL131" s="13">
        <f t="shared" si="99"/>
        <v>29.232057011092596</v>
      </c>
      <c r="EM131" s="20">
        <f t="shared" si="73"/>
        <v>241.76470011932011</v>
      </c>
      <c r="EN131" s="59">
        <f t="shared" si="74"/>
        <v>526.10549245928007</v>
      </c>
      <c r="EO131" s="59">
        <f ca="1">AVERAGE(OFFSET($EN$3,0,0,'Données projet'!$E$15+1,1))-AVERAGE(OFFSET($H$3,0,0,'Données projet'!$E$15+1,1))</f>
        <v>438.27475674276604</v>
      </c>
      <c r="EP131" s="59">
        <f t="shared" si="100"/>
        <v>235.97720136798864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208.70264243971181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208.70264243971181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5.2499999999990337</v>
      </c>
      <c r="FF131" s="17">
        <f>FE131*VLOOKUP('Données projet'!$B$16,Paramètres!$A$1:$I$89,3,0)*VLOOKUP('Données projet'!$B$16,Paramètres!$A$1:$I$89,5,0)</f>
        <v>2.4569999999995478</v>
      </c>
      <c r="FG131" s="13">
        <f t="shared" si="101"/>
        <v>1.0197977774625564</v>
      </c>
      <c r="FH131" s="20">
        <f t="shared" si="76"/>
        <v>6.0554227957464972</v>
      </c>
      <c r="FI131" s="59">
        <f t="shared" si="77"/>
        <v>290.39621513570643</v>
      </c>
      <c r="FJ131" s="59">
        <f ca="1">AVERAGE(OFFSET($FI$3,0,0,'Données projet'!$E$16+1,1))-AVERAGE(OFFSET($H$3,0,0,'Données projet'!$E$16+1,1))</f>
        <v>329.49463758169588</v>
      </c>
      <c r="FK131" s="59">
        <f t="shared" si="102"/>
        <v>207.1447698203379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166.72157016668734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166.72157016668734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763.00000000000057</v>
      </c>
      <c r="GA131" s="17">
        <f>FZ131*VLOOKUP('Données projet'!$B$17,Paramètres!$A$1:$I$89,3,0)*VLOOKUP('Données projet'!$B$17,Paramètres!$A$1:$I$89,5,0)</f>
        <v>456.2740000000004</v>
      </c>
      <c r="GB131" s="13">
        <f t="shared" si="103"/>
        <v>103.09649786611838</v>
      </c>
      <c r="GC131" s="20">
        <f t="shared" si="79"/>
        <v>974.23695045015677</v>
      </c>
      <c r="GD131" s="59">
        <f t="shared" si="80"/>
        <v>1258.5777427901166</v>
      </c>
      <c r="GE131" s="59">
        <f ca="1">AVERAGE(OFFSET($GD$3,0,0,'Données projet'!$E$17+1,1))-AVERAGE(OFFSET($H$3,0,0,'Données projet'!$E$17+1,1))</f>
        <v>577.07444926285291</v>
      </c>
      <c r="GF131" s="59">
        <f t="shared" si="104"/>
        <v>501.3762209070419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41.132877192167804</v>
      </c>
      <c r="GM131" s="21">
        <f>EXP(-LN(2)/25)*GM130+(1-EXP(-LN(2)/25))/(LN(2)/25)*Calculateur!GH131*Calculateur!GJ131*VLOOKUP('Données projet'!$B$17,Paramètres!$A$1:$I$89,3,0)*0.475*44/12</f>
        <v>4.3219732374440252</v>
      </c>
      <c r="GN131" s="21">
        <f>EXP(-LN(2)/2)*GN130+(1-EXP(-LN(2)/2))/(LN(2)/2)*GH131*GK131*VLOOKUP('Données projet'!$B$17,Paramètres!$A$1:$I$89,3,0)*0.475*44/12</f>
        <v>1.395279658908263E-16</v>
      </c>
      <c r="GO131" s="21">
        <f t="shared" si="81"/>
        <v>45.454850429611831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67.54748881998907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-5.6843418860808015E-14</v>
      </c>
      <c r="GV131" s="17">
        <f>GU131*VLOOKUP('Données projet'!$B$18,Paramètres!$A$1:$I$89,3,0)*VLOOKUP('Données projet'!$B$18,Paramètres!$A$1:$I$89,5,0)</f>
        <v>-3.0061073630349716E-14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212.75657290802619</v>
      </c>
      <c r="HA131" s="59">
        <f t="shared" si="106"/>
        <v>411.47446316045978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11.03747310889441</v>
      </c>
      <c r="HH131" s="21">
        <f>EXP(-LN(2)/25)*HH130+(1-EXP(-LN(2)/25))/(LN(2)/25)*Calculateur!HC131*Calculateur!HE131*VLOOKUP('Données projet'!$B$18,Paramètres!$A$1:$I$89,3,0)*0.475*44/12</f>
        <v>1.3154950490305195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12.352968157924931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4.60745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16.893983333333335</v>
      </c>
      <c r="H132" s="66">
        <f t="shared" ref="H132:H195" si="110">(B132+E132+F132)*44/12+(C132+D132)*0.475*44/12</f>
        <v>189.09073333333333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608.43581954107276</v>
      </c>
      <c r="S132" s="59">
        <f ca="1">AVERAGE(OFFSET($R$3,0,0,'Données projet'!$E$9+1,1))-AVERAGE(OFFSET($H$3,0,0,'Données projet'!$E$9+1,1))</f>
        <v>564.49981446852132</v>
      </c>
      <c r="T132" s="59">
        <f t="shared" si="88"/>
        <v>297.54722913785406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9.7500000000003695E-2</v>
      </c>
      <c r="AI132" s="13">
        <f>IF('Données projet'!$A$62&gt;35,AI131+AH132-AQ131,IF(A132&lt;'Données projet'!$A$62,$AF$205^A132,IF(A132='Données projet'!$A$62,'Données projet'!$B$62,AI131+AH132-AQ131)))</f>
        <v>163.45500000000041</v>
      </c>
      <c r="AJ132" s="13">
        <f>AI132*VLOOKUP('Données projet'!$B$10,Paramètres!$A$1:$I$89,3,0)*VLOOKUP('Données projet'!$B$10,Paramètres!$A$1:$I$89,5,0)</f>
        <v>165.74337000000043</v>
      </c>
      <c r="AK132" s="13">
        <f t="shared" si="89"/>
        <v>42.135277666835059</v>
      </c>
      <c r="AL132" s="20">
        <f t="shared" ref="AL132:AL153" si="112">(AJ132+AK132)*0.475*44/12</f>
        <v>362.05531135307177</v>
      </c>
      <c r="AM132" s="59">
        <f t="shared" ref="AM132:AM195" si="113">AL132+(AD132+AE132)*44/12</f>
        <v>646.55210417495687</v>
      </c>
      <c r="AN132" s="59">
        <f ca="1">AVERAGE(OFFSET($AM$3,0,0,'Données projet'!$E$10+1,1))-AVERAGE(OFFSET($H$3,0,0,'Données projet'!$E$10+1,1))</f>
        <v>623.16549611107564</v>
      </c>
      <c r="AO132" s="59">
        <f t="shared" si="90"/>
        <v>326.15178903425885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250.93692848374062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250.93692848374062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266.99999999999983</v>
      </c>
      <c r="BE132" s="13">
        <f>BD132*VLOOKUP('Données projet'!$B$11,Paramètres!$A$1:$I$89,3,0)*VLOOKUP('Données projet'!$B$11,Paramètres!$A$1:$I$89,5,0)</f>
        <v>216.59039999999987</v>
      </c>
      <c r="BF132" s="13">
        <f t="shared" si="91"/>
        <v>53.373153688190904</v>
      </c>
      <c r="BG132" s="20">
        <f t="shared" ref="BG132:BG153" si="115">(BE132+BF132)*0.475*44/12</f>
        <v>470.18652267359886</v>
      </c>
      <c r="BH132" s="59">
        <f t="shared" ref="BH132:BH195" si="116">BG132+(AY132+AZ132)*44/12</f>
        <v>754.68331549548395</v>
      </c>
      <c r="BI132" s="59">
        <f ca="1">AVERAGE(OFFSET($BH$3,0,0,'Données projet'!$E$11+1,1))-AVERAGE(OFFSET($H$3,0,0,'Données projet'!$E$11+1,1))</f>
        <v>326.2912419133811</v>
      </c>
      <c r="BJ132" s="59">
        <f t="shared" si="92"/>
        <v>315.07976787459938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16.762877151566297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16.762877151566297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243</v>
      </c>
      <c r="BZ132" s="13">
        <f>BY132*VLOOKUP('Données projet'!$B$12,Paramètres!$A$1:$I$89,3,0)*VLOOKUP('Données projet'!$B$12,Paramètres!$A$1:$I$89,5,0)</f>
        <v>155.4228</v>
      </c>
      <c r="CA132" s="13">
        <f t="shared" si="93"/>
        <v>39.808377687614154</v>
      </c>
      <c r="CB132" s="20">
        <f t="shared" ref="CB132:CB153" si="118">(BZ132+CA132)*0.475*44/12</f>
        <v>340.02763447259463</v>
      </c>
      <c r="CC132" s="59">
        <f t="shared" ref="CC132:CC195" si="119">CB132+(BT132+BU132)*44/12</f>
        <v>624.52442729447966</v>
      </c>
      <c r="CD132" s="59">
        <f ca="1">AVERAGE(OFFSET($CC$3,0,0,'Données projet'!$E$12+1,1))-AVERAGE(OFFSET($H$3,0,0,'Données projet'!$E$12+1,1))</f>
        <v>297.03992602744393</v>
      </c>
      <c r="CE132" s="59">
        <f t="shared" si="94"/>
        <v>265.2588848922893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23.143778718397908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23.143778718397908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367.99999999999972</v>
      </c>
      <c r="CU132" s="17">
        <f>CT132*VLOOKUP('Données projet'!$B$13,Paramètres!$A$1:$I$89,3,0)*VLOOKUP('Données projet'!$B$13,Paramètres!$A$1:$I$89,5,0)</f>
        <v>292.78079999999977</v>
      </c>
      <c r="CV132" s="13">
        <f t="shared" si="95"/>
        <v>69.660903052386217</v>
      </c>
      <c r="CW132" s="20">
        <f t="shared" ref="CW132:CW153" si="121">(CU132+CV132)*0.475*44/12</f>
        <v>631.25263281623893</v>
      </c>
      <c r="CX132" s="59">
        <f t="shared" ref="CX132:CX195" si="122">CW132+(CO132+CP132)*44/12</f>
        <v>915.74942563812397</v>
      </c>
      <c r="CY132" s="59">
        <f ca="1">AVERAGE(OFFSET($CX$3,0,0,'Données projet'!$E$13+1,1))-AVERAGE(OFFSET($H$3,0,0,'Données projet'!$E$13+1,1))</f>
        <v>427.42918901489531</v>
      </c>
      <c r="CZ132" s="59">
        <f t="shared" si="96"/>
        <v>410.68601510655412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23.354421995376882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23.354421995376882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9.7500000000003695E-2</v>
      </c>
      <c r="DO132" s="12">
        <f>IF('Données projet'!$A$166&gt;35,DO131+DN132-DW131,IF(A132&lt;'Données projet'!$A$166,$DL$205^A132,IF(A132='Données projet'!$A$166,'Données projet'!$B$166,DO131+DN132-DW131)))</f>
        <v>163.45500000000041</v>
      </c>
      <c r="DP132" s="17">
        <f>DO132*VLOOKUP('Données projet'!$B$14,Paramètres!$A$1:$I$89,3,0)*VLOOKUP('Données projet'!$B$14,Paramètres!$A$1:$I$89,5,0)</f>
        <v>158.09367600000041</v>
      </c>
      <c r="DQ132" s="13">
        <f t="shared" si="97"/>
        <v>40.412239220203517</v>
      </c>
      <c r="DR132" s="20">
        <f t="shared" ref="DR132:DR153" si="124">(DP132+DQ132)*0.475*44/12</f>
        <v>345.73113567518845</v>
      </c>
      <c r="DS132" s="59">
        <f t="shared" ref="DS132:DS195" si="125">DR132+(DJ132+DK132)*44/12</f>
        <v>630.22792849707355</v>
      </c>
      <c r="DT132" s="59">
        <f ca="1">AVERAGE(OFFSET($DS$3,0,0,'Données projet'!$E$14+1,1))-AVERAGE(OFFSET($H$3,0,0,'Données projet'!$E$14+1,1))</f>
        <v>598.03945725240396</v>
      </c>
      <c r="DU132" s="59">
        <f t="shared" si="98"/>
        <v>313.9014686755695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239.35522409218333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239.35522409218333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9.7500000000003695E-2</v>
      </c>
      <c r="EJ132" s="12">
        <f>IF('Données projet'!$A$192&gt;35,EJ131+EI132-ER131,IF(A132&lt;'Données projet'!$A$192,$EG$205^A132,IF(A132='Données projet'!$A$192,'Données projet'!$B$192,EJ131+EI132-ER131)))</f>
        <v>163.45500000000041</v>
      </c>
      <c r="EK132" s="17">
        <f>EJ132*VLOOKUP('Données projet'!$B$15,Paramètres!$A$1:$I$89,3,0)*VLOOKUP('Données projet'!$B$15,Paramètres!$A$1:$I$89,5,0)</f>
        <v>109.64561400000028</v>
      </c>
      <c r="EL132" s="13">
        <f t="shared" si="99"/>
        <v>29.247472792327603</v>
      </c>
      <c r="EM132" s="20">
        <f t="shared" ref="EM132:EM153" si="127">(EK132+EL132)*0.475*44/12</f>
        <v>241.90545949663775</v>
      </c>
      <c r="EN132" s="59">
        <f t="shared" ref="EN132:EN195" si="128">EM132+(EE132+EF132)*44/12</f>
        <v>526.40225231852287</v>
      </c>
      <c r="EO132" s="59">
        <f ca="1">AVERAGE(OFFSET($EN$3,0,0,'Données projet'!$E$15+1,1))-AVERAGE(OFFSET($H$3,0,0,'Données projet'!$E$15+1,1))</f>
        <v>438.27475674276604</v>
      </c>
      <c r="EP132" s="59">
        <f t="shared" si="100"/>
        <v>235.97720136798864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204.61011091751152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204.61011091751152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5.2499999999990337</v>
      </c>
      <c r="FF132" s="17">
        <f>FE132*VLOOKUP('Données projet'!$B$16,Paramètres!$A$1:$I$89,3,0)*VLOOKUP('Données projet'!$B$16,Paramètres!$A$1:$I$89,5,0)</f>
        <v>2.4569999999995478</v>
      </c>
      <c r="FG132" s="13">
        <f t="shared" si="101"/>
        <v>1.0197977774625564</v>
      </c>
      <c r="FH132" s="20">
        <f t="shared" ref="FH132:FH153" si="130">(FF132+FG132)*0.475*44/12</f>
        <v>6.0554227957464972</v>
      </c>
      <c r="FI132" s="59">
        <f t="shared" ref="FI132:FI195" si="131">FH132+(EZ132+FA132)*44/12</f>
        <v>290.55221561763159</v>
      </c>
      <c r="FJ132" s="59">
        <f ca="1">AVERAGE(OFFSET($FI$3,0,0,'Données projet'!$E$16+1,1))-AVERAGE(OFFSET($H$3,0,0,'Données projet'!$E$16+1,1))</f>
        <v>329.49463758169588</v>
      </c>
      <c r="FK132" s="59">
        <f t="shared" si="102"/>
        <v>207.1447698203379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163.45226186583534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163.45226186583534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763.00000000000057</v>
      </c>
      <c r="GA132" s="17">
        <f>FZ132*VLOOKUP('Données projet'!$B$17,Paramètres!$A$1:$I$89,3,0)*VLOOKUP('Données projet'!$B$17,Paramètres!$A$1:$I$89,5,0)</f>
        <v>456.2740000000004</v>
      </c>
      <c r="GB132" s="13">
        <f t="shared" si="103"/>
        <v>103.09649786611838</v>
      </c>
      <c r="GC132" s="20">
        <f t="shared" ref="GC132:GC153" si="133">(GA132+GB132)*0.475*44/12</f>
        <v>974.23695045015677</v>
      </c>
      <c r="GD132" s="59">
        <f t="shared" ref="GD132:GD195" si="134">GC132+(FU132+FV132)*44/12</f>
        <v>1258.7337432720419</v>
      </c>
      <c r="GE132" s="59">
        <f ca="1">AVERAGE(OFFSET($GD$3,0,0,'Données projet'!$E$17+1,1))-AVERAGE(OFFSET($H$3,0,0,'Données projet'!$E$17+1,1))</f>
        <v>577.07444926285291</v>
      </c>
      <c r="GF132" s="59">
        <f t="shared" si="104"/>
        <v>501.3762209070419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40.326286559007187</v>
      </c>
      <c r="GM132" s="21">
        <f>EXP(-LN(2)/25)*GM131+(1-EXP(-LN(2)/25))/(LN(2)/25)*Calculateur!GH132*Calculateur!GJ132*VLOOKUP('Données projet'!$B$17,Paramètres!$A$1:$I$89,3,0)*0.475*44/12</f>
        <v>4.203788651983424</v>
      </c>
      <c r="GN132" s="21">
        <f>EXP(-LN(2)/2)*GN131+(1-EXP(-LN(2)/2))/(LN(2)/2)*GH132*GK132*VLOOKUP('Données projet'!$B$17,Paramètres!$A$1:$I$89,3,0)*0.475*44/12</f>
        <v>9.8661170846568579E-17</v>
      </c>
      <c r="GO132" s="21">
        <f t="shared" ref="GO132:GO153" si="135">SUM(GL132:GN132)</f>
        <v>44.53007521099061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67.590034405968666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-5.6843418860808015E-14</v>
      </c>
      <c r="GV132" s="17">
        <f>GU132*VLOOKUP('Données projet'!$B$18,Paramètres!$A$1:$I$89,3,0)*VLOOKUP('Données projet'!$B$18,Paramètres!$A$1:$I$89,5,0)</f>
        <v>-3.0061073630349716E-14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212.75657290802619</v>
      </c>
      <c r="HA132" s="59">
        <f t="shared" si="106"/>
        <v>411.47446316045978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10.821034993422838</v>
      </c>
      <c r="HH132" s="21">
        <f>EXP(-LN(2)/25)*HH131+(1-EXP(-LN(2)/25))/(LN(2)/25)*Calculateur!HC132*Calculateur!HE132*VLOOKUP('Données projet'!$B$18,Paramètres!$A$1:$I$89,3,0)*0.475*44/12</f>
        <v>1.279522767735902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12.10055776115874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4.60745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16.893983333333335</v>
      </c>
      <c r="H133" s="66">
        <f t="shared" si="110"/>
        <v>189.09073333333333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608.77773309605982</v>
      </c>
      <c r="S133" s="59">
        <f ca="1">AVERAGE(OFFSET($R$3,0,0,'Données projet'!$E$9+1,1))-AVERAGE(OFFSET($H$3,0,0,'Données projet'!$E$9+1,1))</f>
        <v>564.49981446852132</v>
      </c>
      <c r="T133" s="59">
        <f t="shared" ref="T133:T196" si="142">$T$3</f>
        <v>297.54722913785406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9.7500000000003695E-2</v>
      </c>
      <c r="AI133" s="13">
        <f>IF('Données projet'!$A$62&gt;35,AI132+AH133-AQ132,IF(A133&lt;'Données projet'!$A$62,$AF$205^A133,IF(A133='Données projet'!$A$62,'Données projet'!$B$62,AI132+AH133-AQ132)))</f>
        <v>163.55250000000041</v>
      </c>
      <c r="AJ133" s="13">
        <f>AI133*VLOOKUP('Données projet'!$B$10,Paramètres!$A$1:$I$89,3,0)*VLOOKUP('Données projet'!$B$10,Paramètres!$A$1:$I$89,5,0)</f>
        <v>165.84223500000041</v>
      </c>
      <c r="AK133" s="13">
        <f t="shared" ref="AK133:AK153" si="143">EXP(-1.0587+0.8836*LN(AJ133)+0.284)</f>
        <v>42.157484820579974</v>
      </c>
      <c r="AL133" s="20">
        <f t="shared" si="112"/>
        <v>362.26617868751083</v>
      </c>
      <c r="AM133" s="59">
        <f t="shared" si="113"/>
        <v>646.91626573172459</v>
      </c>
      <c r="AN133" s="59">
        <f ca="1">AVERAGE(OFFSET($AM$3,0,0,'Données projet'!$E$10+1,1))-AVERAGE(OFFSET($H$3,0,0,'Données projet'!$E$10+1,1))</f>
        <v>623.16549611107564</v>
      </c>
      <c r="AO133" s="59">
        <f t="shared" ref="AO133:AO196" si="144">$AO$3</f>
        <v>326.15178903425885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246.01620837258778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246.01620837258778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266.99999999999983</v>
      </c>
      <c r="BE133" s="13">
        <f>BD133*VLOOKUP('Données projet'!$B$11,Paramètres!$A$1:$I$89,3,0)*VLOOKUP('Données projet'!$B$11,Paramètres!$A$1:$I$89,5,0)</f>
        <v>216.59039999999987</v>
      </c>
      <c r="BF133" s="13">
        <f t="shared" ref="BF133:BF153" si="145">EXP(-1.0587+0.8836*LN(BE133)+0.284)</f>
        <v>53.373153688190904</v>
      </c>
      <c r="BG133" s="20">
        <f t="shared" si="115"/>
        <v>470.18652267359886</v>
      </c>
      <c r="BH133" s="59">
        <f t="shared" si="116"/>
        <v>754.83660971781262</v>
      </c>
      <c r="BI133" s="59">
        <f ca="1">AVERAGE(OFFSET($BH$3,0,0,'Données projet'!$E$11+1,1))-AVERAGE(OFFSET($H$3,0,0,'Données projet'!$E$11+1,1))</f>
        <v>326.2912419133811</v>
      </c>
      <c r="BJ133" s="59">
        <f t="shared" ref="BJ133:BJ196" si="146">$BJ$3</f>
        <v>315.07976787459938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16.434167354969574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16.434167354969574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243</v>
      </c>
      <c r="BZ133" s="13">
        <f>BY133*VLOOKUP('Données projet'!$B$12,Paramètres!$A$1:$I$89,3,0)*VLOOKUP('Données projet'!$B$12,Paramètres!$A$1:$I$89,5,0)</f>
        <v>155.4228</v>
      </c>
      <c r="CA133" s="13">
        <f t="shared" ref="CA133:CA153" si="147">EXP(-1.0587+0.8836*LN(BZ133)+0.284)</f>
        <v>39.808377687614154</v>
      </c>
      <c r="CB133" s="20">
        <f t="shared" si="118"/>
        <v>340.02763447259463</v>
      </c>
      <c r="CC133" s="59">
        <f t="shared" si="119"/>
        <v>624.67772151680833</v>
      </c>
      <c r="CD133" s="59">
        <f ca="1">AVERAGE(OFFSET($CC$3,0,0,'Données projet'!$E$12+1,1))-AVERAGE(OFFSET($H$3,0,0,'Données projet'!$E$12+1,1))</f>
        <v>297.03992602744393</v>
      </c>
      <c r="CE133" s="59">
        <f t="shared" ref="CE133:CE196" si="148">$CE$3</f>
        <v>265.2588848922893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22.689943334041274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22.689943334041274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367.99999999999972</v>
      </c>
      <c r="CU133" s="17">
        <f>CT133*VLOOKUP('Données projet'!$B$13,Paramètres!$A$1:$I$89,3,0)*VLOOKUP('Données projet'!$B$13,Paramètres!$A$1:$I$89,5,0)</f>
        <v>292.78079999999977</v>
      </c>
      <c r="CV133" s="13">
        <f t="shared" ref="CV133:CV153" si="149">EXP(-1.0587+0.8836*LN(CU133)+0.284)</f>
        <v>69.660903052386217</v>
      </c>
      <c r="CW133" s="20">
        <f t="shared" si="121"/>
        <v>631.25263281623893</v>
      </c>
      <c r="CX133" s="59">
        <f t="shared" si="122"/>
        <v>915.90271986045263</v>
      </c>
      <c r="CY133" s="59">
        <f ca="1">AVERAGE(OFFSET($CX$3,0,0,'Données projet'!$E$13+1,1))-AVERAGE(OFFSET($H$3,0,0,'Données projet'!$E$13+1,1))</f>
        <v>427.42918901489531</v>
      </c>
      <c r="CZ133" s="59">
        <f t="shared" ref="CZ133:CZ196" si="150">$CZ$3</f>
        <v>410.68601510655412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22.8964560248384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22.8964560248384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9.7500000000003695E-2</v>
      </c>
      <c r="DO133" s="12">
        <f>IF('Données projet'!$A$166&gt;35,DO132+DN133-DW132,IF(A133&lt;'Données projet'!$A$166,$DL$205^A133,IF(A133='Données projet'!$A$166,'Données projet'!$B$166,DO132+DN133-DW132)))</f>
        <v>163.55250000000041</v>
      </c>
      <c r="DP133" s="17">
        <f>DO133*VLOOKUP('Données projet'!$B$14,Paramètres!$A$1:$I$89,3,0)*VLOOKUP('Données projet'!$B$14,Paramètres!$A$1:$I$89,5,0)</f>
        <v>158.18797800000038</v>
      </c>
      <c r="DQ133" s="13">
        <f t="shared" ref="DQ133:DQ153" si="151">EXP(-1.0587+0.8836*LN(DP133)+0.284)</f>
        <v>40.433538256527285</v>
      </c>
      <c r="DR133" s="20">
        <f t="shared" si="124"/>
        <v>345.93247414678564</v>
      </c>
      <c r="DS133" s="59">
        <f t="shared" si="125"/>
        <v>630.5825611909994</v>
      </c>
      <c r="DT133" s="59">
        <f ca="1">AVERAGE(OFFSET($DS$3,0,0,'Données projet'!$E$14+1,1))-AVERAGE(OFFSET($H$3,0,0,'Données projet'!$E$14+1,1))</f>
        <v>598.03945725240396</v>
      </c>
      <c r="DU133" s="59">
        <f t="shared" ref="DU133:DU196" si="152">$DU$3</f>
        <v>313.9014686755695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234.66161414000678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234.66161414000678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9.7500000000003695E-2</v>
      </c>
      <c r="EJ133" s="12">
        <f>IF('Données projet'!$A$192&gt;35,EJ132+EI133-ER132,IF(A133&lt;'Données projet'!$A$192,$EG$205^A133,IF(A133='Données projet'!$A$192,'Données projet'!$B$192,EJ132+EI133-ER132)))</f>
        <v>163.55250000000041</v>
      </c>
      <c r="EK133" s="17">
        <f>EJ133*VLOOKUP('Données projet'!$B$15,Paramètres!$A$1:$I$89,3,0)*VLOOKUP('Données projet'!$B$15,Paramètres!$A$1:$I$89,5,0)</f>
        <v>109.71101700000028</v>
      </c>
      <c r="EL133" s="13">
        <f t="shared" ref="EL133:EL153" si="153">EXP(-1.0587+0.8836*LN(EK133)+0.284)</f>
        <v>29.262887503251875</v>
      </c>
      <c r="EM133" s="20">
        <f t="shared" si="127"/>
        <v>242.0462170098308</v>
      </c>
      <c r="EN133" s="59">
        <f t="shared" si="128"/>
        <v>526.6963040540445</v>
      </c>
      <c r="EO133" s="59">
        <f ca="1">AVERAGE(OFFSET($EN$3,0,0,'Données projet'!$E$15+1,1))-AVERAGE(OFFSET($H$3,0,0,'Données projet'!$E$15+1,1))</f>
        <v>438.27475674276604</v>
      </c>
      <c r="EP133" s="59">
        <f t="shared" ref="EP133:EP196" si="154">$EP$3</f>
        <v>235.97720136798864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200.59783144226381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200.59783144226381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5.2499999999990337</v>
      </c>
      <c r="FF133" s="17">
        <f>FE133*VLOOKUP('Données projet'!$B$16,Paramètres!$A$1:$I$89,3,0)*VLOOKUP('Données projet'!$B$16,Paramètres!$A$1:$I$89,5,0)</f>
        <v>2.4569999999995478</v>
      </c>
      <c r="FG133" s="13">
        <f t="shared" ref="FG133:FG153" si="155">EXP(-1.0587+0.8836*LN(FF133)+0.284)</f>
        <v>1.0197977774625564</v>
      </c>
      <c r="FH133" s="20">
        <f t="shared" si="130"/>
        <v>6.0554227957464972</v>
      </c>
      <c r="FI133" s="59">
        <f t="shared" si="131"/>
        <v>290.70550983996026</v>
      </c>
      <c r="FJ133" s="59">
        <f ca="1">AVERAGE(OFFSET($FI$3,0,0,'Données projet'!$E$16+1,1))-AVERAGE(OFFSET($H$3,0,0,'Données projet'!$E$16+1,1))</f>
        <v>329.49463758169588</v>
      </c>
      <c r="FK133" s="59">
        <f t="shared" ref="FK133:FK196" si="156">$FK$3</f>
        <v>207.1447698203379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160.24706270668187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160.24706270668187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763.00000000000057</v>
      </c>
      <c r="GA133" s="17">
        <f>FZ133*VLOOKUP('Données projet'!$B$17,Paramètres!$A$1:$I$89,3,0)*VLOOKUP('Données projet'!$B$17,Paramètres!$A$1:$I$89,5,0)</f>
        <v>456.2740000000004</v>
      </c>
      <c r="GB133" s="13">
        <f t="shared" ref="GB133:GB153" si="157">EXP(-1.0587+0.8836*LN(GA133)+0.284)</f>
        <v>103.09649786611838</v>
      </c>
      <c r="GC133" s="20">
        <f t="shared" si="133"/>
        <v>974.23695045015677</v>
      </c>
      <c r="GD133" s="59">
        <f t="shared" si="134"/>
        <v>1258.8870374943706</v>
      </c>
      <c r="GE133" s="59">
        <f ca="1">AVERAGE(OFFSET($GD$3,0,0,'Données projet'!$E$17+1,1))-AVERAGE(OFFSET($H$3,0,0,'Données projet'!$E$17+1,1))</f>
        <v>577.07444926285291</v>
      </c>
      <c r="GF133" s="59">
        <f t="shared" ref="GF133:GF196" si="158">$GF$3</f>
        <v>501.3762209070419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39.535512676191146</v>
      </c>
      <c r="GM133" s="21">
        <f>EXP(-LN(2)/25)*GM132+(1-EXP(-LN(2)/25))/(LN(2)/25)*Calculateur!GH133*Calculateur!GJ133*VLOOKUP('Données projet'!$B$17,Paramètres!$A$1:$I$89,3,0)*0.475*44/12</f>
        <v>4.0888358302272998</v>
      </c>
      <c r="GN133" s="21">
        <f>EXP(-LN(2)/2)*GN132+(1-EXP(-LN(2)/2))/(LN(2)/2)*GH133*GK133*VLOOKUP('Données projet'!$B$17,Paramètres!$A$1:$I$89,3,0)*0.475*44/12</f>
        <v>6.9763982945413149E-17</v>
      </c>
      <c r="GO133" s="21">
        <f t="shared" si="135"/>
        <v>43.624348506418443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67.631841921149203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-5.6843418860808015E-14</v>
      </c>
      <c r="GV133" s="17">
        <f>GU133*VLOOKUP('Données projet'!$B$18,Paramètres!$A$1:$I$89,3,0)*VLOOKUP('Données projet'!$B$18,Paramètres!$A$1:$I$89,5,0)</f>
        <v>-3.0061073630349716E-14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212.75657290802619</v>
      </c>
      <c r="HA133" s="59">
        <f t="shared" ref="HA133:HA196" si="160">$HA$3</f>
        <v>411.47446316045978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10.608841097381449</v>
      </c>
      <c r="HH133" s="21">
        <f>EXP(-LN(2)/25)*HH132+(1-EXP(-LN(2)/25))/(LN(2)/25)*Calculateur!HC133*Calculateur!HE133*VLOOKUP('Données projet'!$B$18,Paramètres!$A$1:$I$89,3,0)*0.475*44/12</f>
        <v>1.2445341503649858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11.853375247746435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4.60745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16.893983333333335</v>
      </c>
      <c r="H134" s="66">
        <f t="shared" si="110"/>
        <v>189.09073333333333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609.11698491229276</v>
      </c>
      <c r="S134" s="59">
        <f ca="1">AVERAGE(OFFSET($R$3,0,0,'Données projet'!$E$9+1,1))-AVERAGE(OFFSET($H$3,0,0,'Données projet'!$E$9+1,1))</f>
        <v>564.49981446852132</v>
      </c>
      <c r="T134" s="59">
        <f t="shared" si="142"/>
        <v>297.54722913785406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163.65</v>
      </c>
      <c r="AG134" s="12">
        <f>VLOOKUP(A134,'Données projet'!$A$61:$I$81,9,0)</f>
        <v>9.7500000000003695E-2</v>
      </c>
      <c r="AH134" s="12">
        <f t="array" ref="AH134">INDEX(AG:AG,MIN(IF(ISNUMBER(AG134:AG330),ROW(AG134:AG330),"")))</f>
        <v>9.7500000000003695E-2</v>
      </c>
      <c r="AI134" s="13">
        <f>IF('Données projet'!$A$62&gt;35,AI133+AH134-AQ133,IF(A134&lt;'Données projet'!$A$62,$AF$205^A134,IF(A134='Données projet'!$A$62,'Données projet'!$B$62,AI133+AH134-AQ133)))</f>
        <v>163.6500000000004</v>
      </c>
      <c r="AJ134" s="13">
        <f>AI134*VLOOKUP('Données projet'!$B$10,Paramètres!$A$1:$I$89,3,0)*VLOOKUP('Données projet'!$B$10,Paramètres!$A$1:$I$89,5,0)</f>
        <v>165.94110000000043</v>
      </c>
      <c r="AK134" s="13">
        <f t="shared" si="143"/>
        <v>42.179690433411352</v>
      </c>
      <c r="AL134" s="20">
        <f t="shared" si="112"/>
        <v>362.47704333819223</v>
      </c>
      <c r="AM134" s="59">
        <f t="shared" si="113"/>
        <v>647.27776529269181</v>
      </c>
      <c r="AN134" s="59">
        <f ca="1">AVERAGE(OFFSET($AM$3,0,0,'Données projet'!$E$10+1,1))-AVERAGE(OFFSET($H$3,0,0,'Données projet'!$E$10+1,1))</f>
        <v>623.16549611107564</v>
      </c>
      <c r="AO134" s="59">
        <f t="shared" si="144"/>
        <v>326.15178903425885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143.84</v>
      </c>
      <c r="AR134" s="16">
        <f>IF(ISNA(VLOOKUP(A134,'Données projet'!$A$61:$I$81,5,0)),0%,VLOOKUP(A134,'Données projet'!$A$61:$I$81,5,0)*VLOOKUP('Données projet'!$B$10,Paramètres!$A$1:$I$89,7,0))</f>
        <v>0.43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310.52389549358008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310.52389549358008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266.99999999999983</v>
      </c>
      <c r="BE134" s="13">
        <f>BD134*VLOOKUP('Données projet'!$B$11,Paramètres!$A$1:$I$89,3,0)*VLOOKUP('Données projet'!$B$11,Paramètres!$A$1:$I$89,5,0)</f>
        <v>216.59039999999987</v>
      </c>
      <c r="BF134" s="13">
        <f t="shared" si="145"/>
        <v>53.373153688190904</v>
      </c>
      <c r="BG134" s="20">
        <f t="shared" si="115"/>
        <v>470.18652267359886</v>
      </c>
      <c r="BH134" s="59">
        <f t="shared" si="116"/>
        <v>754.98724462809832</v>
      </c>
      <c r="BI134" s="59">
        <f ca="1">AVERAGE(OFFSET($BH$3,0,0,'Données projet'!$E$11+1,1))-AVERAGE(OFFSET($H$3,0,0,'Données projet'!$E$11+1,1))</f>
        <v>326.2912419133811</v>
      </c>
      <c r="BJ134" s="59">
        <f t="shared" si="146"/>
        <v>315.07976787459938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16.111903356990933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16.111903356990933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243</v>
      </c>
      <c r="BZ134" s="13">
        <f>BY134*VLOOKUP('Données projet'!$B$12,Paramètres!$A$1:$I$89,3,0)*VLOOKUP('Données projet'!$B$12,Paramètres!$A$1:$I$89,5,0)</f>
        <v>155.4228</v>
      </c>
      <c r="CA134" s="13">
        <f t="shared" si="147"/>
        <v>39.808377687614154</v>
      </c>
      <c r="CB134" s="20">
        <f t="shared" si="118"/>
        <v>340.02763447259463</v>
      </c>
      <c r="CC134" s="59">
        <f t="shared" si="119"/>
        <v>624.82835642709415</v>
      </c>
      <c r="CD134" s="59">
        <f ca="1">AVERAGE(OFFSET($CC$3,0,0,'Données projet'!$E$12+1,1))-AVERAGE(OFFSET($H$3,0,0,'Données projet'!$E$12+1,1))</f>
        <v>297.03992602744393</v>
      </c>
      <c r="CE134" s="59">
        <f t="shared" si="148"/>
        <v>265.2588848922893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22.245007384759621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22.245007384759621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367.99999999999972</v>
      </c>
      <c r="CU134" s="17">
        <f>CT134*VLOOKUP('Données projet'!$B$13,Paramètres!$A$1:$I$89,3,0)*VLOOKUP('Données projet'!$B$13,Paramètres!$A$1:$I$89,5,0)</f>
        <v>292.78079999999977</v>
      </c>
      <c r="CV134" s="13">
        <f t="shared" si="149"/>
        <v>69.660903052386217</v>
      </c>
      <c r="CW134" s="20">
        <f t="shared" si="121"/>
        <v>631.25263281623893</v>
      </c>
      <c r="CX134" s="59">
        <f t="shared" si="122"/>
        <v>916.05335477073845</v>
      </c>
      <c r="CY134" s="59">
        <f ca="1">AVERAGE(OFFSET($CX$3,0,0,'Données projet'!$E$13+1,1))-AVERAGE(OFFSET($H$3,0,0,'Données projet'!$E$13+1,1))</f>
        <v>427.42918901489531</v>
      </c>
      <c r="CZ134" s="59">
        <f t="shared" si="150"/>
        <v>410.68601510655412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22.44747048765052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22.44747048765052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>
        <f>VLOOKUP(A134,'Données projet'!$A$165:$I$185,2,0)</f>
        <v>163.65</v>
      </c>
      <c r="DM134" s="12">
        <f>VLOOKUP(A134,'Données projet'!$A$165:$I$185,9,0)</f>
        <v>9.7500000000003695E-2</v>
      </c>
      <c r="DN134" s="12">
        <f t="array" ref="DN134">INDEX(DM:DM,MIN(IF(ISNUMBER(DM134:DM330),ROW(DM134:DM330),"")))</f>
        <v>9.7500000000003695E-2</v>
      </c>
      <c r="DO134" s="12">
        <f>IF('Données projet'!$A$166&gt;35,DO133+DN134-DW133,IF(A134&lt;'Données projet'!$A$166,$DL$205^A134,IF(A134='Données projet'!$A$166,'Données projet'!$B$166,DO133+DN134-DW133)))</f>
        <v>163.6500000000004</v>
      </c>
      <c r="DP134" s="17">
        <f>DO134*VLOOKUP('Données projet'!$B$14,Paramètres!$A$1:$I$89,3,0)*VLOOKUP('Données projet'!$B$14,Paramètres!$A$1:$I$89,5,0)</f>
        <v>158.28228000000038</v>
      </c>
      <c r="DQ134" s="13">
        <f t="shared" si="151"/>
        <v>40.454835814950151</v>
      </c>
      <c r="DR134" s="20">
        <f t="shared" si="124"/>
        <v>346.13381004437218</v>
      </c>
      <c r="DS134" s="59">
        <f t="shared" si="125"/>
        <v>630.93453199887176</v>
      </c>
      <c r="DT134" s="59">
        <f ca="1">AVERAGE(OFFSET($DS$3,0,0,'Données projet'!$E$14+1,1))-AVERAGE(OFFSET($H$3,0,0,'Données projet'!$E$14+1,1))</f>
        <v>598.03945725240396</v>
      </c>
      <c r="DU134" s="59">
        <f t="shared" si="152"/>
        <v>313.9014686755695</v>
      </c>
      <c r="DV134" s="15">
        <f>IF(ISNA(VLOOKUP(A134,'Données projet'!$A$165:$I$185,3,0)),0,VLOOKUP(A134,'Données projet'!$A$165:$I$185,3,0))</f>
        <v>14</v>
      </c>
      <c r="DW134" s="15">
        <f>IF(ISNA(VLOOKUP(A134,'Données projet'!$A$165:$I$185,4,0)),0,VLOOKUP(A134,'Données projet'!$A$165:$I$185,4,0))</f>
        <v>143.84</v>
      </c>
      <c r="DX134" s="16">
        <f>IF(ISNA(VLOOKUP(A134,'Données projet'!$A$165:$I$185,5,0)),0%,VLOOKUP(A134,'Données projet'!$A$165:$I$185,5,0)*VLOOKUP('Données projet'!$B$14,Paramètres!$A$1:$I$89,7,0))</f>
        <v>0.43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296.19202339387635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296.19202339387635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>
        <f>VLOOKUP(A134,'Données projet'!$A$191:$I$211,2,0)</f>
        <v>163.65</v>
      </c>
      <c r="EH134" s="12">
        <f>VLOOKUP(A134,'Données projet'!$A$191:$I$211,9,0)</f>
        <v>9.7500000000003695E-2</v>
      </c>
      <c r="EI134" s="12">
        <f t="array" ref="EI134">INDEX(EH:EH,MIN(IF(ISNUMBER(EH134:EH330),ROW(EH134:EH330),"")))</f>
        <v>9.7500000000003695E-2</v>
      </c>
      <c r="EJ134" s="12">
        <f>IF('Données projet'!$A$192&gt;35,EJ133+EI134-ER133,IF(A134&lt;'Données projet'!$A$192,$EG$205^A134,IF(A134='Données projet'!$A$192,'Données projet'!$B$192,EJ133+EI134-ER133)))</f>
        <v>163.6500000000004</v>
      </c>
      <c r="EK134" s="17">
        <f>EJ134*VLOOKUP('Données projet'!$B$15,Paramètres!$A$1:$I$89,3,0)*VLOOKUP('Données projet'!$B$15,Paramètres!$A$1:$I$89,5,0)</f>
        <v>109.77642000000027</v>
      </c>
      <c r="EL134" s="13">
        <f t="shared" si="153"/>
        <v>29.278301144577728</v>
      </c>
      <c r="EM134" s="20">
        <f t="shared" si="127"/>
        <v>242.18697266013999</v>
      </c>
      <c r="EN134" s="59">
        <f t="shared" si="128"/>
        <v>526.98769461463951</v>
      </c>
      <c r="EO134" s="59">
        <f ca="1">AVERAGE(OFFSET($EN$3,0,0,'Données projet'!$E$15+1,1))-AVERAGE(OFFSET($H$3,0,0,'Données projet'!$E$15+1,1))</f>
        <v>438.27475674276604</v>
      </c>
      <c r="EP134" s="59">
        <f t="shared" si="154"/>
        <v>235.97720136798864</v>
      </c>
      <c r="EQ134" s="15">
        <f>IF(ISNA(VLOOKUP(A134,'Données projet'!$A$191:$I$211,3,0)),0,VLOOKUP(A134,'Données projet'!$A$191:$I$211,3,0))</f>
        <v>14</v>
      </c>
      <c r="ER134" s="15">
        <f>IF(ISNA(VLOOKUP(A134,'Données projet'!$A$191:$I$211,4,0)),0,VLOOKUP(A134,'Données projet'!$A$191:$I$211,4,0))</f>
        <v>143.84</v>
      </c>
      <c r="ES134" s="16">
        <f>IF(ISNA(VLOOKUP(A134,'Données projet'!$A$191:$I$211,5,0)),0%,VLOOKUP(A134,'Données projet'!$A$191:$I$211,5,0)*VLOOKUP('Données projet'!$B$15,Paramètres!$A$1:$I$89,7,0))</f>
        <v>0.53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253.19640709476525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253.19640709476525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5.2499999999990337</v>
      </c>
      <c r="FF134" s="17">
        <f>FE134*VLOOKUP('Données projet'!$B$16,Paramètres!$A$1:$I$89,3,0)*VLOOKUP('Données projet'!$B$16,Paramètres!$A$1:$I$89,5,0)</f>
        <v>2.4569999999995478</v>
      </c>
      <c r="FG134" s="13">
        <f t="shared" si="155"/>
        <v>1.0197977774625564</v>
      </c>
      <c r="FH134" s="20">
        <f t="shared" si="130"/>
        <v>6.0554227957464972</v>
      </c>
      <c r="FI134" s="59">
        <f t="shared" si="131"/>
        <v>290.85614475024602</v>
      </c>
      <c r="FJ134" s="59">
        <f ca="1">AVERAGE(OFFSET($FI$3,0,0,'Données projet'!$E$16+1,1))-AVERAGE(OFFSET($H$3,0,0,'Données projet'!$E$16+1,1))</f>
        <v>329.49463758169588</v>
      </c>
      <c r="FK134" s="59">
        <f t="shared" si="156"/>
        <v>207.1447698203379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157.10471554806097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157.10471554806097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763.00000000000057</v>
      </c>
      <c r="GA134" s="17">
        <f>FZ134*VLOOKUP('Données projet'!$B$17,Paramètres!$A$1:$I$89,3,0)*VLOOKUP('Données projet'!$B$17,Paramètres!$A$1:$I$89,5,0)</f>
        <v>456.2740000000004</v>
      </c>
      <c r="GB134" s="13">
        <f t="shared" si="157"/>
        <v>103.09649786611838</v>
      </c>
      <c r="GC134" s="20">
        <f t="shared" si="133"/>
        <v>974.23695045015677</v>
      </c>
      <c r="GD134" s="59">
        <f t="shared" si="134"/>
        <v>1259.0376724046564</v>
      </c>
      <c r="GE134" s="59">
        <f ca="1">AVERAGE(OFFSET($GD$3,0,0,'Données projet'!$E$17+1,1))-AVERAGE(OFFSET($H$3,0,0,'Données projet'!$E$17+1,1))</f>
        <v>577.07444926285291</v>
      </c>
      <c r="GF134" s="59">
        <f t="shared" si="158"/>
        <v>501.3762209070419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38.760245386892684</v>
      </c>
      <c r="GM134" s="21">
        <f>EXP(-LN(2)/25)*GM133+(1-EXP(-LN(2)/25))/(LN(2)/25)*Calculateur!GH134*Calculateur!GJ134*VLOOKUP('Données projet'!$B$17,Paramètres!$A$1:$I$89,3,0)*0.475*44/12</f>
        <v>3.9770263994272033</v>
      </c>
      <c r="GN134" s="21">
        <f>EXP(-LN(2)/2)*GN133+(1-EXP(-LN(2)/2))/(LN(2)/2)*GH134*GK134*VLOOKUP('Données projet'!$B$17,Paramètres!$A$1:$I$89,3,0)*0.475*44/12</f>
        <v>4.9330585423284289E-17</v>
      </c>
      <c r="GO134" s="21">
        <f t="shared" si="135"/>
        <v>42.737271786319887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67.672924169408958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-5.6843418860808015E-14</v>
      </c>
      <c r="GV134" s="17">
        <f>GU134*VLOOKUP('Données projet'!$B$18,Paramètres!$A$1:$I$89,3,0)*VLOOKUP('Données projet'!$B$18,Paramètres!$A$1:$I$89,5,0)</f>
        <v>-3.0061073630349716E-14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212.75657290802619</v>
      </c>
      <c r="HA134" s="59">
        <f t="shared" si="160"/>
        <v>411.47446316045978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10.400808194215934</v>
      </c>
      <c r="HH134" s="21">
        <f>EXP(-LN(2)/25)*HH133+(1-EXP(-LN(2)/25))/(LN(2)/25)*Calculateur!HC134*Calculateur!HE134*VLOOKUP('Données projet'!$B$18,Paramètres!$A$1:$I$89,3,0)*0.475*44/12</f>
        <v>1.2105022985760487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11.611310492791983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4.60745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16.893983333333335</v>
      </c>
      <c r="H135" s="66">
        <f t="shared" si="110"/>
        <v>189.09073333333333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326.447973891716</v>
      </c>
      <c r="S135" s="59">
        <f ca="1">AVERAGE(OFFSET($R$3,0,0,'Données projet'!$E$9+1,1))-AVERAGE(OFFSET($H$3,0,0,'Données projet'!$E$9+1,1))</f>
        <v>564.49981446852132</v>
      </c>
      <c r="T135" s="59">
        <f t="shared" si="142"/>
        <v>297.54722913785406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19.8100000000004</v>
      </c>
      <c r="AJ135" s="13">
        <f>AI135*VLOOKUP('Données projet'!$B$10,Paramètres!$A$1:$I$89,3,0)*VLOOKUP('Données projet'!$B$10,Paramètres!$A$1:$I$89,5,0)</f>
        <v>20.08734000000041</v>
      </c>
      <c r="AK135" s="13">
        <f t="shared" si="143"/>
        <v>6.5285137703520215</v>
      </c>
      <c r="AL135" s="20">
        <f t="shared" si="112"/>
        <v>46.355945316697152</v>
      </c>
      <c r="AM135" s="59">
        <f t="shared" si="113"/>
        <v>331.30468900255823</v>
      </c>
      <c r="AN135" s="59">
        <f ca="1">AVERAGE(OFFSET($AM$3,0,0,'Données projet'!$E$10+1,1))-AVERAGE(OFFSET($H$3,0,0,'Données projet'!$E$10+1,1))</f>
        <v>623.16549611107564</v>
      </c>
      <c r="AO135" s="59">
        <f t="shared" si="144"/>
        <v>326.15178903425885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304.43471130382545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304.43471130382545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266.99999999999983</v>
      </c>
      <c r="BE135" s="13">
        <f>BD135*VLOOKUP('Données projet'!$B$11,Paramètres!$A$1:$I$89,3,0)*VLOOKUP('Données projet'!$B$11,Paramètres!$A$1:$I$89,5,0)</f>
        <v>216.59039999999987</v>
      </c>
      <c r="BF135" s="13">
        <f t="shared" si="145"/>
        <v>53.373153688190904</v>
      </c>
      <c r="BG135" s="20">
        <f t="shared" si="115"/>
        <v>470.18652267359886</v>
      </c>
      <c r="BH135" s="59">
        <f t="shared" si="116"/>
        <v>755.13526635945993</v>
      </c>
      <c r="BI135" s="59">
        <f ca="1">AVERAGE(OFFSET($BH$3,0,0,'Données projet'!$E$11+1,1))-AVERAGE(OFFSET($H$3,0,0,'Données projet'!$E$11+1,1))</f>
        <v>326.2912419133811</v>
      </c>
      <c r="BJ135" s="59">
        <f t="shared" si="146"/>
        <v>315.07976787459938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15.795958759451024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15.795958759451024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243</v>
      </c>
      <c r="BZ135" s="13">
        <f>BY135*VLOOKUP('Données projet'!$B$12,Paramètres!$A$1:$I$89,3,0)*VLOOKUP('Données projet'!$B$12,Paramètres!$A$1:$I$89,5,0)</f>
        <v>155.4228</v>
      </c>
      <c r="CA135" s="13">
        <f t="shared" si="147"/>
        <v>39.808377687614154</v>
      </c>
      <c r="CB135" s="20">
        <f t="shared" si="118"/>
        <v>340.02763447259463</v>
      </c>
      <c r="CC135" s="59">
        <f t="shared" si="119"/>
        <v>624.97637815845565</v>
      </c>
      <c r="CD135" s="59">
        <f ca="1">AVERAGE(OFFSET($CC$3,0,0,'Données projet'!$E$12+1,1))-AVERAGE(OFFSET($H$3,0,0,'Données projet'!$E$12+1,1))</f>
        <v>297.03992602744393</v>
      </c>
      <c r="CE135" s="59">
        <f t="shared" si="148"/>
        <v>265.2588848922893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21.808796358059251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21.808796358059251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367.99999999999972</v>
      </c>
      <c r="CU135" s="17">
        <f>CT135*VLOOKUP('Données projet'!$B$13,Paramètres!$A$1:$I$89,3,0)*VLOOKUP('Données projet'!$B$13,Paramètres!$A$1:$I$89,5,0)</f>
        <v>292.78079999999977</v>
      </c>
      <c r="CV135" s="13">
        <f t="shared" si="149"/>
        <v>69.660903052386217</v>
      </c>
      <c r="CW135" s="20">
        <f t="shared" si="121"/>
        <v>631.25263281623893</v>
      </c>
      <c r="CX135" s="59">
        <f t="shared" si="122"/>
        <v>916.20137650209995</v>
      </c>
      <c r="CY135" s="59">
        <f ca="1">AVERAGE(OFFSET($CX$3,0,0,'Données projet'!$E$13+1,1))-AVERAGE(OFFSET($H$3,0,0,'Données projet'!$E$13+1,1))</f>
        <v>427.42918901489531</v>
      </c>
      <c r="CZ135" s="59">
        <f t="shared" si="150"/>
        <v>410.68601510655412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22.007289282992758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22.007289282992758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19.8100000000004</v>
      </c>
      <c r="DP135" s="17">
        <f>DO135*VLOOKUP('Données projet'!$B$14,Paramètres!$A$1:$I$89,3,0)*VLOOKUP('Données projet'!$B$14,Paramètres!$A$1:$I$89,5,0)</f>
        <v>19.160232000000388</v>
      </c>
      <c r="DQ135" s="13">
        <f t="shared" si="151"/>
        <v>6.2615431735370342</v>
      </c>
      <c r="DR135" s="20">
        <f t="shared" si="124"/>
        <v>44.27625842724435</v>
      </c>
      <c r="DS135" s="59">
        <f t="shared" si="125"/>
        <v>329.2250021131054</v>
      </c>
      <c r="DT135" s="59">
        <f ca="1">AVERAGE(OFFSET($DS$3,0,0,'Données projet'!$E$14+1,1))-AVERAGE(OFFSET($H$3,0,0,'Données projet'!$E$14+1,1))</f>
        <v>598.03945725240396</v>
      </c>
      <c r="DU135" s="59">
        <f t="shared" si="152"/>
        <v>313.9014686755695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290.38387847441811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290.38387847441811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19.8100000000004</v>
      </c>
      <c r="EK135" s="17">
        <f>EJ135*VLOOKUP('Données projet'!$B$15,Paramètres!$A$1:$I$89,3,0)*VLOOKUP('Données projet'!$B$15,Paramètres!$A$1:$I$89,5,0)</f>
        <v>13.288548000000269</v>
      </c>
      <c r="EL135" s="13">
        <f t="shared" si="153"/>
        <v>4.531654695205642</v>
      </c>
      <c r="EM135" s="20">
        <f t="shared" si="127"/>
        <v>31.036853027483627</v>
      </c>
      <c r="EN135" s="59">
        <f t="shared" si="128"/>
        <v>315.98559671334471</v>
      </c>
      <c r="EO135" s="59">
        <f ca="1">AVERAGE(OFFSET($EN$3,0,0,'Données projet'!$E$15+1,1))-AVERAGE(OFFSET($H$3,0,0,'Données projet'!$E$15+1,1))</f>
        <v>438.27475674276604</v>
      </c>
      <c r="EP135" s="59">
        <f t="shared" si="154"/>
        <v>235.97720136798864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248.23137998619609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248.23137998619609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5.2499999999990337</v>
      </c>
      <c r="FF135" s="17">
        <f>FE135*VLOOKUP('Données projet'!$B$16,Paramètres!$A$1:$I$89,3,0)*VLOOKUP('Données projet'!$B$16,Paramètres!$A$1:$I$89,5,0)</f>
        <v>2.4569999999995478</v>
      </c>
      <c r="FG135" s="13">
        <f t="shared" si="155"/>
        <v>1.0197977774625564</v>
      </c>
      <c r="FH135" s="20">
        <f t="shared" si="130"/>
        <v>6.0554227957464972</v>
      </c>
      <c r="FI135" s="59">
        <f t="shared" si="131"/>
        <v>291.00416648160757</v>
      </c>
      <c r="FJ135" s="59">
        <f ca="1">AVERAGE(OFFSET($FI$3,0,0,'Données projet'!$E$16+1,1))-AVERAGE(OFFSET($H$3,0,0,'Données projet'!$E$16+1,1))</f>
        <v>329.49463758169588</v>
      </c>
      <c r="FK135" s="59">
        <f t="shared" si="156"/>
        <v>207.1447698203379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154.02398790057811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154.02398790057811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763.00000000000057</v>
      </c>
      <c r="GA135" s="17">
        <f>FZ135*VLOOKUP('Données projet'!$B$17,Paramètres!$A$1:$I$89,3,0)*VLOOKUP('Données projet'!$B$17,Paramètres!$A$1:$I$89,5,0)</f>
        <v>456.2740000000004</v>
      </c>
      <c r="GB135" s="13">
        <f t="shared" si="157"/>
        <v>103.09649786611838</v>
      </c>
      <c r="GC135" s="20">
        <f t="shared" si="133"/>
        <v>974.23695045015677</v>
      </c>
      <c r="GD135" s="59">
        <f t="shared" si="134"/>
        <v>1259.1856941360179</v>
      </c>
      <c r="GE135" s="59">
        <f ca="1">AVERAGE(OFFSET($GD$3,0,0,'Données projet'!$E$17+1,1))-AVERAGE(OFFSET($H$3,0,0,'Données projet'!$E$17+1,1))</f>
        <v>577.07444926285291</v>
      </c>
      <c r="GF135" s="59">
        <f t="shared" si="158"/>
        <v>501.3762209070419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38.00018061627101</v>
      </c>
      <c r="GM135" s="21">
        <f>EXP(-LN(2)/25)*GM134+(1-EXP(-LN(2)/25))/(LN(2)/25)*Calculateur!GH135*Calculateur!GJ135*VLOOKUP('Données projet'!$B$17,Paramètres!$A$1:$I$89,3,0)*0.475*44/12</f>
        <v>3.8682744033921375</v>
      </c>
      <c r="GN135" s="21">
        <f>EXP(-LN(2)/2)*GN134+(1-EXP(-LN(2)/2))/(LN(2)/2)*GH135*GK135*VLOOKUP('Données projet'!$B$17,Paramètres!$A$1:$I$89,3,0)*0.475*44/12</f>
        <v>3.4881991472706574E-17</v>
      </c>
      <c r="GO135" s="21">
        <f t="shared" si="135"/>
        <v>41.868455019663145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67.713293732507566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-5.6843418860808015E-14</v>
      </c>
      <c r="GV135" s="17">
        <f>GU135*VLOOKUP('Données projet'!$B$18,Paramètres!$A$1:$I$89,3,0)*VLOOKUP('Données projet'!$B$18,Paramètres!$A$1:$I$89,5,0)</f>
        <v>-3.0061073630349716E-14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212.75657290802619</v>
      </c>
      <c r="HA135" s="59">
        <f t="shared" si="160"/>
        <v>411.47446316045978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10.196854689393954</v>
      </c>
      <c r="HH135" s="21">
        <f>EXP(-LN(2)/25)*HH134+(1-EXP(-LN(2)/25))/(LN(2)/25)*Calculateur!HC135*Calculateur!HE135*VLOOKUP('Données projet'!$B$18,Paramètres!$A$1:$I$89,3,0)*0.475*44/12</f>
        <v>1.1774010495639375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11.374255738957892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4.60745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16.893983333333335</v>
      </c>
      <c r="H136" s="66">
        <f t="shared" si="110"/>
        <v>189.09073333333333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326.59342777696537</v>
      </c>
      <c r="S136" s="59">
        <f ca="1">AVERAGE(OFFSET($R$3,0,0,'Données projet'!$E$9+1,1))-AVERAGE(OFFSET($H$3,0,0,'Données projet'!$E$9+1,1))</f>
        <v>564.49981446852132</v>
      </c>
      <c r="T136" s="59">
        <f t="shared" si="142"/>
        <v>297.54722913785406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19.8100000000004</v>
      </c>
      <c r="AJ136" s="13">
        <f>AI136*VLOOKUP('Données projet'!$B$10,Paramètres!$A$1:$I$89,3,0)*VLOOKUP('Données projet'!$B$10,Paramètres!$A$1:$I$89,5,0)</f>
        <v>20.08734000000041</v>
      </c>
      <c r="AK136" s="13">
        <f t="shared" si="143"/>
        <v>6.5285137703520215</v>
      </c>
      <c r="AL136" s="20">
        <f t="shared" si="112"/>
        <v>46.355945316697152</v>
      </c>
      <c r="AM136" s="59">
        <f t="shared" si="113"/>
        <v>331.4501428878076</v>
      </c>
      <c r="AN136" s="59">
        <f ca="1">AVERAGE(OFFSET($AM$3,0,0,'Données projet'!$E$10+1,1))-AVERAGE(OFFSET($H$3,0,0,'Données projet'!$E$10+1,1))</f>
        <v>623.16549611107564</v>
      </c>
      <c r="AO136" s="59">
        <f t="shared" si="144"/>
        <v>326.15178903425885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298.46493230199627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298.46493230199627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266.99999999999983</v>
      </c>
      <c r="BE136" s="13">
        <f>BD136*VLOOKUP('Données projet'!$B$11,Paramètres!$A$1:$I$89,3,0)*VLOOKUP('Données projet'!$B$11,Paramètres!$A$1:$I$89,5,0)</f>
        <v>216.59039999999987</v>
      </c>
      <c r="BF136" s="13">
        <f t="shared" si="145"/>
        <v>53.373153688190904</v>
      </c>
      <c r="BG136" s="20">
        <f t="shared" si="115"/>
        <v>470.18652267359886</v>
      </c>
      <c r="BH136" s="59">
        <f t="shared" si="116"/>
        <v>755.2807202447093</v>
      </c>
      <c r="BI136" s="59">
        <f ca="1">AVERAGE(OFFSET($BH$3,0,0,'Données projet'!$E$11+1,1))-AVERAGE(OFFSET($H$3,0,0,'Données projet'!$E$11+1,1))</f>
        <v>326.2912419133811</v>
      </c>
      <c r="BJ136" s="59">
        <f t="shared" si="146"/>
        <v>315.07976787459938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15.486209642761697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15.486209642761697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243</v>
      </c>
      <c r="BZ136" s="13">
        <f>BY136*VLOOKUP('Données projet'!$B$12,Paramètres!$A$1:$I$89,3,0)*VLOOKUP('Données projet'!$B$12,Paramètres!$A$1:$I$89,5,0)</f>
        <v>155.4228</v>
      </c>
      <c r="CA136" s="13">
        <f t="shared" si="147"/>
        <v>39.808377687614154</v>
      </c>
      <c r="CB136" s="20">
        <f t="shared" si="118"/>
        <v>340.02763447259463</v>
      </c>
      <c r="CC136" s="59">
        <f t="shared" si="119"/>
        <v>625.12183204370513</v>
      </c>
      <c r="CD136" s="59">
        <f ca="1">AVERAGE(OFFSET($CC$3,0,0,'Données projet'!$E$12+1,1))-AVERAGE(OFFSET($H$3,0,0,'Données projet'!$E$12+1,1))</f>
        <v>297.03992602744393</v>
      </c>
      <c r="CE136" s="59">
        <f t="shared" si="148"/>
        <v>265.2588848922893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21.381139163530019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21.381139163530019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367.99999999999972</v>
      </c>
      <c r="CU136" s="17">
        <f>CT136*VLOOKUP('Données projet'!$B$13,Paramètres!$A$1:$I$89,3,0)*VLOOKUP('Données projet'!$B$13,Paramètres!$A$1:$I$89,5,0)</f>
        <v>292.78079999999977</v>
      </c>
      <c r="CV136" s="13">
        <f t="shared" si="149"/>
        <v>69.660903052386217</v>
      </c>
      <c r="CW136" s="20">
        <f t="shared" si="121"/>
        <v>631.25263281623893</v>
      </c>
      <c r="CX136" s="59">
        <f t="shared" si="122"/>
        <v>916.34683038734943</v>
      </c>
      <c r="CY136" s="59">
        <f ca="1">AVERAGE(OFFSET($CX$3,0,0,'Données projet'!$E$13+1,1))-AVERAGE(OFFSET($H$3,0,0,'Données projet'!$E$13+1,1))</f>
        <v>427.42918901489531</v>
      </c>
      <c r="CZ136" s="59">
        <f t="shared" si="150"/>
        <v>410.68601510655412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21.57573976327431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21.57573976327431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19.8100000000004</v>
      </c>
      <c r="DP136" s="17">
        <f>DO136*VLOOKUP('Données projet'!$B$14,Paramètres!$A$1:$I$89,3,0)*VLOOKUP('Données projet'!$B$14,Paramètres!$A$1:$I$89,5,0)</f>
        <v>19.160232000000388</v>
      </c>
      <c r="DQ136" s="13">
        <f t="shared" si="151"/>
        <v>6.2615431735370342</v>
      </c>
      <c r="DR136" s="20">
        <f t="shared" si="124"/>
        <v>44.27625842724435</v>
      </c>
      <c r="DS136" s="59">
        <f t="shared" si="125"/>
        <v>329.37045599835477</v>
      </c>
      <c r="DT136" s="59">
        <f ca="1">AVERAGE(OFFSET($DS$3,0,0,'Données projet'!$E$14+1,1))-AVERAGE(OFFSET($H$3,0,0,'Données projet'!$E$14+1,1))</f>
        <v>598.03945725240396</v>
      </c>
      <c r="DU136" s="59">
        <f t="shared" si="152"/>
        <v>313.9014686755695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284.6896277342118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284.6896277342118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19.8100000000004</v>
      </c>
      <c r="EK136" s="17">
        <f>EJ136*VLOOKUP('Données projet'!$B$15,Paramètres!$A$1:$I$89,3,0)*VLOOKUP('Données projet'!$B$15,Paramètres!$A$1:$I$89,5,0)</f>
        <v>13.288548000000269</v>
      </c>
      <c r="EL136" s="13">
        <f t="shared" si="153"/>
        <v>4.531654695205642</v>
      </c>
      <c r="EM136" s="20">
        <f t="shared" si="127"/>
        <v>31.036853027483627</v>
      </c>
      <c r="EN136" s="59">
        <f t="shared" si="128"/>
        <v>316.13105059859407</v>
      </c>
      <c r="EO136" s="59">
        <f ca="1">AVERAGE(OFFSET($EN$3,0,0,'Données projet'!$E$15+1,1))-AVERAGE(OFFSET($H$3,0,0,'Données projet'!$E$15+1,1))</f>
        <v>438.27475674276604</v>
      </c>
      <c r="EP136" s="59">
        <f t="shared" si="154"/>
        <v>235.97720136798864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243.36371403085846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243.36371403085846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5.2499999999990337</v>
      </c>
      <c r="FF136" s="17">
        <f>FE136*VLOOKUP('Données projet'!$B$16,Paramètres!$A$1:$I$89,3,0)*VLOOKUP('Données projet'!$B$16,Paramètres!$A$1:$I$89,5,0)</f>
        <v>2.4569999999995478</v>
      </c>
      <c r="FG136" s="13">
        <f t="shared" si="155"/>
        <v>1.0197977774625564</v>
      </c>
      <c r="FH136" s="20">
        <f t="shared" si="130"/>
        <v>6.0554227957464972</v>
      </c>
      <c r="FI136" s="59">
        <f t="shared" si="131"/>
        <v>291.14962036685694</v>
      </c>
      <c r="FJ136" s="59">
        <f ca="1">AVERAGE(OFFSET($FI$3,0,0,'Données projet'!$E$16+1,1))-AVERAGE(OFFSET($H$3,0,0,'Données projet'!$E$16+1,1))</f>
        <v>329.49463758169588</v>
      </c>
      <c r="FK136" s="59">
        <f t="shared" si="156"/>
        <v>207.1447698203379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151.00367144320407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151.00367144320407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763.00000000000057</v>
      </c>
      <c r="GA136" s="17">
        <f>FZ136*VLOOKUP('Données projet'!$B$17,Paramètres!$A$1:$I$89,3,0)*VLOOKUP('Données projet'!$B$17,Paramètres!$A$1:$I$89,5,0)</f>
        <v>456.2740000000004</v>
      </c>
      <c r="GB136" s="13">
        <f t="shared" si="157"/>
        <v>103.09649786611838</v>
      </c>
      <c r="GC136" s="20">
        <f t="shared" si="133"/>
        <v>974.23695045015677</v>
      </c>
      <c r="GD136" s="59">
        <f t="shared" si="134"/>
        <v>1259.3311480212672</v>
      </c>
      <c r="GE136" s="59">
        <f ca="1">AVERAGE(OFFSET($GD$3,0,0,'Données projet'!$E$17+1,1))-AVERAGE(OFFSET($H$3,0,0,'Données projet'!$E$17+1,1))</f>
        <v>577.07444926285291</v>
      </c>
      <c r="GF136" s="59">
        <f t="shared" si="158"/>
        <v>501.3762209070419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37.255020252207494</v>
      </c>
      <c r="GM136" s="21">
        <f>EXP(-LN(2)/25)*GM135+(1-EXP(-LN(2)/25))/(LN(2)/25)*Calculateur!GH136*Calculateur!GJ136*VLOOKUP('Données projet'!$B$17,Paramètres!$A$1:$I$89,3,0)*0.475*44/12</f>
        <v>3.7624962364076695</v>
      </c>
      <c r="GN136" s="21">
        <f>EXP(-LN(2)/2)*GN135+(1-EXP(-LN(2)/2))/(LN(2)/2)*GH136*GK136*VLOOKUP('Données projet'!$B$17,Paramètres!$A$1:$I$89,3,0)*0.475*44/12</f>
        <v>2.4665292711642145E-17</v>
      </c>
      <c r="GO136" s="21">
        <f t="shared" si="135"/>
        <v>41.017516488615165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67.752962973939219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-5.6843418860808015E-14</v>
      </c>
      <c r="GV136" s="17">
        <f>GU136*VLOOKUP('Données projet'!$B$18,Paramètres!$A$1:$I$89,3,0)*VLOOKUP('Données projet'!$B$18,Paramètres!$A$1:$I$89,5,0)</f>
        <v>-3.0061073630349716E-14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212.75657290802619</v>
      </c>
      <c r="HA136" s="59">
        <f t="shared" si="160"/>
        <v>411.47446316045978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9.9969005884021769</v>
      </c>
      <c r="HH136" s="21">
        <f>EXP(-LN(2)/25)*HH135+(1-EXP(-LN(2)/25))/(LN(2)/25)*Calculateur!HC136*Calculateur!HE136*VLOOKUP('Données projet'!$B$18,Paramètres!$A$1:$I$89,3,0)*0.475*44/12</f>
        <v>1.1452049559467814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11.142105544348958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4.60745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16.893983333333335</v>
      </c>
      <c r="H137" s="66">
        <f t="shared" si="110"/>
        <v>189.09073333333333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326.7363583624919</v>
      </c>
      <c r="S137" s="59">
        <f ca="1">AVERAGE(OFFSET($R$3,0,0,'Données projet'!$E$9+1,1))-AVERAGE(OFFSET($H$3,0,0,'Données projet'!$E$9+1,1))</f>
        <v>564.49981446852132</v>
      </c>
      <c r="T137" s="59">
        <f t="shared" si="142"/>
        <v>297.54722913785406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19.8100000000004</v>
      </c>
      <c r="AJ137" s="13">
        <f>AI137*VLOOKUP('Données projet'!$B$10,Paramètres!$A$1:$I$89,3,0)*VLOOKUP('Données projet'!$B$10,Paramètres!$A$1:$I$89,5,0)</f>
        <v>20.08734000000041</v>
      </c>
      <c r="AK137" s="13">
        <f t="shared" si="143"/>
        <v>6.5285137703520215</v>
      </c>
      <c r="AL137" s="20">
        <f t="shared" si="112"/>
        <v>46.355945316697152</v>
      </c>
      <c r="AM137" s="59">
        <f t="shared" si="113"/>
        <v>331.59307347333413</v>
      </c>
      <c r="AN137" s="59">
        <f ca="1">AVERAGE(OFFSET($AM$3,0,0,'Données projet'!$E$10+1,1))-AVERAGE(OFFSET($H$3,0,0,'Données projet'!$E$10+1,1))</f>
        <v>623.16549611107564</v>
      </c>
      <c r="AO137" s="59">
        <f t="shared" si="144"/>
        <v>326.15178903425885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292.61221702518731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292.61221702518731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266.99999999999983</v>
      </c>
      <c r="BE137" s="13">
        <f>BD137*VLOOKUP('Données projet'!$B$11,Paramètres!$A$1:$I$89,3,0)*VLOOKUP('Données projet'!$B$11,Paramètres!$A$1:$I$89,5,0)</f>
        <v>216.59039999999987</v>
      </c>
      <c r="BF137" s="13">
        <f t="shared" si="145"/>
        <v>53.373153688190904</v>
      </c>
      <c r="BG137" s="20">
        <f t="shared" si="115"/>
        <v>470.18652267359886</v>
      </c>
      <c r="BH137" s="59">
        <f t="shared" si="116"/>
        <v>755.42365083023583</v>
      </c>
      <c r="BI137" s="59">
        <f ca="1">AVERAGE(OFFSET($BH$3,0,0,'Données projet'!$E$11+1,1))-AVERAGE(OFFSET($H$3,0,0,'Données projet'!$E$11+1,1))</f>
        <v>326.2912419133811</v>
      </c>
      <c r="BJ137" s="59">
        <f t="shared" si="146"/>
        <v>315.07976787459938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15.182534517322342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15.182534517322342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243</v>
      </c>
      <c r="BZ137" s="13">
        <f>BY137*VLOOKUP('Données projet'!$B$12,Paramètres!$A$1:$I$89,3,0)*VLOOKUP('Données projet'!$B$12,Paramètres!$A$1:$I$89,5,0)</f>
        <v>155.4228</v>
      </c>
      <c r="CA137" s="13">
        <f t="shared" si="147"/>
        <v>39.808377687614154</v>
      </c>
      <c r="CB137" s="20">
        <f t="shared" si="118"/>
        <v>340.02763447259463</v>
      </c>
      <c r="CC137" s="59">
        <f t="shared" si="119"/>
        <v>625.26476262923165</v>
      </c>
      <c r="CD137" s="59">
        <f ca="1">AVERAGE(OFFSET($CC$3,0,0,'Données projet'!$E$12+1,1))-AVERAGE(OFFSET($H$3,0,0,'Données projet'!$E$12+1,1))</f>
        <v>297.03992602744393</v>
      </c>
      <c r="CE137" s="59">
        <f t="shared" si="148"/>
        <v>265.2588848922893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20.961868065740372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20.961868065740372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367.99999999999972</v>
      </c>
      <c r="CU137" s="17">
        <f>CT137*VLOOKUP('Données projet'!$B$13,Paramètres!$A$1:$I$89,3,0)*VLOOKUP('Données projet'!$B$13,Paramètres!$A$1:$I$89,5,0)</f>
        <v>292.78079999999977</v>
      </c>
      <c r="CV137" s="13">
        <f t="shared" si="149"/>
        <v>69.660903052386217</v>
      </c>
      <c r="CW137" s="20">
        <f t="shared" si="121"/>
        <v>631.25263281623893</v>
      </c>
      <c r="CX137" s="59">
        <f t="shared" si="122"/>
        <v>916.48976097287596</v>
      </c>
      <c r="CY137" s="59">
        <f ca="1">AVERAGE(OFFSET($CX$3,0,0,'Données projet'!$E$13+1,1))-AVERAGE(OFFSET($H$3,0,0,'Données projet'!$E$13+1,1))</f>
        <v>427.42918901489531</v>
      </c>
      <c r="CZ137" s="59">
        <f t="shared" si="150"/>
        <v>410.68601510655412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21.152652666418323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21.152652666418323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19.8100000000004</v>
      </c>
      <c r="DP137" s="17">
        <f>DO137*VLOOKUP('Données projet'!$B$14,Paramètres!$A$1:$I$89,3,0)*VLOOKUP('Données projet'!$B$14,Paramètres!$A$1:$I$89,5,0)</f>
        <v>19.160232000000388</v>
      </c>
      <c r="DQ137" s="13">
        <f t="shared" si="151"/>
        <v>6.2615431735370342</v>
      </c>
      <c r="DR137" s="20">
        <f t="shared" si="124"/>
        <v>44.27625842724435</v>
      </c>
      <c r="DS137" s="59">
        <f t="shared" si="125"/>
        <v>329.5133865838813</v>
      </c>
      <c r="DT137" s="59">
        <f ca="1">AVERAGE(OFFSET($DS$3,0,0,'Données projet'!$E$14+1,1))-AVERAGE(OFFSET($H$3,0,0,'Données projet'!$E$14+1,1))</f>
        <v>598.03945725240396</v>
      </c>
      <c r="DU137" s="59">
        <f t="shared" si="152"/>
        <v>313.9014686755695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279.10703777787097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279.10703777787097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19.8100000000004</v>
      </c>
      <c r="EK137" s="17">
        <f>EJ137*VLOOKUP('Données projet'!$B$15,Paramètres!$A$1:$I$89,3,0)*VLOOKUP('Données projet'!$B$15,Paramètres!$A$1:$I$89,5,0)</f>
        <v>13.288548000000269</v>
      </c>
      <c r="EL137" s="13">
        <f t="shared" si="153"/>
        <v>4.531654695205642</v>
      </c>
      <c r="EM137" s="20">
        <f t="shared" si="127"/>
        <v>31.036853027483627</v>
      </c>
      <c r="EN137" s="59">
        <f t="shared" si="128"/>
        <v>316.2739811841206</v>
      </c>
      <c r="EO137" s="59">
        <f ca="1">AVERAGE(OFFSET($EN$3,0,0,'Données projet'!$E$15+1,1))-AVERAGE(OFFSET($H$3,0,0,'Données projet'!$E$15+1,1))</f>
        <v>438.27475674276604</v>
      </c>
      <c r="EP137" s="59">
        <f t="shared" si="154"/>
        <v>235.97720136798864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238.59150003592194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238.59150003592194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5.2499999999990337</v>
      </c>
      <c r="FF137" s="17">
        <f>FE137*VLOOKUP('Données projet'!$B$16,Paramètres!$A$1:$I$89,3,0)*VLOOKUP('Données projet'!$B$16,Paramètres!$A$1:$I$89,5,0)</f>
        <v>2.4569999999995478</v>
      </c>
      <c r="FG137" s="13">
        <f t="shared" si="155"/>
        <v>1.0197977774625564</v>
      </c>
      <c r="FH137" s="20">
        <f t="shared" si="130"/>
        <v>6.0554227957464972</v>
      </c>
      <c r="FI137" s="59">
        <f t="shared" si="131"/>
        <v>291.29255095238346</v>
      </c>
      <c r="FJ137" s="59">
        <f ca="1">AVERAGE(OFFSET($FI$3,0,0,'Données projet'!$E$16+1,1))-AVERAGE(OFFSET($H$3,0,0,'Données projet'!$E$16+1,1))</f>
        <v>329.49463758169588</v>
      </c>
      <c r="FK137" s="59">
        <f t="shared" si="156"/>
        <v>207.1447698203379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148.042581549348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148.042581549348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763.00000000000057</v>
      </c>
      <c r="GA137" s="17">
        <f>FZ137*VLOOKUP('Données projet'!$B$17,Paramètres!$A$1:$I$89,3,0)*VLOOKUP('Données projet'!$B$17,Paramètres!$A$1:$I$89,5,0)</f>
        <v>456.2740000000004</v>
      </c>
      <c r="GB137" s="13">
        <f t="shared" si="157"/>
        <v>103.09649786611838</v>
      </c>
      <c r="GC137" s="20">
        <f t="shared" si="133"/>
        <v>974.23695045015677</v>
      </c>
      <c r="GD137" s="59">
        <f t="shared" si="134"/>
        <v>1259.4740786067937</v>
      </c>
      <c r="GE137" s="59">
        <f ca="1">AVERAGE(OFFSET($GD$3,0,0,'Données projet'!$E$17+1,1))-AVERAGE(OFFSET($H$3,0,0,'Données projet'!$E$17+1,1))</f>
        <v>577.07444926285291</v>
      </c>
      <c r="GF137" s="59">
        <f t="shared" si="158"/>
        <v>501.3762209070419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36.524472028380316</v>
      </c>
      <c r="GM137" s="21">
        <f>EXP(-LN(2)/25)*GM136+(1-EXP(-LN(2)/25))/(LN(2)/25)*Calculateur!GH137*Calculateur!GJ137*VLOOKUP('Données projet'!$B$17,Paramètres!$A$1:$I$89,3,0)*0.475*44/12</f>
        <v>3.6596105789620239</v>
      </c>
      <c r="GN137" s="21">
        <f>EXP(-LN(2)/2)*GN136+(1-EXP(-LN(2)/2))/(LN(2)/2)*GH137*GK137*VLOOKUP('Données projet'!$B$17,Paramètres!$A$1:$I$89,3,0)*0.475*44/12</f>
        <v>1.7440995736353287E-17</v>
      </c>
      <c r="GO137" s="21">
        <f t="shared" si="135"/>
        <v>40.18408260734234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67.791944042719166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-5.6843418860808015E-14</v>
      </c>
      <c r="GV137" s="17">
        <f>GU137*VLOOKUP('Données projet'!$B$18,Paramètres!$A$1:$I$89,3,0)*VLOOKUP('Données projet'!$B$18,Paramètres!$A$1:$I$89,5,0)</f>
        <v>-3.0061073630349716E-14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212.75657290802619</v>
      </c>
      <c r="HA137" s="59">
        <f t="shared" si="160"/>
        <v>411.47446316045978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9.8008674653708905</v>
      </c>
      <c r="HH137" s="21">
        <f>EXP(-LN(2)/25)*HH136+(1-EXP(-LN(2)/25))/(LN(2)/25)*Calculateur!HC137*Calculateur!HE137*VLOOKUP('Données projet'!$B$18,Paramètres!$A$1:$I$89,3,0)*0.475*44/12</f>
        <v>1.1138892662027053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10.914756731573595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4.60745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16.893983333333335</v>
      </c>
      <c r="H138" s="66">
        <f t="shared" si="110"/>
        <v>189.09073333333333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326.8768094219044</v>
      </c>
      <c r="S138" s="59">
        <f ca="1">AVERAGE(OFFSET($R$3,0,0,'Données projet'!$E$9+1,1))-AVERAGE(OFFSET($H$3,0,0,'Données projet'!$E$9+1,1))</f>
        <v>564.49981446852132</v>
      </c>
      <c r="T138" s="59">
        <f t="shared" si="142"/>
        <v>297.54722913785406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19.8100000000004</v>
      </c>
      <c r="AJ138" s="13">
        <f>AI138*VLOOKUP('Données projet'!$B$10,Paramètres!$A$1:$I$89,3,0)*VLOOKUP('Données projet'!$B$10,Paramètres!$A$1:$I$89,5,0)</f>
        <v>20.08734000000041</v>
      </c>
      <c r="AK138" s="13">
        <f t="shared" si="143"/>
        <v>6.5285137703520215</v>
      </c>
      <c r="AL138" s="20">
        <f t="shared" si="112"/>
        <v>46.355945316697152</v>
      </c>
      <c r="AM138" s="59">
        <f t="shared" si="113"/>
        <v>331.73352453274663</v>
      </c>
      <c r="AN138" s="59">
        <f ca="1">AVERAGE(OFFSET($AM$3,0,0,'Données projet'!$E$10+1,1))-AVERAGE(OFFSET($H$3,0,0,'Données projet'!$E$10+1,1))</f>
        <v>623.16549611107564</v>
      </c>
      <c r="AO138" s="59">
        <f t="shared" si="144"/>
        <v>326.15178903425885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286.87426992515276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286.87426992515276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266.99999999999983</v>
      </c>
      <c r="BE138" s="13">
        <f>BD138*VLOOKUP('Données projet'!$B$11,Paramètres!$A$1:$I$89,3,0)*VLOOKUP('Données projet'!$B$11,Paramètres!$A$1:$I$89,5,0)</f>
        <v>216.59039999999987</v>
      </c>
      <c r="BF138" s="13">
        <f t="shared" si="145"/>
        <v>53.373153688190904</v>
      </c>
      <c r="BG138" s="20">
        <f t="shared" si="115"/>
        <v>470.18652267359886</v>
      </c>
      <c r="BH138" s="59">
        <f t="shared" si="116"/>
        <v>755.56410188964833</v>
      </c>
      <c r="BI138" s="59">
        <f ca="1">AVERAGE(OFFSET($BH$3,0,0,'Données projet'!$E$11+1,1))-AVERAGE(OFFSET($H$3,0,0,'Données projet'!$E$11+1,1))</f>
        <v>326.2912419133811</v>
      </c>
      <c r="BJ138" s="59">
        <f t="shared" si="146"/>
        <v>315.07976787459938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14.884814275869315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14.884814275869315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243</v>
      </c>
      <c r="BZ138" s="13">
        <f>BY138*VLOOKUP('Données projet'!$B$12,Paramètres!$A$1:$I$89,3,0)*VLOOKUP('Données projet'!$B$12,Paramètres!$A$1:$I$89,5,0)</f>
        <v>155.4228</v>
      </c>
      <c r="CA138" s="13">
        <f t="shared" si="147"/>
        <v>39.808377687614154</v>
      </c>
      <c r="CB138" s="20">
        <f t="shared" si="118"/>
        <v>340.02763447259463</v>
      </c>
      <c r="CC138" s="59">
        <f t="shared" si="119"/>
        <v>625.40521368864415</v>
      </c>
      <c r="CD138" s="59">
        <f ca="1">AVERAGE(OFFSET($CC$3,0,0,'Données projet'!$E$12+1,1))-AVERAGE(OFFSET($H$3,0,0,'Données projet'!$E$12+1,1))</f>
        <v>297.03992602744393</v>
      </c>
      <c r="CE138" s="59">
        <f t="shared" si="148"/>
        <v>265.2588848922893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20.550818618448261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20.550818618448261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367.99999999999972</v>
      </c>
      <c r="CU138" s="17">
        <f>CT138*VLOOKUP('Données projet'!$B$13,Paramètres!$A$1:$I$89,3,0)*VLOOKUP('Données projet'!$B$13,Paramètres!$A$1:$I$89,5,0)</f>
        <v>292.78079999999977</v>
      </c>
      <c r="CV138" s="13">
        <f t="shared" si="149"/>
        <v>69.660903052386217</v>
      </c>
      <c r="CW138" s="20">
        <f t="shared" si="121"/>
        <v>631.25263281623893</v>
      </c>
      <c r="CX138" s="59">
        <f t="shared" si="122"/>
        <v>916.63021203228845</v>
      </c>
      <c r="CY138" s="59">
        <f ca="1">AVERAGE(OFFSET($CX$3,0,0,'Données projet'!$E$13+1,1))-AVERAGE(OFFSET($H$3,0,0,'Données projet'!$E$13+1,1))</f>
        <v>427.42918901489531</v>
      </c>
      <c r="CZ138" s="59">
        <f t="shared" si="150"/>
        <v>410.68601510655412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20.737862049474035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20.737862049474035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19.8100000000004</v>
      </c>
      <c r="DP138" s="17">
        <f>DO138*VLOOKUP('Données projet'!$B$14,Paramètres!$A$1:$I$89,3,0)*VLOOKUP('Données projet'!$B$14,Paramètres!$A$1:$I$89,5,0)</f>
        <v>19.160232000000388</v>
      </c>
      <c r="DQ138" s="13">
        <f t="shared" si="151"/>
        <v>6.2615431735370342</v>
      </c>
      <c r="DR138" s="20">
        <f t="shared" si="124"/>
        <v>44.27625842724435</v>
      </c>
      <c r="DS138" s="59">
        <f t="shared" si="125"/>
        <v>329.6538376432938</v>
      </c>
      <c r="DT138" s="59">
        <f ca="1">AVERAGE(OFFSET($DS$3,0,0,'Données projet'!$E$14+1,1))-AVERAGE(OFFSET($H$3,0,0,'Données projet'!$E$14+1,1))</f>
        <v>598.03945725240396</v>
      </c>
      <c r="DU138" s="59">
        <f t="shared" si="152"/>
        <v>313.9014686755695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273.63391900553029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273.63391900553029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19.8100000000004</v>
      </c>
      <c r="EK138" s="17">
        <f>EJ138*VLOOKUP('Données projet'!$B$15,Paramètres!$A$1:$I$89,3,0)*VLOOKUP('Données projet'!$B$15,Paramètres!$A$1:$I$89,5,0)</f>
        <v>13.288548000000269</v>
      </c>
      <c r="EL138" s="13">
        <f t="shared" si="153"/>
        <v>4.531654695205642</v>
      </c>
      <c r="EM138" s="20">
        <f t="shared" si="127"/>
        <v>31.036853027483627</v>
      </c>
      <c r="EN138" s="59">
        <f t="shared" si="128"/>
        <v>316.4144322435331</v>
      </c>
      <c r="EO138" s="59">
        <f ca="1">AVERAGE(OFFSET($EN$3,0,0,'Données projet'!$E$15+1,1))-AVERAGE(OFFSET($H$3,0,0,'Données projet'!$E$15+1,1))</f>
        <v>438.27475674276604</v>
      </c>
      <c r="EP138" s="59">
        <f t="shared" si="154"/>
        <v>235.97720136798864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233.91286624666299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233.91286624666299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5.2499999999990337</v>
      </c>
      <c r="FF138" s="17">
        <f>FE138*VLOOKUP('Données projet'!$B$16,Paramètres!$A$1:$I$89,3,0)*VLOOKUP('Données projet'!$B$16,Paramètres!$A$1:$I$89,5,0)</f>
        <v>2.4569999999995478</v>
      </c>
      <c r="FG138" s="13">
        <f t="shared" si="155"/>
        <v>1.0197977774625564</v>
      </c>
      <c r="FH138" s="20">
        <f t="shared" si="130"/>
        <v>6.0554227957464972</v>
      </c>
      <c r="FI138" s="59">
        <f t="shared" si="131"/>
        <v>291.43300201179596</v>
      </c>
      <c r="FJ138" s="59">
        <f ca="1">AVERAGE(OFFSET($FI$3,0,0,'Données projet'!$E$16+1,1))-AVERAGE(OFFSET($H$3,0,0,'Données projet'!$E$16+1,1))</f>
        <v>329.49463758169588</v>
      </c>
      <c r="FK138" s="59">
        <f t="shared" si="156"/>
        <v>207.1447698203379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145.13955682222394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145.13955682222394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763.00000000000057</v>
      </c>
      <c r="GA138" s="17">
        <f>FZ138*VLOOKUP('Données projet'!$B$17,Paramètres!$A$1:$I$89,3,0)*VLOOKUP('Données projet'!$B$17,Paramètres!$A$1:$I$89,5,0)</f>
        <v>456.2740000000004</v>
      </c>
      <c r="GB138" s="13">
        <f t="shared" si="157"/>
        <v>103.09649786611838</v>
      </c>
      <c r="GC138" s="20">
        <f t="shared" si="133"/>
        <v>974.23695045015677</v>
      </c>
      <c r="GD138" s="59">
        <f t="shared" si="134"/>
        <v>1259.6145296662062</v>
      </c>
      <c r="GE138" s="59">
        <f ca="1">AVERAGE(OFFSET($GD$3,0,0,'Données projet'!$E$17+1,1))-AVERAGE(OFFSET($H$3,0,0,'Données projet'!$E$17+1,1))</f>
        <v>577.07444926285291</v>
      </c>
      <c r="GF138" s="59">
        <f t="shared" si="158"/>
        <v>501.3762209070419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35.808249409631969</v>
      </c>
      <c r="GM138" s="21">
        <f>EXP(-LN(2)/25)*GM137+(1-EXP(-LN(2)/25))/(LN(2)/25)*Calculateur!GH138*Calculateur!GJ138*VLOOKUP('Données projet'!$B$17,Paramètres!$A$1:$I$89,3,0)*0.475*44/12</f>
        <v>3.5595383352297514</v>
      </c>
      <c r="GN138" s="21">
        <f>EXP(-LN(2)/2)*GN137+(1-EXP(-LN(2)/2))/(LN(2)/2)*GH138*GK138*VLOOKUP('Données projet'!$B$17,Paramètres!$A$1:$I$89,3,0)*0.475*44/12</f>
        <v>1.2332646355821072E-17</v>
      </c>
      <c r="GO138" s="21">
        <f t="shared" si="135"/>
        <v>39.367787744861722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67.83024887710441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-5.6843418860808015E-14</v>
      </c>
      <c r="GV138" s="17">
        <f>GU138*VLOOKUP('Données projet'!$B$18,Paramètres!$A$1:$I$89,3,0)*VLOOKUP('Données projet'!$B$18,Paramètres!$A$1:$I$89,5,0)</f>
        <v>-3.0061073630349716E-14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212.75657290802619</v>
      </c>
      <c r="HA138" s="59">
        <f t="shared" si="160"/>
        <v>411.47446316045978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9.6086784323138481</v>
      </c>
      <c r="HH138" s="21">
        <f>EXP(-LN(2)/25)*HH137+(1-EXP(-LN(2)/25))/(LN(2)/25)*Calculateur!HC138*Calculateur!HE138*VLOOKUP('Données projet'!$B$18,Paramètres!$A$1:$I$89,3,0)*0.475*44/12</f>
        <v>1.0834299056415018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10.69210833795535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4.60745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16.893983333333335</v>
      </c>
      <c r="H139" s="66">
        <f t="shared" si="110"/>
        <v>189.09073333333333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327.01482396943771</v>
      </c>
      <c r="S139" s="59">
        <f ca="1">AVERAGE(OFFSET($R$3,0,0,'Données projet'!$E$9+1,1))-AVERAGE(OFFSET($H$3,0,0,'Données projet'!$E$9+1,1))</f>
        <v>564.49981446852132</v>
      </c>
      <c r="T139" s="59">
        <f t="shared" si="142"/>
        <v>297.54722913785406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19.8100000000004</v>
      </c>
      <c r="AJ139" s="13">
        <f>AI139*VLOOKUP('Données projet'!$B$10,Paramètres!$A$1:$I$89,3,0)*VLOOKUP('Données projet'!$B$10,Paramètres!$A$1:$I$89,5,0)</f>
        <v>20.08734000000041</v>
      </c>
      <c r="AK139" s="13">
        <f t="shared" si="143"/>
        <v>6.5285137703520215</v>
      </c>
      <c r="AL139" s="20">
        <f t="shared" si="112"/>
        <v>46.355945316697152</v>
      </c>
      <c r="AM139" s="59">
        <f t="shared" si="113"/>
        <v>331.87153908027994</v>
      </c>
      <c r="AN139" s="59">
        <f ca="1">AVERAGE(OFFSET($AM$3,0,0,'Données projet'!$E$10+1,1))-AVERAGE(OFFSET($H$3,0,0,'Données projet'!$E$10+1,1))</f>
        <v>623.16549611107564</v>
      </c>
      <c r="AO139" s="59">
        <f t="shared" si="144"/>
        <v>326.15178903425885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281.24884046794773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281.24884046794773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266.99999999999983</v>
      </c>
      <c r="BE139" s="13">
        <f>BD139*VLOOKUP('Données projet'!$B$11,Paramètres!$A$1:$I$89,3,0)*VLOOKUP('Données projet'!$B$11,Paramètres!$A$1:$I$89,5,0)</f>
        <v>216.59039999999987</v>
      </c>
      <c r="BF139" s="13">
        <f t="shared" si="145"/>
        <v>53.373153688190904</v>
      </c>
      <c r="BG139" s="20">
        <f t="shared" si="115"/>
        <v>470.18652267359886</v>
      </c>
      <c r="BH139" s="59">
        <f t="shared" si="116"/>
        <v>755.70211643718164</v>
      </c>
      <c r="BI139" s="59">
        <f ca="1">AVERAGE(OFFSET($BH$3,0,0,'Données projet'!$E$11+1,1))-AVERAGE(OFFSET($H$3,0,0,'Données projet'!$E$11+1,1))</f>
        <v>326.2912419133811</v>
      </c>
      <c r="BJ139" s="59">
        <f t="shared" si="146"/>
        <v>315.07976787459938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14.592932146759765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14.592932146759765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243</v>
      </c>
      <c r="BZ139" s="13">
        <f>BY139*VLOOKUP('Données projet'!$B$12,Paramètres!$A$1:$I$89,3,0)*VLOOKUP('Données projet'!$B$12,Paramètres!$A$1:$I$89,5,0)</f>
        <v>155.4228</v>
      </c>
      <c r="CA139" s="13">
        <f t="shared" si="147"/>
        <v>39.808377687614154</v>
      </c>
      <c r="CB139" s="20">
        <f t="shared" si="118"/>
        <v>340.02763447259463</v>
      </c>
      <c r="CC139" s="59">
        <f t="shared" si="119"/>
        <v>625.54322823617736</v>
      </c>
      <c r="CD139" s="59">
        <f ca="1">AVERAGE(OFFSET($CC$3,0,0,'Données projet'!$E$12+1,1))-AVERAGE(OFFSET($H$3,0,0,'Données projet'!$E$12+1,1))</f>
        <v>297.03992602744393</v>
      </c>
      <c r="CE139" s="59">
        <f t="shared" si="148"/>
        <v>265.2588848922893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20.147829600102142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20.147829600102142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367.99999999999972</v>
      </c>
      <c r="CU139" s="17">
        <f>CT139*VLOOKUP('Données projet'!$B$13,Paramètres!$A$1:$I$89,3,0)*VLOOKUP('Données projet'!$B$13,Paramètres!$A$1:$I$89,5,0)</f>
        <v>292.78079999999977</v>
      </c>
      <c r="CV139" s="13">
        <f t="shared" si="149"/>
        <v>69.660903052386217</v>
      </c>
      <c r="CW139" s="20">
        <f t="shared" si="121"/>
        <v>631.25263281623893</v>
      </c>
      <c r="CX139" s="59">
        <f t="shared" si="122"/>
        <v>916.76822657982166</v>
      </c>
      <c r="CY139" s="59">
        <f ca="1">AVERAGE(OFFSET($CX$3,0,0,'Données projet'!$E$13+1,1))-AVERAGE(OFFSET($H$3,0,0,'Données projet'!$E$13+1,1))</f>
        <v>427.42918901489531</v>
      </c>
      <c r="CZ139" s="59">
        <f t="shared" si="150"/>
        <v>410.68601510655412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20.331205223530731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20.331205223530731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19.8100000000004</v>
      </c>
      <c r="DP139" s="17">
        <f>DO139*VLOOKUP('Données projet'!$B$14,Paramètres!$A$1:$I$89,3,0)*VLOOKUP('Données projet'!$B$14,Paramètres!$A$1:$I$89,5,0)</f>
        <v>19.160232000000388</v>
      </c>
      <c r="DQ139" s="13">
        <f t="shared" si="151"/>
        <v>6.2615431735370342</v>
      </c>
      <c r="DR139" s="20">
        <f t="shared" si="124"/>
        <v>44.27625842724435</v>
      </c>
      <c r="DS139" s="59">
        <f t="shared" si="125"/>
        <v>329.79185219082711</v>
      </c>
      <c r="DT139" s="59">
        <f ca="1">AVERAGE(OFFSET($DS$3,0,0,'Données projet'!$E$14+1,1))-AVERAGE(OFFSET($H$3,0,0,'Données projet'!$E$14+1,1))</f>
        <v>598.03945725240396</v>
      </c>
      <c r="DU139" s="59">
        <f t="shared" si="152"/>
        <v>313.9014686755695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268.26812475404239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268.26812475404239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19.8100000000004</v>
      </c>
      <c r="EK139" s="17">
        <f>EJ139*VLOOKUP('Données projet'!$B$15,Paramètres!$A$1:$I$89,3,0)*VLOOKUP('Données projet'!$B$15,Paramètres!$A$1:$I$89,5,0)</f>
        <v>13.288548000000269</v>
      </c>
      <c r="EL139" s="13">
        <f t="shared" si="153"/>
        <v>4.531654695205642</v>
      </c>
      <c r="EM139" s="20">
        <f t="shared" si="127"/>
        <v>31.036853027483627</v>
      </c>
      <c r="EN139" s="59">
        <f t="shared" si="128"/>
        <v>316.55244679106642</v>
      </c>
      <c r="EO139" s="59">
        <f ca="1">AVERAGE(OFFSET($EN$3,0,0,'Données projet'!$E$15+1,1))-AVERAGE(OFFSET($H$3,0,0,'Données projet'!$E$15+1,1))</f>
        <v>438.27475674276604</v>
      </c>
      <c r="EP139" s="59">
        <f t="shared" si="154"/>
        <v>235.97720136798864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229.32597761232657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229.32597761232657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5.2499999999990337</v>
      </c>
      <c r="FF139" s="17">
        <f>FE139*VLOOKUP('Données projet'!$B$16,Paramètres!$A$1:$I$89,3,0)*VLOOKUP('Données projet'!$B$16,Paramètres!$A$1:$I$89,5,0)</f>
        <v>2.4569999999995478</v>
      </c>
      <c r="FG139" s="13">
        <f t="shared" si="155"/>
        <v>1.0197977774625564</v>
      </c>
      <c r="FH139" s="20">
        <f t="shared" si="130"/>
        <v>6.0554227957464972</v>
      </c>
      <c r="FI139" s="59">
        <f t="shared" si="131"/>
        <v>291.57101655932928</v>
      </c>
      <c r="FJ139" s="59">
        <f ca="1">AVERAGE(OFFSET($FI$3,0,0,'Données projet'!$E$16+1,1))-AVERAGE(OFFSET($H$3,0,0,'Données projet'!$E$16+1,1))</f>
        <v>329.49463758169588</v>
      </c>
      <c r="FK139" s="59">
        <f t="shared" si="156"/>
        <v>207.1447698203379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142.29345863932852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142.29345863932852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763.00000000000057</v>
      </c>
      <c r="GA139" s="17">
        <f>FZ139*VLOOKUP('Données projet'!$B$17,Paramètres!$A$1:$I$89,3,0)*VLOOKUP('Données projet'!$B$17,Paramètres!$A$1:$I$89,5,0)</f>
        <v>456.2740000000004</v>
      </c>
      <c r="GB139" s="13">
        <f t="shared" si="157"/>
        <v>103.09649786611838</v>
      </c>
      <c r="GC139" s="20">
        <f t="shared" si="133"/>
        <v>974.23695045015677</v>
      </c>
      <c r="GD139" s="59">
        <f t="shared" si="134"/>
        <v>1259.7525442137396</v>
      </c>
      <c r="GE139" s="59">
        <f ca="1">AVERAGE(OFFSET($GD$3,0,0,'Données projet'!$E$17+1,1))-AVERAGE(OFFSET($H$3,0,0,'Données projet'!$E$17+1,1))</f>
        <v>577.07444926285291</v>
      </c>
      <c r="GF139" s="59">
        <f t="shared" si="158"/>
        <v>501.3762209070419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35.106071479584621</v>
      </c>
      <c r="GM139" s="21">
        <f>EXP(-LN(2)/25)*GM138+(1-EXP(-LN(2)/25))/(LN(2)/25)*Calculateur!GH139*Calculateur!GJ139*VLOOKUP('Données projet'!$B$17,Paramètres!$A$1:$I$89,3,0)*0.475*44/12</f>
        <v>3.4622025722649084</v>
      </c>
      <c r="GN139" s="21">
        <f>EXP(-LN(2)/2)*GN138+(1-EXP(-LN(2)/2))/(LN(2)/2)*GH139*GK139*VLOOKUP('Données projet'!$B$17,Paramètres!$A$1:$I$89,3,0)*0.475*44/12</f>
        <v>8.7204978681766436E-18</v>
      </c>
      <c r="GO139" s="21">
        <f t="shared" si="135"/>
        <v>38.568274051849528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67.867889208249849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-5.6843418860808015E-14</v>
      </c>
      <c r="GV139" s="17">
        <f>GU139*VLOOKUP('Données projet'!$B$18,Paramètres!$A$1:$I$89,3,0)*VLOOKUP('Données projet'!$B$18,Paramètres!$A$1:$I$89,5,0)</f>
        <v>-3.0061073630349716E-14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212.75657290802619</v>
      </c>
      <c r="HA139" s="59">
        <f t="shared" si="160"/>
        <v>411.47446316045978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9.4202581089713195</v>
      </c>
      <c r="HH139" s="21">
        <f>EXP(-LN(2)/25)*HH138+(1-EXP(-LN(2)/25))/(LN(2)/25)*Calculateur!HC139*Calculateur!HE139*VLOOKUP('Données projet'!$B$18,Paramètres!$A$1:$I$89,3,0)*0.475*44/12</f>
        <v>1.0538034578966324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10.474061566867952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4.60745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16.893983333333335</v>
      </c>
      <c r="H140" s="66">
        <f t="shared" si="110"/>
        <v>189.09073333333333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327.15044427312557</v>
      </c>
      <c r="S140" s="59">
        <f ca="1">AVERAGE(OFFSET($R$3,0,0,'Données projet'!$E$9+1,1))-AVERAGE(OFFSET($H$3,0,0,'Données projet'!$E$9+1,1))</f>
        <v>564.49981446852132</v>
      </c>
      <c r="T140" s="59">
        <f t="shared" si="142"/>
        <v>297.54722913785406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19.8100000000004</v>
      </c>
      <c r="AJ140" s="13">
        <f>AI140*VLOOKUP('Données projet'!$B$10,Paramètres!$A$1:$I$89,3,0)*VLOOKUP('Données projet'!$B$10,Paramètres!$A$1:$I$89,5,0)</f>
        <v>20.08734000000041</v>
      </c>
      <c r="AK140" s="13">
        <f t="shared" si="143"/>
        <v>6.5285137703520215</v>
      </c>
      <c r="AL140" s="20">
        <f t="shared" si="112"/>
        <v>46.355945316697152</v>
      </c>
      <c r="AM140" s="59">
        <f t="shared" si="113"/>
        <v>332.0071593839678</v>
      </c>
      <c r="AN140" s="59">
        <f ca="1">AVERAGE(OFFSET($AM$3,0,0,'Données projet'!$E$10+1,1))-AVERAGE(OFFSET($H$3,0,0,'Données projet'!$E$10+1,1))</f>
        <v>623.16549611107564</v>
      </c>
      <c r="AO140" s="59">
        <f t="shared" si="144"/>
        <v>326.15178903425885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275.73372225122529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275.73372225122529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266.99999999999983</v>
      </c>
      <c r="BE140" s="13">
        <f>BD140*VLOOKUP('Données projet'!$B$11,Paramètres!$A$1:$I$89,3,0)*VLOOKUP('Données projet'!$B$11,Paramètres!$A$1:$I$89,5,0)</f>
        <v>216.59039999999987</v>
      </c>
      <c r="BF140" s="13">
        <f t="shared" si="145"/>
        <v>53.373153688190904</v>
      </c>
      <c r="BG140" s="20">
        <f t="shared" si="115"/>
        <v>470.18652267359886</v>
      </c>
      <c r="BH140" s="59">
        <f t="shared" si="116"/>
        <v>755.83773674086956</v>
      </c>
      <c r="BI140" s="59">
        <f ca="1">AVERAGE(OFFSET($BH$3,0,0,'Données projet'!$E$11+1,1))-AVERAGE(OFFSET($H$3,0,0,'Données projet'!$E$11+1,1))</f>
        <v>326.2912419133811</v>
      </c>
      <c r="BJ140" s="59">
        <f t="shared" si="146"/>
        <v>315.07976787459938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14.306773648171534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14.306773648171534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243</v>
      </c>
      <c r="BZ140" s="13">
        <f>BY140*VLOOKUP('Données projet'!$B$12,Paramètres!$A$1:$I$89,3,0)*VLOOKUP('Données projet'!$B$12,Paramètres!$A$1:$I$89,5,0)</f>
        <v>155.4228</v>
      </c>
      <c r="CA140" s="13">
        <f t="shared" si="147"/>
        <v>39.808377687614154</v>
      </c>
      <c r="CB140" s="20">
        <f t="shared" si="118"/>
        <v>340.02763447259463</v>
      </c>
      <c r="CC140" s="59">
        <f t="shared" si="119"/>
        <v>625.67884853986527</v>
      </c>
      <c r="CD140" s="59">
        <f ca="1">AVERAGE(OFFSET($CC$3,0,0,'Données projet'!$E$12+1,1))-AVERAGE(OFFSET($H$3,0,0,'Données projet'!$E$12+1,1))</f>
        <v>297.03992602744393</v>
      </c>
      <c r="CE140" s="59">
        <f t="shared" si="148"/>
        <v>265.2588848922893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19.752742950606759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19.752742950606759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367.99999999999972</v>
      </c>
      <c r="CU140" s="17">
        <f>CT140*VLOOKUP('Données projet'!$B$13,Paramètres!$A$1:$I$89,3,0)*VLOOKUP('Données projet'!$B$13,Paramètres!$A$1:$I$89,5,0)</f>
        <v>292.78079999999977</v>
      </c>
      <c r="CV140" s="13">
        <f t="shared" si="149"/>
        <v>69.660903052386217</v>
      </c>
      <c r="CW140" s="20">
        <f t="shared" si="121"/>
        <v>631.25263281623893</v>
      </c>
      <c r="CX140" s="59">
        <f t="shared" si="122"/>
        <v>916.90384688350957</v>
      </c>
      <c r="CY140" s="59">
        <f ca="1">AVERAGE(OFFSET($CX$3,0,0,'Données projet'!$E$13+1,1))-AVERAGE(OFFSET($H$3,0,0,'Données projet'!$E$13+1,1))</f>
        <v>427.42918901489531</v>
      </c>
      <c r="CZ140" s="59">
        <f t="shared" si="150"/>
        <v>410.68601510655412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19.932522689908001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19.932522689908001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19.8100000000004</v>
      </c>
      <c r="DP140" s="17">
        <f>DO140*VLOOKUP('Données projet'!$B$14,Paramètres!$A$1:$I$89,3,0)*VLOOKUP('Données projet'!$B$14,Paramètres!$A$1:$I$89,5,0)</f>
        <v>19.160232000000388</v>
      </c>
      <c r="DQ140" s="13">
        <f t="shared" si="151"/>
        <v>6.2615431735370342</v>
      </c>
      <c r="DR140" s="20">
        <f t="shared" si="124"/>
        <v>44.27625842724435</v>
      </c>
      <c r="DS140" s="59">
        <f t="shared" si="125"/>
        <v>329.92747249451497</v>
      </c>
      <c r="DT140" s="59">
        <f ca="1">AVERAGE(OFFSET($DS$3,0,0,'Données projet'!$E$14+1,1))-AVERAGE(OFFSET($H$3,0,0,'Données projet'!$E$14+1,1))</f>
        <v>598.03945725240396</v>
      </c>
      <c r="DU140" s="59">
        <f t="shared" si="152"/>
        <v>313.9014686755695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263.00755045501484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263.00755045501484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19.8100000000004</v>
      </c>
      <c r="EK140" s="17">
        <f>EJ140*VLOOKUP('Données projet'!$B$15,Paramètres!$A$1:$I$89,3,0)*VLOOKUP('Données projet'!$B$15,Paramètres!$A$1:$I$89,5,0)</f>
        <v>13.288548000000269</v>
      </c>
      <c r="EL140" s="13">
        <f t="shared" si="153"/>
        <v>4.531654695205642</v>
      </c>
      <c r="EM140" s="20">
        <f t="shared" si="127"/>
        <v>31.036853027483627</v>
      </c>
      <c r="EN140" s="59">
        <f t="shared" si="128"/>
        <v>316.68806709475427</v>
      </c>
      <c r="EO140" s="59">
        <f ca="1">AVERAGE(OFFSET($EN$3,0,0,'Données projet'!$E$15+1,1))-AVERAGE(OFFSET($H$3,0,0,'Données projet'!$E$15+1,1))</f>
        <v>438.27475674276604</v>
      </c>
      <c r="EP140" s="59">
        <f t="shared" si="154"/>
        <v>235.97720136798864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224.82903506638368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224.82903506638368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5.2499999999990337</v>
      </c>
      <c r="FF140" s="17">
        <f>FE140*VLOOKUP('Données projet'!$B$16,Paramètres!$A$1:$I$89,3,0)*VLOOKUP('Données projet'!$B$16,Paramètres!$A$1:$I$89,5,0)</f>
        <v>2.4569999999995478</v>
      </c>
      <c r="FG140" s="13">
        <f t="shared" si="155"/>
        <v>1.0197977774625564</v>
      </c>
      <c r="FH140" s="20">
        <f t="shared" si="130"/>
        <v>6.0554227957464972</v>
      </c>
      <c r="FI140" s="59">
        <f t="shared" si="131"/>
        <v>291.70663686301714</v>
      </c>
      <c r="FJ140" s="59">
        <f ca="1">AVERAGE(OFFSET($FI$3,0,0,'Données projet'!$E$16+1,1))-AVERAGE(OFFSET($H$3,0,0,'Données projet'!$E$16+1,1))</f>
        <v>329.49463758169588</v>
      </c>
      <c r="FK140" s="59">
        <f t="shared" si="156"/>
        <v>207.1447698203379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139.5031707058512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139.5031707058512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763.00000000000057</v>
      </c>
      <c r="GA140" s="17">
        <f>FZ140*VLOOKUP('Données projet'!$B$17,Paramètres!$A$1:$I$89,3,0)*VLOOKUP('Données projet'!$B$17,Paramètres!$A$1:$I$89,5,0)</f>
        <v>456.2740000000004</v>
      </c>
      <c r="GB140" s="13">
        <f t="shared" si="157"/>
        <v>103.09649786611838</v>
      </c>
      <c r="GC140" s="20">
        <f t="shared" si="133"/>
        <v>974.23695045015677</v>
      </c>
      <c r="GD140" s="59">
        <f t="shared" si="134"/>
        <v>1259.8881645174274</v>
      </c>
      <c r="GE140" s="59">
        <f ca="1">AVERAGE(OFFSET($GD$3,0,0,'Données projet'!$E$17+1,1))-AVERAGE(OFFSET($H$3,0,0,'Données projet'!$E$17+1,1))</f>
        <v>577.07444926285291</v>
      </c>
      <c r="GF140" s="59">
        <f t="shared" si="158"/>
        <v>501.3762209070419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34.41766283045925</v>
      </c>
      <c r="GM140" s="21">
        <f>EXP(-LN(2)/25)*GM139+(1-EXP(-LN(2)/25))/(LN(2)/25)*Calculateur!GH140*Calculateur!GJ140*VLOOKUP('Données projet'!$B$17,Paramètres!$A$1:$I$89,3,0)*0.475*44/12</f>
        <v>3.3675284608570042</v>
      </c>
      <c r="GN140" s="21">
        <f>EXP(-LN(2)/2)*GN139+(1-EXP(-LN(2)/2))/(LN(2)/2)*GH140*GK140*VLOOKUP('Données projet'!$B$17,Paramètres!$A$1:$I$89,3,0)*0.475*44/12</f>
        <v>6.1663231779105362E-18</v>
      </c>
      <c r="GO140" s="21">
        <f t="shared" si="135"/>
        <v>37.785191291316252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67.904876563801082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-5.6843418860808015E-14</v>
      </c>
      <c r="GV140" s="17">
        <f>GU140*VLOOKUP('Données projet'!$B$18,Paramètres!$A$1:$I$89,3,0)*VLOOKUP('Données projet'!$B$18,Paramètres!$A$1:$I$89,5,0)</f>
        <v>-3.0061073630349716E-14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212.75657290802619</v>
      </c>
      <c r="HA140" s="59">
        <f t="shared" si="160"/>
        <v>411.47446316045978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9.2355325932444892</v>
      </c>
      <c r="HH140" s="21">
        <f>EXP(-LN(2)/25)*HH139+(1-EXP(-LN(2)/25))/(LN(2)/25)*Calculateur!HC140*Calculateur!HE140*VLOOKUP('Données projet'!$B$18,Paramètres!$A$1:$I$89,3,0)*0.475*44/12</f>
        <v>1.0249871469233336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10.260519740167823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4.60745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16.893983333333335</v>
      </c>
      <c r="H141" s="66">
        <f t="shared" si="110"/>
        <v>189.09073333333333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327.28371186774598</v>
      </c>
      <c r="S141" s="59">
        <f ca="1">AVERAGE(OFFSET($R$3,0,0,'Données projet'!$E$9+1,1))-AVERAGE(OFFSET($H$3,0,0,'Données projet'!$E$9+1,1))</f>
        <v>564.49981446852132</v>
      </c>
      <c r="T141" s="59">
        <f t="shared" si="142"/>
        <v>297.54722913785406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19.8100000000004</v>
      </c>
      <c r="AJ141" s="13">
        <f>AI141*VLOOKUP('Données projet'!$B$10,Paramètres!$A$1:$I$89,3,0)*VLOOKUP('Données projet'!$B$10,Paramètres!$A$1:$I$89,5,0)</f>
        <v>20.08734000000041</v>
      </c>
      <c r="AK141" s="13">
        <f t="shared" si="143"/>
        <v>6.5285137703520215</v>
      </c>
      <c r="AL141" s="20">
        <f t="shared" si="112"/>
        <v>46.355945316697152</v>
      </c>
      <c r="AM141" s="59">
        <f t="shared" si="113"/>
        <v>332.14042697858821</v>
      </c>
      <c r="AN141" s="59">
        <f ca="1">AVERAGE(OFFSET($AM$3,0,0,'Données projet'!$E$10+1,1))-AVERAGE(OFFSET($H$3,0,0,'Données projet'!$E$10+1,1))</f>
        <v>623.16549611107564</v>
      </c>
      <c r="AO141" s="59">
        <f t="shared" si="144"/>
        <v>326.15178903425885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270.32675213884283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270.32675213884283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266.99999999999983</v>
      </c>
      <c r="BE141" s="13">
        <f>BD141*VLOOKUP('Données projet'!$B$11,Paramètres!$A$1:$I$89,3,0)*VLOOKUP('Données projet'!$B$11,Paramètres!$A$1:$I$89,5,0)</f>
        <v>216.59039999999987</v>
      </c>
      <c r="BF141" s="13">
        <f t="shared" si="145"/>
        <v>53.373153688190904</v>
      </c>
      <c r="BG141" s="20">
        <f t="shared" si="115"/>
        <v>470.18652267359886</v>
      </c>
      <c r="BH141" s="59">
        <f t="shared" si="116"/>
        <v>755.97100433548985</v>
      </c>
      <c r="BI141" s="59">
        <f ca="1">AVERAGE(OFFSET($BH$3,0,0,'Données projet'!$E$11+1,1))-AVERAGE(OFFSET($H$3,0,0,'Données projet'!$E$11+1,1))</f>
        <v>326.2912419133811</v>
      </c>
      <c r="BJ141" s="59">
        <f t="shared" si="146"/>
        <v>315.07976787459938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14.026226543201169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14.026226543201169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243</v>
      </c>
      <c r="BZ141" s="13">
        <f>BY141*VLOOKUP('Données projet'!$B$12,Paramètres!$A$1:$I$89,3,0)*VLOOKUP('Données projet'!$B$12,Paramètres!$A$1:$I$89,5,0)</f>
        <v>155.4228</v>
      </c>
      <c r="CA141" s="13">
        <f t="shared" si="147"/>
        <v>39.808377687614154</v>
      </c>
      <c r="CB141" s="20">
        <f t="shared" si="118"/>
        <v>340.02763447259463</v>
      </c>
      <c r="CC141" s="59">
        <f t="shared" si="119"/>
        <v>625.81211613448568</v>
      </c>
      <c r="CD141" s="59">
        <f ca="1">AVERAGE(OFFSET($CC$3,0,0,'Données projet'!$E$12+1,1))-AVERAGE(OFFSET($H$3,0,0,'Données projet'!$E$12+1,1))</f>
        <v>297.03992602744393</v>
      </c>
      <c r="CE141" s="59">
        <f t="shared" si="148"/>
        <v>265.2588848922893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19.36540370932892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19.36540370932892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367.99999999999972</v>
      </c>
      <c r="CU141" s="17">
        <f>CT141*VLOOKUP('Données projet'!$B$13,Paramètres!$A$1:$I$89,3,0)*VLOOKUP('Données projet'!$B$13,Paramètres!$A$1:$I$89,5,0)</f>
        <v>292.78079999999977</v>
      </c>
      <c r="CV141" s="13">
        <f t="shared" si="149"/>
        <v>69.660903052386217</v>
      </c>
      <c r="CW141" s="20">
        <f t="shared" si="121"/>
        <v>631.25263281623893</v>
      </c>
      <c r="CX141" s="59">
        <f t="shared" si="122"/>
        <v>917.03711447812998</v>
      </c>
      <c r="CY141" s="59">
        <f ca="1">AVERAGE(OFFSET($CX$3,0,0,'Données projet'!$E$13+1,1))-AVERAGE(OFFSET($H$3,0,0,'Données projet'!$E$13+1,1))</f>
        <v>427.42918901489531</v>
      </c>
      <c r="CZ141" s="59">
        <f t="shared" si="150"/>
        <v>410.68601510655412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19.54165807759728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19.54165807759728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19.8100000000004</v>
      </c>
      <c r="DP141" s="17">
        <f>DO141*VLOOKUP('Données projet'!$B$14,Paramètres!$A$1:$I$89,3,0)*VLOOKUP('Données projet'!$B$14,Paramètres!$A$1:$I$89,5,0)</f>
        <v>19.160232000000388</v>
      </c>
      <c r="DQ141" s="13">
        <f t="shared" si="151"/>
        <v>6.2615431735370342</v>
      </c>
      <c r="DR141" s="20">
        <f t="shared" si="124"/>
        <v>44.27625842724435</v>
      </c>
      <c r="DS141" s="59">
        <f t="shared" si="125"/>
        <v>330.06074008913538</v>
      </c>
      <c r="DT141" s="59">
        <f ca="1">AVERAGE(OFFSET($DS$3,0,0,'Données projet'!$E$14+1,1))-AVERAGE(OFFSET($H$3,0,0,'Données projet'!$E$14+1,1))</f>
        <v>598.03945725240396</v>
      </c>
      <c r="DU141" s="59">
        <f t="shared" si="152"/>
        <v>313.9014686755695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257.85013280935772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257.85013280935772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19.8100000000004</v>
      </c>
      <c r="EK141" s="17">
        <f>EJ141*VLOOKUP('Données projet'!$B$15,Paramètres!$A$1:$I$89,3,0)*VLOOKUP('Données projet'!$B$15,Paramètres!$A$1:$I$89,5,0)</f>
        <v>13.288548000000269</v>
      </c>
      <c r="EL141" s="13">
        <f t="shared" si="153"/>
        <v>4.531654695205642</v>
      </c>
      <c r="EM141" s="20">
        <f t="shared" si="127"/>
        <v>31.036853027483627</v>
      </c>
      <c r="EN141" s="59">
        <f t="shared" si="128"/>
        <v>316.82133468937468</v>
      </c>
      <c r="EO141" s="59">
        <f ca="1">AVERAGE(OFFSET($EN$3,0,0,'Données projet'!$E$15+1,1))-AVERAGE(OFFSET($H$3,0,0,'Données projet'!$E$15+1,1))</f>
        <v>438.27475674276604</v>
      </c>
      <c r="EP141" s="59">
        <f t="shared" si="154"/>
        <v>235.97720136798864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220.42027482090262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220.42027482090262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5.2499999999990337</v>
      </c>
      <c r="FF141" s="17">
        <f>FE141*VLOOKUP('Données projet'!$B$16,Paramètres!$A$1:$I$89,3,0)*VLOOKUP('Données projet'!$B$16,Paramètres!$A$1:$I$89,5,0)</f>
        <v>2.4569999999995478</v>
      </c>
      <c r="FG141" s="13">
        <f t="shared" si="155"/>
        <v>1.0197977774625564</v>
      </c>
      <c r="FH141" s="20">
        <f t="shared" si="130"/>
        <v>6.0554227957464972</v>
      </c>
      <c r="FI141" s="59">
        <f t="shared" si="131"/>
        <v>291.83990445763754</v>
      </c>
      <c r="FJ141" s="59">
        <f ca="1">AVERAGE(OFFSET($FI$3,0,0,'Données projet'!$E$16+1,1))-AVERAGE(OFFSET($H$3,0,0,'Données projet'!$E$16+1,1))</f>
        <v>329.49463758169588</v>
      </c>
      <c r="FK141" s="59">
        <f t="shared" si="156"/>
        <v>207.1447698203379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136.76759861684181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136.76759861684181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763.00000000000057</v>
      </c>
      <c r="GA141" s="17">
        <f>FZ141*VLOOKUP('Données projet'!$B$17,Paramètres!$A$1:$I$89,3,0)*VLOOKUP('Données projet'!$B$17,Paramètres!$A$1:$I$89,5,0)</f>
        <v>456.2740000000004</v>
      </c>
      <c r="GB141" s="13">
        <f t="shared" si="157"/>
        <v>103.09649786611838</v>
      </c>
      <c r="GC141" s="20">
        <f t="shared" si="133"/>
        <v>974.23695045015677</v>
      </c>
      <c r="GD141" s="59">
        <f t="shared" si="134"/>
        <v>1260.0214321120479</v>
      </c>
      <c r="GE141" s="59">
        <f ca="1">AVERAGE(OFFSET($GD$3,0,0,'Données projet'!$E$17+1,1))-AVERAGE(OFFSET($H$3,0,0,'Données projet'!$E$17+1,1))</f>
        <v>577.07444926285291</v>
      </c>
      <c r="GF141" s="59">
        <f t="shared" si="158"/>
        <v>501.3762209070419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33.742753455055414</v>
      </c>
      <c r="GM141" s="21">
        <f>EXP(-LN(2)/25)*GM140+(1-EXP(-LN(2)/25))/(LN(2)/25)*Calculateur!GH141*Calculateur!GJ141*VLOOKUP('Données projet'!$B$17,Paramètres!$A$1:$I$89,3,0)*0.475*44/12</f>
        <v>3.2754432180042441</v>
      </c>
      <c r="GN141" s="21">
        <f>EXP(-LN(2)/2)*GN140+(1-EXP(-LN(2)/2))/(LN(2)/2)*GH141*GK141*VLOOKUP('Données projet'!$B$17,Paramètres!$A$1:$I$89,3,0)*0.475*44/12</f>
        <v>4.3602489340883218E-18</v>
      </c>
      <c r="GO141" s="21">
        <f t="shared" si="135"/>
        <v>37.018196673059656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67.941222271424834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-5.6843418860808015E-14</v>
      </c>
      <c r="GV141" s="17">
        <f>GU141*VLOOKUP('Données projet'!$B$18,Paramètres!$A$1:$I$89,3,0)*VLOOKUP('Données projet'!$B$18,Paramètres!$A$1:$I$89,5,0)</f>
        <v>-3.0061073630349716E-14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212.75657290802619</v>
      </c>
      <c r="HA141" s="59">
        <f t="shared" si="160"/>
        <v>411.47446316045978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9.0544294322096217</v>
      </c>
      <c r="HH141" s="21">
        <f>EXP(-LN(2)/25)*HH140+(1-EXP(-LN(2)/25))/(LN(2)/25)*Calculateur!HC141*Calculateur!HE141*VLOOKUP('Données projet'!$B$18,Paramètres!$A$1:$I$89,3,0)*0.475*44/12</f>
        <v>0.99695881948898357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10.051388251698604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4.60745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16.893983333333335</v>
      </c>
      <c r="H142" s="66">
        <f t="shared" si="110"/>
        <v>189.09073333333333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327.41466756754153</v>
      </c>
      <c r="S142" s="59">
        <f ca="1">AVERAGE(OFFSET($R$3,0,0,'Données projet'!$E$9+1,1))-AVERAGE(OFFSET($H$3,0,0,'Données projet'!$E$9+1,1))</f>
        <v>564.49981446852132</v>
      </c>
      <c r="T142" s="59">
        <f t="shared" si="142"/>
        <v>297.54722913785406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19.8100000000004</v>
      </c>
      <c r="AJ142" s="13">
        <f>AI142*VLOOKUP('Données projet'!$B$10,Paramètres!$A$1:$I$89,3,0)*VLOOKUP('Données projet'!$B$10,Paramètres!$A$1:$I$89,5,0)</f>
        <v>20.08734000000041</v>
      </c>
      <c r="AK142" s="13">
        <f t="shared" si="143"/>
        <v>6.5285137703520215</v>
      </c>
      <c r="AL142" s="20">
        <f t="shared" si="112"/>
        <v>46.355945316697152</v>
      </c>
      <c r="AM142" s="59">
        <f t="shared" si="113"/>
        <v>332.27138267838376</v>
      </c>
      <c r="AN142" s="59">
        <f ca="1">AVERAGE(OFFSET($AM$3,0,0,'Données projet'!$E$10+1,1))-AVERAGE(OFFSET($H$3,0,0,'Données projet'!$E$10+1,1))</f>
        <v>623.16549611107564</v>
      </c>
      <c r="AO142" s="59">
        <f t="shared" si="144"/>
        <v>326.15178903425885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265.02580941243809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265.02580941243809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266.99999999999983</v>
      </c>
      <c r="BE142" s="13">
        <f>BD142*VLOOKUP('Données projet'!$B$11,Paramètres!$A$1:$I$89,3,0)*VLOOKUP('Données projet'!$B$11,Paramètres!$A$1:$I$89,5,0)</f>
        <v>216.59039999999987</v>
      </c>
      <c r="BF142" s="13">
        <f t="shared" si="145"/>
        <v>53.373153688190904</v>
      </c>
      <c r="BG142" s="20">
        <f t="shared" si="115"/>
        <v>470.18652267359886</v>
      </c>
      <c r="BH142" s="59">
        <f t="shared" si="116"/>
        <v>756.1019600352854</v>
      </c>
      <c r="BI142" s="59">
        <f ca="1">AVERAGE(OFFSET($BH$3,0,0,'Données projet'!$E$11+1,1))-AVERAGE(OFFSET($H$3,0,0,'Données projet'!$E$11+1,1))</f>
        <v>326.2912419133811</v>
      </c>
      <c r="BJ142" s="59">
        <f t="shared" si="146"/>
        <v>315.07976787459938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13.751180795842433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13.751180795842433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243</v>
      </c>
      <c r="BZ142" s="13">
        <f>BY142*VLOOKUP('Données projet'!$B$12,Paramètres!$A$1:$I$89,3,0)*VLOOKUP('Données projet'!$B$12,Paramètres!$A$1:$I$89,5,0)</f>
        <v>155.4228</v>
      </c>
      <c r="CA142" s="13">
        <f t="shared" si="147"/>
        <v>39.808377687614154</v>
      </c>
      <c r="CB142" s="20">
        <f t="shared" si="118"/>
        <v>340.02763447259463</v>
      </c>
      <c r="CC142" s="59">
        <f t="shared" si="119"/>
        <v>625.94307183428123</v>
      </c>
      <c r="CD142" s="59">
        <f ca="1">AVERAGE(OFFSET($CC$3,0,0,'Données projet'!$E$12+1,1))-AVERAGE(OFFSET($H$3,0,0,'Données projet'!$E$12+1,1))</f>
        <v>297.03992602744393</v>
      </c>
      <c r="CE142" s="59">
        <f t="shared" si="148"/>
        <v>265.2588848922893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18.98565995431893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18.98565995431893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367.99999999999972</v>
      </c>
      <c r="CU142" s="17">
        <f>CT142*VLOOKUP('Données projet'!$B$13,Paramètres!$A$1:$I$89,3,0)*VLOOKUP('Données projet'!$B$13,Paramètres!$A$1:$I$89,5,0)</f>
        <v>292.78079999999977</v>
      </c>
      <c r="CV142" s="13">
        <f t="shared" si="149"/>
        <v>69.660903052386217</v>
      </c>
      <c r="CW142" s="20">
        <f t="shared" si="121"/>
        <v>631.25263281623893</v>
      </c>
      <c r="CX142" s="59">
        <f t="shared" si="122"/>
        <v>917.16807017792553</v>
      </c>
      <c r="CY142" s="59">
        <f ca="1">AVERAGE(OFFSET($CX$3,0,0,'Données projet'!$E$13+1,1))-AVERAGE(OFFSET($H$3,0,0,'Données projet'!$E$13+1,1))</f>
        <v>427.42918901489531</v>
      </c>
      <c r="CZ142" s="59">
        <f t="shared" si="150"/>
        <v>410.68601510655412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19.158458081930096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19.158458081930096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19.8100000000004</v>
      </c>
      <c r="DP142" s="17">
        <f>DO142*VLOOKUP('Données projet'!$B$14,Paramètres!$A$1:$I$89,3,0)*VLOOKUP('Données projet'!$B$14,Paramètres!$A$1:$I$89,5,0)</f>
        <v>19.160232000000388</v>
      </c>
      <c r="DQ142" s="13">
        <f t="shared" si="151"/>
        <v>6.2615431735370342</v>
      </c>
      <c r="DR142" s="20">
        <f t="shared" si="124"/>
        <v>44.27625842724435</v>
      </c>
      <c r="DS142" s="59">
        <f t="shared" si="125"/>
        <v>330.19169578893093</v>
      </c>
      <c r="DT142" s="59">
        <f ca="1">AVERAGE(OFFSET($DS$3,0,0,'Données projet'!$E$14+1,1))-AVERAGE(OFFSET($H$3,0,0,'Données projet'!$E$14+1,1))</f>
        <v>598.03945725240396</v>
      </c>
      <c r="DU142" s="59">
        <f t="shared" si="152"/>
        <v>313.9014686755695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252.79384897801779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252.79384897801779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19.8100000000004</v>
      </c>
      <c r="EK142" s="17">
        <f>EJ142*VLOOKUP('Données projet'!$B$15,Paramètres!$A$1:$I$89,3,0)*VLOOKUP('Données projet'!$B$15,Paramètres!$A$1:$I$89,5,0)</f>
        <v>13.288548000000269</v>
      </c>
      <c r="EL142" s="13">
        <f t="shared" si="153"/>
        <v>4.531654695205642</v>
      </c>
      <c r="EM142" s="20">
        <f t="shared" si="127"/>
        <v>31.036853027483627</v>
      </c>
      <c r="EN142" s="59">
        <f t="shared" si="128"/>
        <v>316.95229038917023</v>
      </c>
      <c r="EO142" s="59">
        <f ca="1">AVERAGE(OFFSET($EN$3,0,0,'Données projet'!$E$15+1,1))-AVERAGE(OFFSET($H$3,0,0,'Données projet'!$E$15+1,1))</f>
        <v>438.27475674276604</v>
      </c>
      <c r="EP142" s="59">
        <f t="shared" si="154"/>
        <v>235.97720136798864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216.0979676747572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216.0979676747572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5.2499999999990337</v>
      </c>
      <c r="FF142" s="17">
        <f>FE142*VLOOKUP('Données projet'!$B$16,Paramètres!$A$1:$I$89,3,0)*VLOOKUP('Données projet'!$B$16,Paramètres!$A$1:$I$89,5,0)</f>
        <v>2.4569999999995478</v>
      </c>
      <c r="FG142" s="13">
        <f t="shared" si="155"/>
        <v>1.0197977774625564</v>
      </c>
      <c r="FH142" s="20">
        <f t="shared" si="130"/>
        <v>6.0554227957464972</v>
      </c>
      <c r="FI142" s="59">
        <f t="shared" si="131"/>
        <v>291.97086015743309</v>
      </c>
      <c r="FJ142" s="59">
        <f ca="1">AVERAGE(OFFSET($FI$3,0,0,'Données projet'!$E$16+1,1))-AVERAGE(OFFSET($H$3,0,0,'Données projet'!$E$16+1,1))</f>
        <v>329.49463758169588</v>
      </c>
      <c r="FK142" s="59">
        <f t="shared" si="156"/>
        <v>207.1447698203379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134.08566942796367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134.08566942796367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763.00000000000057</v>
      </c>
      <c r="GA142" s="17">
        <f>FZ142*VLOOKUP('Données projet'!$B$17,Paramètres!$A$1:$I$89,3,0)*VLOOKUP('Données projet'!$B$17,Paramètres!$A$1:$I$89,5,0)</f>
        <v>456.2740000000004</v>
      </c>
      <c r="GB142" s="13">
        <f t="shared" si="157"/>
        <v>103.09649786611838</v>
      </c>
      <c r="GC142" s="20">
        <f t="shared" si="133"/>
        <v>974.23695045015677</v>
      </c>
      <c r="GD142" s="59">
        <f t="shared" si="134"/>
        <v>1260.1523878118433</v>
      </c>
      <c r="GE142" s="59">
        <f ca="1">AVERAGE(OFFSET($GD$3,0,0,'Données projet'!$E$17+1,1))-AVERAGE(OFFSET($H$3,0,0,'Données projet'!$E$17+1,1))</f>
        <v>577.07444926285291</v>
      </c>
      <c r="GF142" s="59">
        <f t="shared" si="158"/>
        <v>501.3762209070419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33.081078640849178</v>
      </c>
      <c r="GM142" s="21">
        <f>EXP(-LN(2)/25)*GM141+(1-EXP(-LN(2)/25))/(LN(2)/25)*Calculateur!GH142*Calculateur!GJ142*VLOOKUP('Données projet'!$B$17,Paramètres!$A$1:$I$89,3,0)*0.475*44/12</f>
        <v>3.1858760509598452</v>
      </c>
      <c r="GN142" s="21">
        <f>EXP(-LN(2)/2)*GN141+(1-EXP(-LN(2)/2))/(LN(2)/2)*GH142*GK142*VLOOKUP('Données projet'!$B$17,Paramètres!$A$1:$I$89,3,0)*0.475*44/12</f>
        <v>3.0831615889552681E-18</v>
      </c>
      <c r="GO142" s="21">
        <f t="shared" si="135"/>
        <v>36.266954691809026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67.976937462278158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-5.6843418860808015E-14</v>
      </c>
      <c r="GV142" s="17">
        <f>GU142*VLOOKUP('Données projet'!$B$18,Paramètres!$A$1:$I$89,3,0)*VLOOKUP('Données projet'!$B$18,Paramètres!$A$1:$I$89,5,0)</f>
        <v>-3.0061073630349716E-14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212.75657290802619</v>
      </c>
      <c r="HA142" s="59">
        <f t="shared" si="160"/>
        <v>411.47446316045978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8.8768775937006268</v>
      </c>
      <c r="HH142" s="21">
        <f>EXP(-LN(2)/25)*HH141+(1-EXP(-LN(2)/25))/(LN(2)/25)*Calculateur!HC142*Calculateur!HE142*VLOOKUP('Données projet'!$B$18,Paramètres!$A$1:$I$89,3,0)*0.475*44/12</f>
        <v>0.9696969281422716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9.8465745218428982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4.60745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16.893983333333335</v>
      </c>
      <c r="H143" s="66">
        <f t="shared" si="110"/>
        <v>189.09073333333333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327.54335147871871</v>
      </c>
      <c r="S143" s="59">
        <f ca="1">AVERAGE(OFFSET($R$3,0,0,'Données projet'!$E$9+1,1))-AVERAGE(OFFSET($H$3,0,0,'Données projet'!$E$9+1,1))</f>
        <v>564.49981446852132</v>
      </c>
      <c r="T143" s="59">
        <f t="shared" si="142"/>
        <v>297.54722913785406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19.8100000000004</v>
      </c>
      <c r="AJ143" s="13">
        <f>AI143*VLOOKUP('Données projet'!$B$10,Paramètres!$A$1:$I$89,3,0)*VLOOKUP('Données projet'!$B$10,Paramètres!$A$1:$I$89,5,0)</f>
        <v>20.08734000000041</v>
      </c>
      <c r="AK143" s="13">
        <f t="shared" si="143"/>
        <v>6.5285137703520215</v>
      </c>
      <c r="AL143" s="20">
        <f t="shared" si="112"/>
        <v>46.355945316697152</v>
      </c>
      <c r="AM143" s="59">
        <f t="shared" si="113"/>
        <v>332.40006658956094</v>
      </c>
      <c r="AN143" s="59">
        <f ca="1">AVERAGE(OFFSET($AM$3,0,0,'Données projet'!$E$10+1,1))-AVERAGE(OFFSET($H$3,0,0,'Données projet'!$E$10+1,1))</f>
        <v>623.16549611107564</v>
      </c>
      <c r="AO143" s="59">
        <f t="shared" si="144"/>
        <v>326.15178903425885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259.82881493964231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259.82881493964231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266.99999999999983</v>
      </c>
      <c r="BE143" s="13">
        <f>BD143*VLOOKUP('Données projet'!$B$11,Paramètres!$A$1:$I$89,3,0)*VLOOKUP('Données projet'!$B$11,Paramètres!$A$1:$I$89,5,0)</f>
        <v>216.59039999999987</v>
      </c>
      <c r="BF143" s="13">
        <f t="shared" si="145"/>
        <v>53.373153688190904</v>
      </c>
      <c r="BG143" s="20">
        <f t="shared" si="115"/>
        <v>470.18652267359886</v>
      </c>
      <c r="BH143" s="59">
        <f t="shared" si="116"/>
        <v>756.23064394646258</v>
      </c>
      <c r="BI143" s="59">
        <f ca="1">AVERAGE(OFFSET($BH$3,0,0,'Données projet'!$E$11+1,1))-AVERAGE(OFFSET($H$3,0,0,'Données projet'!$E$11+1,1))</f>
        <v>326.2912419133811</v>
      </c>
      <c r="BJ143" s="59">
        <f t="shared" si="146"/>
        <v>315.07976787459938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13.481528527828063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13.481528527828063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243</v>
      </c>
      <c r="BZ143" s="13">
        <f>BY143*VLOOKUP('Données projet'!$B$12,Paramètres!$A$1:$I$89,3,0)*VLOOKUP('Données projet'!$B$12,Paramètres!$A$1:$I$89,5,0)</f>
        <v>155.4228</v>
      </c>
      <c r="CA143" s="13">
        <f t="shared" si="147"/>
        <v>39.808377687614154</v>
      </c>
      <c r="CB143" s="20">
        <f t="shared" si="118"/>
        <v>340.02763447259463</v>
      </c>
      <c r="CC143" s="59">
        <f t="shared" si="119"/>
        <v>626.0717557454584</v>
      </c>
      <c r="CD143" s="59">
        <f ca="1">AVERAGE(OFFSET($CC$3,0,0,'Données projet'!$E$12+1,1))-AVERAGE(OFFSET($H$3,0,0,'Données projet'!$E$12+1,1))</f>
        <v>297.03992602744393</v>
      </c>
      <c r="CE143" s="59">
        <f t="shared" si="148"/>
        <v>265.2588848922893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18.613362742723869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18.613362742723869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367.99999999999972</v>
      </c>
      <c r="CU143" s="17">
        <f>CT143*VLOOKUP('Données projet'!$B$13,Paramètres!$A$1:$I$89,3,0)*VLOOKUP('Données projet'!$B$13,Paramètres!$A$1:$I$89,5,0)</f>
        <v>292.78079999999977</v>
      </c>
      <c r="CV143" s="13">
        <f t="shared" si="149"/>
        <v>69.660903052386217</v>
      </c>
      <c r="CW143" s="20">
        <f t="shared" si="121"/>
        <v>631.25263281623893</v>
      </c>
      <c r="CX143" s="59">
        <f t="shared" si="122"/>
        <v>917.29675408910271</v>
      </c>
      <c r="CY143" s="59">
        <f ca="1">AVERAGE(OFFSET($CX$3,0,0,'Données projet'!$E$13+1,1))-AVERAGE(OFFSET($H$3,0,0,'Données projet'!$E$13+1,1))</f>
        <v>427.42918901489531</v>
      </c>
      <c r="CZ143" s="59">
        <f t="shared" si="150"/>
        <v>410.68601510655412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18.78277240444903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18.78277240444903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19.8100000000004</v>
      </c>
      <c r="DP143" s="17">
        <f>DO143*VLOOKUP('Données projet'!$B$14,Paramètres!$A$1:$I$89,3,0)*VLOOKUP('Données projet'!$B$14,Paramètres!$A$1:$I$89,5,0)</f>
        <v>19.160232000000388</v>
      </c>
      <c r="DQ143" s="13">
        <f t="shared" si="151"/>
        <v>6.2615431735370342</v>
      </c>
      <c r="DR143" s="20">
        <f t="shared" si="124"/>
        <v>44.27625842724435</v>
      </c>
      <c r="DS143" s="59">
        <f t="shared" si="125"/>
        <v>330.32037970010811</v>
      </c>
      <c r="DT143" s="59">
        <f ca="1">AVERAGE(OFFSET($DS$3,0,0,'Données projet'!$E$14+1,1))-AVERAGE(OFFSET($H$3,0,0,'Données projet'!$E$14+1,1))</f>
        <v>598.03945725240396</v>
      </c>
      <c r="DU143" s="59">
        <f t="shared" si="152"/>
        <v>313.9014686755695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247.83671578858184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247.83671578858184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19.8100000000004</v>
      </c>
      <c r="EK143" s="17">
        <f>EJ143*VLOOKUP('Données projet'!$B$15,Paramètres!$A$1:$I$89,3,0)*VLOOKUP('Données projet'!$B$15,Paramètres!$A$1:$I$89,5,0)</f>
        <v>13.288548000000269</v>
      </c>
      <c r="EL143" s="13">
        <f t="shared" si="153"/>
        <v>4.531654695205642</v>
      </c>
      <c r="EM143" s="20">
        <f t="shared" si="127"/>
        <v>31.036853027483627</v>
      </c>
      <c r="EN143" s="59">
        <f t="shared" si="128"/>
        <v>317.08097430034741</v>
      </c>
      <c r="EO143" s="59">
        <f ca="1">AVERAGE(OFFSET($EN$3,0,0,'Données projet'!$E$15+1,1))-AVERAGE(OFFSET($H$3,0,0,'Données projet'!$E$15+1,1))</f>
        <v>438.27475674276604</v>
      </c>
      <c r="EP143" s="59">
        <f t="shared" si="154"/>
        <v>235.97720136798864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211.86041833540065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211.86041833540065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5.2499999999990337</v>
      </c>
      <c r="FF143" s="17">
        <f>FE143*VLOOKUP('Données projet'!$B$16,Paramètres!$A$1:$I$89,3,0)*VLOOKUP('Données projet'!$B$16,Paramètres!$A$1:$I$89,5,0)</f>
        <v>2.4569999999995478</v>
      </c>
      <c r="FG143" s="13">
        <f t="shared" si="155"/>
        <v>1.0197977774625564</v>
      </c>
      <c r="FH143" s="20">
        <f t="shared" si="130"/>
        <v>6.0554227957464972</v>
      </c>
      <c r="FI143" s="59">
        <f t="shared" si="131"/>
        <v>292.09954406861027</v>
      </c>
      <c r="FJ143" s="59">
        <f ca="1">AVERAGE(OFFSET($FI$3,0,0,'Données projet'!$E$16+1,1))-AVERAGE(OFFSET($H$3,0,0,'Données projet'!$E$16+1,1))</f>
        <v>329.49463758169588</v>
      </c>
      <c r="FK143" s="59">
        <f t="shared" si="156"/>
        <v>207.1447698203379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131.45633123466413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131.45633123466413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763.00000000000057</v>
      </c>
      <c r="GA143" s="17">
        <f>FZ143*VLOOKUP('Données projet'!$B$17,Paramètres!$A$1:$I$89,3,0)*VLOOKUP('Données projet'!$B$17,Paramètres!$A$1:$I$89,5,0)</f>
        <v>456.2740000000004</v>
      </c>
      <c r="GB143" s="13">
        <f t="shared" si="157"/>
        <v>103.09649786611838</v>
      </c>
      <c r="GC143" s="20">
        <f t="shared" si="133"/>
        <v>974.23695045015677</v>
      </c>
      <c r="GD143" s="59">
        <f t="shared" si="134"/>
        <v>1260.2810717230204</v>
      </c>
      <c r="GE143" s="59">
        <f ca="1">AVERAGE(OFFSET($GD$3,0,0,'Données projet'!$E$17+1,1))-AVERAGE(OFFSET($H$3,0,0,'Données projet'!$E$17+1,1))</f>
        <v>577.07444926285291</v>
      </c>
      <c r="GF143" s="59">
        <f t="shared" si="158"/>
        <v>501.3762209070419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32.432378866167738</v>
      </c>
      <c r="GM143" s="21">
        <f>EXP(-LN(2)/25)*GM142+(1-EXP(-LN(2)/25))/(LN(2)/25)*Calculateur!GH143*Calculateur!GJ143*VLOOKUP('Données projet'!$B$17,Paramètres!$A$1:$I$89,3,0)*0.475*44/12</f>
        <v>3.0987581028084081</v>
      </c>
      <c r="GN143" s="21">
        <f>EXP(-LN(2)/2)*GN142+(1-EXP(-LN(2)/2))/(LN(2)/2)*GH143*GK143*VLOOKUP('Données projet'!$B$17,Paramètres!$A$1:$I$89,3,0)*0.475*44/12</f>
        <v>2.1801244670441609E-18</v>
      </c>
      <c r="GO143" s="21">
        <f t="shared" si="135"/>
        <v>35.531136968976149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68.012033074417388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-5.6843418860808015E-14</v>
      </c>
      <c r="GV143" s="17">
        <f>GU143*VLOOKUP('Données projet'!$B$18,Paramètres!$A$1:$I$89,3,0)*VLOOKUP('Données projet'!$B$18,Paramètres!$A$1:$I$89,5,0)</f>
        <v>-3.0061073630349716E-14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212.75657290802619</v>
      </c>
      <c r="HA143" s="59">
        <f t="shared" si="160"/>
        <v>411.47446316045978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8.7028074384488665</v>
      </c>
      <c r="HH143" s="21">
        <f>EXP(-LN(2)/25)*HH142+(1-EXP(-LN(2)/25))/(LN(2)/25)*Calculateur!HC143*Calculateur!HE143*VLOOKUP('Données projet'!$B$18,Paramètres!$A$1:$I$89,3,0)*0.475*44/12</f>
        <v>0.94318051464807595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9.6459879530969417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4.60745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16.893983333333335</v>
      </c>
      <c r="H144" s="66">
        <f t="shared" si="110"/>
        <v>189.09073333333333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327.66980301173101</v>
      </c>
      <c r="S144" s="59">
        <f ca="1">AVERAGE(OFFSET($R$3,0,0,'Données projet'!$E$9+1,1))-AVERAGE(OFFSET($H$3,0,0,'Données projet'!$E$9+1,1))</f>
        <v>564.49981446852132</v>
      </c>
      <c r="T144" s="59">
        <f t="shared" si="142"/>
        <v>297.54722913785406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19.8100000000004</v>
      </c>
      <c r="AJ144" s="13">
        <f>AI144*VLOOKUP('Données projet'!$B$10,Paramètres!$A$1:$I$89,3,0)*VLOOKUP('Données projet'!$B$10,Paramètres!$A$1:$I$89,5,0)</f>
        <v>20.08734000000041</v>
      </c>
      <c r="AK144" s="13">
        <f t="shared" si="143"/>
        <v>6.5285137703520215</v>
      </c>
      <c r="AL144" s="20">
        <f t="shared" si="112"/>
        <v>46.355945316697152</v>
      </c>
      <c r="AM144" s="59">
        <f t="shared" si="113"/>
        <v>332.52651812257324</v>
      </c>
      <c r="AN144" s="59">
        <f ca="1">AVERAGE(OFFSET($AM$3,0,0,'Données projet'!$E$10+1,1))-AVERAGE(OFFSET($H$3,0,0,'Données projet'!$E$10+1,1))</f>
        <v>623.16549611107564</v>
      </c>
      <c r="AO144" s="59">
        <f t="shared" si="144"/>
        <v>326.15178903425885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254.73373035860445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254.73373035860445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266.99999999999983</v>
      </c>
      <c r="BE144" s="13">
        <f>BD144*VLOOKUP('Données projet'!$B$11,Paramètres!$A$1:$I$89,3,0)*VLOOKUP('Données projet'!$B$11,Paramètres!$A$1:$I$89,5,0)</f>
        <v>216.59039999999987</v>
      </c>
      <c r="BF144" s="13">
        <f t="shared" si="145"/>
        <v>53.373153688190904</v>
      </c>
      <c r="BG144" s="20">
        <f t="shared" si="115"/>
        <v>470.18652267359886</v>
      </c>
      <c r="BH144" s="59">
        <f t="shared" si="116"/>
        <v>756.35709547947499</v>
      </c>
      <c r="BI144" s="59">
        <f ca="1">AVERAGE(OFFSET($BH$3,0,0,'Données projet'!$E$11+1,1))-AVERAGE(OFFSET($H$3,0,0,'Données projet'!$E$11+1,1))</f>
        <v>326.2912419133811</v>
      </c>
      <c r="BJ144" s="59">
        <f t="shared" si="146"/>
        <v>315.07976787459938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13.21716397631781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13.21716397631781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243</v>
      </c>
      <c r="BZ144" s="13">
        <f>BY144*VLOOKUP('Données projet'!$B$12,Paramètres!$A$1:$I$89,3,0)*VLOOKUP('Données projet'!$B$12,Paramètres!$A$1:$I$89,5,0)</f>
        <v>155.4228</v>
      </c>
      <c r="CA144" s="13">
        <f t="shared" si="147"/>
        <v>39.808377687614154</v>
      </c>
      <c r="CB144" s="20">
        <f t="shared" si="118"/>
        <v>340.02763447259463</v>
      </c>
      <c r="CC144" s="59">
        <f t="shared" si="119"/>
        <v>626.1982072784707</v>
      </c>
      <c r="CD144" s="59">
        <f ca="1">AVERAGE(OFFSET($CC$3,0,0,'Données projet'!$E$12+1,1))-AVERAGE(OFFSET($H$3,0,0,'Données projet'!$E$12+1,1))</f>
        <v>297.03992602744393</v>
      </c>
      <c r="CE144" s="59">
        <f t="shared" si="148"/>
        <v>265.2588848922893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18.24836605236931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18.24836605236931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367.99999999999972</v>
      </c>
      <c r="CU144" s="17">
        <f>CT144*VLOOKUP('Données projet'!$B$13,Paramètres!$A$1:$I$89,3,0)*VLOOKUP('Données projet'!$B$13,Paramètres!$A$1:$I$89,5,0)</f>
        <v>292.78079999999977</v>
      </c>
      <c r="CV144" s="13">
        <f t="shared" si="149"/>
        <v>69.660903052386217</v>
      </c>
      <c r="CW144" s="20">
        <f t="shared" si="121"/>
        <v>631.25263281623893</v>
      </c>
      <c r="CX144" s="59">
        <f t="shared" si="122"/>
        <v>917.42320562211501</v>
      </c>
      <c r="CY144" s="59">
        <f ca="1">AVERAGE(OFFSET($CX$3,0,0,'Données projet'!$E$13+1,1))-AVERAGE(OFFSET($H$3,0,0,'Données projet'!$E$13+1,1))</f>
        <v>427.42918901489531</v>
      </c>
      <c r="CZ144" s="59">
        <f t="shared" si="150"/>
        <v>410.68601510655412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18.414453693957729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18.414453693957729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19.8100000000004</v>
      </c>
      <c r="DP144" s="17">
        <f>DO144*VLOOKUP('Données projet'!$B$14,Paramètres!$A$1:$I$89,3,0)*VLOOKUP('Données projet'!$B$14,Paramètres!$A$1:$I$89,5,0)</f>
        <v>19.160232000000388</v>
      </c>
      <c r="DQ144" s="13">
        <f t="shared" si="151"/>
        <v>6.2615431735370342</v>
      </c>
      <c r="DR144" s="20">
        <f t="shared" si="124"/>
        <v>44.27625842724435</v>
      </c>
      <c r="DS144" s="59">
        <f t="shared" si="125"/>
        <v>330.44683123312041</v>
      </c>
      <c r="DT144" s="59">
        <f ca="1">AVERAGE(OFFSET($DS$3,0,0,'Données projet'!$E$14+1,1))-AVERAGE(OFFSET($H$3,0,0,'Données projet'!$E$14+1,1))</f>
        <v>598.03945725240396</v>
      </c>
      <c r="DU144" s="59">
        <f t="shared" si="152"/>
        <v>313.9014686755695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242.97678895743803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242.97678895743803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19.8100000000004</v>
      </c>
      <c r="EK144" s="17">
        <f>EJ144*VLOOKUP('Données projet'!$B$15,Paramètres!$A$1:$I$89,3,0)*VLOOKUP('Données projet'!$B$15,Paramètres!$A$1:$I$89,5,0)</f>
        <v>13.288548000000269</v>
      </c>
      <c r="EL144" s="13">
        <f t="shared" si="153"/>
        <v>4.531654695205642</v>
      </c>
      <c r="EM144" s="20">
        <f t="shared" si="127"/>
        <v>31.036853027483627</v>
      </c>
      <c r="EN144" s="59">
        <f t="shared" si="128"/>
        <v>317.20742583335971</v>
      </c>
      <c r="EO144" s="59">
        <f ca="1">AVERAGE(OFFSET($EN$3,0,0,'Données projet'!$E$15+1,1))-AVERAGE(OFFSET($H$3,0,0,'Données projet'!$E$15+1,1))</f>
        <v>438.27475674276604</v>
      </c>
      <c r="EP144" s="59">
        <f t="shared" si="154"/>
        <v>235.97720136798864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207.70596475393901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207.70596475393901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5.2499999999990337</v>
      </c>
      <c r="FF144" s="17">
        <f>FE144*VLOOKUP('Données projet'!$B$16,Paramètres!$A$1:$I$89,3,0)*VLOOKUP('Données projet'!$B$16,Paramètres!$A$1:$I$89,5,0)</f>
        <v>2.4569999999995478</v>
      </c>
      <c r="FG144" s="13">
        <f t="shared" si="155"/>
        <v>1.0197977774625564</v>
      </c>
      <c r="FH144" s="20">
        <f t="shared" si="130"/>
        <v>6.0554227957464972</v>
      </c>
      <c r="FI144" s="59">
        <f t="shared" si="131"/>
        <v>292.22599560162257</v>
      </c>
      <c r="FJ144" s="59">
        <f ca="1">AVERAGE(OFFSET($FI$3,0,0,'Données projet'!$E$16+1,1))-AVERAGE(OFFSET($H$3,0,0,'Données projet'!$E$16+1,1))</f>
        <v>329.49463758169588</v>
      </c>
      <c r="FK144" s="59">
        <f t="shared" si="156"/>
        <v>207.1447698203379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128.87855275959726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128.87855275959726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763.00000000000057</v>
      </c>
      <c r="GA144" s="17">
        <f>FZ144*VLOOKUP('Données projet'!$B$17,Paramètres!$A$1:$I$89,3,0)*VLOOKUP('Données projet'!$B$17,Paramètres!$A$1:$I$89,5,0)</f>
        <v>456.2740000000004</v>
      </c>
      <c r="GB144" s="13">
        <f t="shared" si="157"/>
        <v>103.09649786611838</v>
      </c>
      <c r="GC144" s="20">
        <f t="shared" si="133"/>
        <v>974.23695045015677</v>
      </c>
      <c r="GD144" s="59">
        <f t="shared" si="134"/>
        <v>1260.4075232560328</v>
      </c>
      <c r="GE144" s="59">
        <f ca="1">AVERAGE(OFFSET($GD$3,0,0,'Données projet'!$E$17+1,1))-AVERAGE(OFFSET($H$3,0,0,'Données projet'!$E$17+1,1))</f>
        <v>577.07444926285291</v>
      </c>
      <c r="GF144" s="59">
        <f t="shared" si="158"/>
        <v>501.3762209070419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31.796399698400005</v>
      </c>
      <c r="GM144" s="21">
        <f>EXP(-LN(2)/25)*GM143+(1-EXP(-LN(2)/25))/(LN(2)/25)*Calculateur!GH144*Calculateur!GJ144*VLOOKUP('Données projet'!$B$17,Paramètres!$A$1:$I$89,3,0)*0.475*44/12</f>
        <v>3.0140223995305058</v>
      </c>
      <c r="GN144" s="21">
        <f>EXP(-LN(2)/2)*GN143+(1-EXP(-LN(2)/2))/(LN(2)/2)*GH144*GK144*VLOOKUP('Données projet'!$B$17,Paramètres!$A$1:$I$89,3,0)*0.475*44/12</f>
        <v>1.541580794477634E-18</v>
      </c>
      <c r="GO144" s="21">
        <f t="shared" si="135"/>
        <v>34.810422097930513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68.046519856148024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-5.6843418860808015E-14</v>
      </c>
      <c r="GV144" s="17">
        <f>GU144*VLOOKUP('Données projet'!$B$18,Paramètres!$A$1:$I$89,3,0)*VLOOKUP('Données projet'!$B$18,Paramètres!$A$1:$I$89,5,0)</f>
        <v>-3.0061073630349716E-14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212.75657290802619</v>
      </c>
      <c r="HA144" s="59">
        <f t="shared" si="160"/>
        <v>411.47446316045978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8.5321506927692816</v>
      </c>
      <c r="HH144" s="21">
        <f>EXP(-LN(2)/25)*HH143+(1-EXP(-LN(2)/25))/(LN(2)/25)*Calculateur!HC144*Calculateur!HE144*VLOOKUP('Données projet'!$B$18,Paramètres!$A$1:$I$89,3,0)*0.475*44/12</f>
        <v>0.9173891938753167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9.4495398866445974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4.60745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16.893983333333335</v>
      </c>
      <c r="H145" s="66">
        <f t="shared" si="110"/>
        <v>189.09073333333333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327.7940608933489</v>
      </c>
      <c r="S145" s="59">
        <f ca="1">AVERAGE(OFFSET($R$3,0,0,'Données projet'!$E$9+1,1))-AVERAGE(OFFSET($H$3,0,0,'Données projet'!$E$9+1,1))</f>
        <v>564.49981446852132</v>
      </c>
      <c r="T145" s="59">
        <f t="shared" si="142"/>
        <v>297.54722913785406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19.8100000000004</v>
      </c>
      <c r="AJ145" s="13">
        <f>AI145*VLOOKUP('Données projet'!$B$10,Paramètres!$A$1:$I$89,3,0)*VLOOKUP('Données projet'!$B$10,Paramètres!$A$1:$I$89,5,0)</f>
        <v>20.08734000000041</v>
      </c>
      <c r="AK145" s="13">
        <f t="shared" si="143"/>
        <v>6.5285137703520215</v>
      </c>
      <c r="AL145" s="20">
        <f t="shared" si="112"/>
        <v>46.355945316697152</v>
      </c>
      <c r="AM145" s="59">
        <f t="shared" si="113"/>
        <v>332.65077600419113</v>
      </c>
      <c r="AN145" s="59">
        <f ca="1">AVERAGE(OFFSET($AM$3,0,0,'Données projet'!$E$10+1,1))-AVERAGE(OFFSET($H$3,0,0,'Données projet'!$E$10+1,1))</f>
        <v>623.16549611107564</v>
      </c>
      <c r="AO145" s="59">
        <f t="shared" si="144"/>
        <v>326.15178903425885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249.73855727850599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249.73855727850599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266.99999999999983</v>
      </c>
      <c r="BE145" s="13">
        <f>BD145*VLOOKUP('Données projet'!$B$11,Paramètres!$A$1:$I$89,3,0)*VLOOKUP('Données projet'!$B$11,Paramètres!$A$1:$I$89,5,0)</f>
        <v>216.59039999999987</v>
      </c>
      <c r="BF145" s="13">
        <f t="shared" si="145"/>
        <v>53.373153688190904</v>
      </c>
      <c r="BG145" s="20">
        <f t="shared" si="115"/>
        <v>470.18652267359886</v>
      </c>
      <c r="BH145" s="59">
        <f t="shared" si="116"/>
        <v>756.48135336109283</v>
      </c>
      <c r="BI145" s="59">
        <f ca="1">AVERAGE(OFFSET($BH$3,0,0,'Données projet'!$E$11+1,1))-AVERAGE(OFFSET($H$3,0,0,'Données projet'!$E$11+1,1))</f>
        <v>326.2912419133811</v>
      </c>
      <c r="BJ145" s="59">
        <f t="shared" si="146"/>
        <v>315.07976787459938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12.957983452416219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12.957983452416219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243</v>
      </c>
      <c r="BZ145" s="13">
        <f>BY145*VLOOKUP('Données projet'!$B$12,Paramètres!$A$1:$I$89,3,0)*VLOOKUP('Données projet'!$B$12,Paramètres!$A$1:$I$89,5,0)</f>
        <v>155.4228</v>
      </c>
      <c r="CA145" s="13">
        <f t="shared" si="147"/>
        <v>39.808377687614154</v>
      </c>
      <c r="CB145" s="20">
        <f t="shared" si="118"/>
        <v>340.02763447259463</v>
      </c>
      <c r="CC145" s="59">
        <f t="shared" si="119"/>
        <v>626.32246516008854</v>
      </c>
      <c r="CD145" s="59">
        <f ca="1">AVERAGE(OFFSET($CC$3,0,0,'Données projet'!$E$12+1,1))-AVERAGE(OFFSET($H$3,0,0,'Données projet'!$E$12+1,1))</f>
        <v>297.03992602744393</v>
      </c>
      <c r="CE145" s="59">
        <f t="shared" si="148"/>
        <v>265.2588848922893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17.890526724486602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17.890526724486602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367.99999999999972</v>
      </c>
      <c r="CU145" s="17">
        <f>CT145*VLOOKUP('Données projet'!$B$13,Paramètres!$A$1:$I$89,3,0)*VLOOKUP('Données projet'!$B$13,Paramètres!$A$1:$I$89,5,0)</f>
        <v>292.78079999999977</v>
      </c>
      <c r="CV145" s="13">
        <f t="shared" si="149"/>
        <v>69.660903052386217</v>
      </c>
      <c r="CW145" s="20">
        <f t="shared" si="121"/>
        <v>631.25263281623893</v>
      </c>
      <c r="CX145" s="59">
        <f t="shared" si="122"/>
        <v>917.54746350373284</v>
      </c>
      <c r="CY145" s="59">
        <f ca="1">AVERAGE(OFFSET($CX$3,0,0,'Données projet'!$E$13+1,1))-AVERAGE(OFFSET($H$3,0,0,'Données projet'!$E$13+1,1))</f>
        <v>427.42918901489531</v>
      </c>
      <c r="CZ145" s="59">
        <f t="shared" si="150"/>
        <v>410.68601510655412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18.053357488726931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18.053357488726931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19.8100000000004</v>
      </c>
      <c r="DP145" s="17">
        <f>DO145*VLOOKUP('Données projet'!$B$14,Paramètres!$A$1:$I$89,3,0)*VLOOKUP('Données projet'!$B$14,Paramètres!$A$1:$I$89,5,0)</f>
        <v>19.160232000000388</v>
      </c>
      <c r="DQ145" s="13">
        <f t="shared" si="151"/>
        <v>6.2615431735370342</v>
      </c>
      <c r="DR145" s="20">
        <f t="shared" si="124"/>
        <v>44.27625842724435</v>
      </c>
      <c r="DS145" s="59">
        <f t="shared" si="125"/>
        <v>330.5710891147383</v>
      </c>
      <c r="DT145" s="59">
        <f ca="1">AVERAGE(OFFSET($DS$3,0,0,'Données projet'!$E$14+1,1))-AVERAGE(OFFSET($H$3,0,0,'Données projet'!$E$14+1,1))</f>
        <v>598.03945725240396</v>
      </c>
      <c r="DU145" s="59">
        <f t="shared" si="152"/>
        <v>313.9014686755695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238.21216232719027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238.21216232719027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19.8100000000004</v>
      </c>
      <c r="EK145" s="17">
        <f>EJ145*VLOOKUP('Données projet'!$B$15,Paramètres!$A$1:$I$89,3,0)*VLOOKUP('Données projet'!$B$15,Paramètres!$A$1:$I$89,5,0)</f>
        <v>13.288548000000269</v>
      </c>
      <c r="EL145" s="13">
        <f t="shared" si="153"/>
        <v>4.531654695205642</v>
      </c>
      <c r="EM145" s="20">
        <f t="shared" si="127"/>
        <v>31.036853027483627</v>
      </c>
      <c r="EN145" s="59">
        <f t="shared" si="128"/>
        <v>317.3316837149776</v>
      </c>
      <c r="EO145" s="59">
        <f ca="1">AVERAGE(OFFSET($EN$3,0,0,'Données projet'!$E$15+1,1))-AVERAGE(OFFSET($H$3,0,0,'Données projet'!$E$15+1,1))</f>
        <v>438.27475674276604</v>
      </c>
      <c r="EP145" s="59">
        <f t="shared" si="154"/>
        <v>235.97720136798864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203.63297747324336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203.63297747324336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5.2499999999990337</v>
      </c>
      <c r="FF145" s="17">
        <f>FE145*VLOOKUP('Données projet'!$B$16,Paramètres!$A$1:$I$89,3,0)*VLOOKUP('Données projet'!$B$16,Paramètres!$A$1:$I$89,5,0)</f>
        <v>2.4569999999995478</v>
      </c>
      <c r="FG145" s="13">
        <f t="shared" si="155"/>
        <v>1.0197977774625564</v>
      </c>
      <c r="FH145" s="20">
        <f t="shared" si="130"/>
        <v>6.0554227957464972</v>
      </c>
      <c r="FI145" s="59">
        <f t="shared" si="131"/>
        <v>292.35025348324046</v>
      </c>
      <c r="FJ145" s="59">
        <f ca="1">AVERAGE(OFFSET($FI$3,0,0,'Données projet'!$E$16+1,1))-AVERAGE(OFFSET($H$3,0,0,'Données projet'!$E$16+1,1))</f>
        <v>329.49463758169588</v>
      </c>
      <c r="FK145" s="59">
        <f t="shared" si="156"/>
        <v>207.1447698203379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126.35132294813683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126.35132294813683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763.00000000000057</v>
      </c>
      <c r="GA145" s="17">
        <f>FZ145*VLOOKUP('Données projet'!$B$17,Paramètres!$A$1:$I$89,3,0)*VLOOKUP('Données projet'!$B$17,Paramètres!$A$1:$I$89,5,0)</f>
        <v>456.2740000000004</v>
      </c>
      <c r="GB145" s="13">
        <f t="shared" si="157"/>
        <v>103.09649786611838</v>
      </c>
      <c r="GC145" s="20">
        <f t="shared" si="133"/>
        <v>974.23695045015677</v>
      </c>
      <c r="GD145" s="59">
        <f t="shared" si="134"/>
        <v>1260.5317811376508</v>
      </c>
      <c r="GE145" s="59">
        <f ca="1">AVERAGE(OFFSET($GD$3,0,0,'Données projet'!$E$17+1,1))-AVERAGE(OFFSET($H$3,0,0,'Données projet'!$E$17+1,1))</f>
        <v>577.07444926285291</v>
      </c>
      <c r="GF145" s="59">
        <f t="shared" si="158"/>
        <v>501.3762209070419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31.172891694203209</v>
      </c>
      <c r="GM145" s="21">
        <f>EXP(-LN(2)/25)*GM144+(1-EXP(-LN(2)/25))/(LN(2)/25)*Calculateur!GH145*Calculateur!GJ145*VLOOKUP('Données projet'!$B$17,Paramètres!$A$1:$I$89,3,0)*0.475*44/12</f>
        <v>2.9316037985147947</v>
      </c>
      <c r="GN145" s="21">
        <f>EXP(-LN(2)/2)*GN144+(1-EXP(-LN(2)/2))/(LN(2)/2)*GH145*GK145*VLOOKUP('Données projet'!$B$17,Paramètres!$A$1:$I$89,3,0)*0.475*44/12</f>
        <v>1.0900622335220805E-18</v>
      </c>
      <c r="GO145" s="21">
        <f t="shared" si="135"/>
        <v>34.104495492718002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68.08040836931653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-5.6843418860808015E-14</v>
      </c>
      <c r="GV145" s="17">
        <f>GU145*VLOOKUP('Données projet'!$B$18,Paramètres!$A$1:$I$89,3,0)*VLOOKUP('Données projet'!$B$18,Paramètres!$A$1:$I$89,5,0)</f>
        <v>-3.0061073630349716E-14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212.75657290802619</v>
      </c>
      <c r="HA145" s="59">
        <f t="shared" si="160"/>
        <v>411.47446316045978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8.3648404217821373</v>
      </c>
      <c r="HH145" s="21">
        <f>EXP(-LN(2)/25)*HH144+(1-EXP(-LN(2)/25))/(LN(2)/25)*Calculateur!HC145*Calculateur!HE145*VLOOKUP('Données projet'!$B$18,Paramètres!$A$1:$I$89,3,0)*0.475*44/12</f>
        <v>0.89230313812539519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9.2571435599075329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4.60745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16.893983333333335</v>
      </c>
      <c r="H146" s="66">
        <f t="shared" si="110"/>
        <v>189.09073333333333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327.91616317851964</v>
      </c>
      <c r="S146" s="59">
        <f ca="1">AVERAGE(OFFSET($R$3,0,0,'Données projet'!$E$9+1,1))-AVERAGE(OFFSET($H$3,0,0,'Données projet'!$E$9+1,1))</f>
        <v>564.49981446852132</v>
      </c>
      <c r="T146" s="59">
        <f t="shared" si="142"/>
        <v>297.54722913785406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19.8100000000004</v>
      </c>
      <c r="AJ146" s="13">
        <f>AI146*VLOOKUP('Données projet'!$B$10,Paramètres!$A$1:$I$89,3,0)*VLOOKUP('Données projet'!$B$10,Paramètres!$A$1:$I$89,5,0)</f>
        <v>20.08734000000041</v>
      </c>
      <c r="AK146" s="13">
        <f t="shared" si="143"/>
        <v>6.5285137703520215</v>
      </c>
      <c r="AL146" s="20">
        <f t="shared" si="112"/>
        <v>46.355945316697152</v>
      </c>
      <c r="AM146" s="59">
        <f t="shared" si="113"/>
        <v>332.77287828936187</v>
      </c>
      <c r="AN146" s="59">
        <f ca="1">AVERAGE(OFFSET($AM$3,0,0,'Données projet'!$E$10+1,1))-AVERAGE(OFFSET($H$3,0,0,'Données projet'!$E$10+1,1))</f>
        <v>623.16549611107564</v>
      </c>
      <c r="AO146" s="59">
        <f t="shared" si="144"/>
        <v>326.15178903425885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244.84133649575355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244.84133649575355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266.99999999999983</v>
      </c>
      <c r="BE146" s="13">
        <f>BD146*VLOOKUP('Données projet'!$B$11,Paramètres!$A$1:$I$89,3,0)*VLOOKUP('Données projet'!$B$11,Paramètres!$A$1:$I$89,5,0)</f>
        <v>216.59039999999987</v>
      </c>
      <c r="BF146" s="13">
        <f t="shared" si="145"/>
        <v>53.373153688190904</v>
      </c>
      <c r="BG146" s="20">
        <f t="shared" si="115"/>
        <v>470.18652267359886</v>
      </c>
      <c r="BH146" s="59">
        <f t="shared" si="116"/>
        <v>756.60345564626357</v>
      </c>
      <c r="BI146" s="59">
        <f ca="1">AVERAGE(OFFSET($BH$3,0,0,'Données projet'!$E$11+1,1))-AVERAGE(OFFSET($H$3,0,0,'Données projet'!$E$11+1,1))</f>
        <v>326.2912419133811</v>
      </c>
      <c r="BJ146" s="59">
        <f t="shared" si="146"/>
        <v>315.07976787459938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12.703885300503828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12.703885300503828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243</v>
      </c>
      <c r="BZ146" s="13">
        <f>BY146*VLOOKUP('Données projet'!$B$12,Paramètres!$A$1:$I$89,3,0)*VLOOKUP('Données projet'!$B$12,Paramètres!$A$1:$I$89,5,0)</f>
        <v>155.4228</v>
      </c>
      <c r="CA146" s="13">
        <f t="shared" si="147"/>
        <v>39.808377687614154</v>
      </c>
      <c r="CB146" s="20">
        <f t="shared" si="118"/>
        <v>340.02763447259463</v>
      </c>
      <c r="CC146" s="59">
        <f t="shared" si="119"/>
        <v>626.44456744525928</v>
      </c>
      <c r="CD146" s="59">
        <f ca="1">AVERAGE(OFFSET($CC$3,0,0,'Données projet'!$E$12+1,1))-AVERAGE(OFFSET($H$3,0,0,'Données projet'!$E$12+1,1))</f>
        <v>297.03992602744393</v>
      </c>
      <c r="CE146" s="59">
        <f t="shared" si="148"/>
        <v>265.2588848922893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17.539704407563235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17.539704407563235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367.99999999999972</v>
      </c>
      <c r="CU146" s="17">
        <f>CT146*VLOOKUP('Données projet'!$B$13,Paramètres!$A$1:$I$89,3,0)*VLOOKUP('Données projet'!$B$13,Paramètres!$A$1:$I$89,5,0)</f>
        <v>292.78079999999977</v>
      </c>
      <c r="CV146" s="13">
        <f t="shared" si="149"/>
        <v>69.660903052386217</v>
      </c>
      <c r="CW146" s="20">
        <f t="shared" si="121"/>
        <v>631.25263281623893</v>
      </c>
      <c r="CX146" s="59">
        <f t="shared" si="122"/>
        <v>917.66956578890358</v>
      </c>
      <c r="CY146" s="59">
        <f ca="1">AVERAGE(OFFSET($CX$3,0,0,'Données projet'!$E$13+1,1))-AVERAGE(OFFSET($H$3,0,0,'Données projet'!$E$13+1,1))</f>
        <v>427.42918901489531</v>
      </c>
      <c r="CZ146" s="59">
        <f t="shared" si="150"/>
        <v>410.68601510655412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17.699342159833773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17.699342159833773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19.8100000000004</v>
      </c>
      <c r="DP146" s="17">
        <f>DO146*VLOOKUP('Données projet'!$B$14,Paramètres!$A$1:$I$89,3,0)*VLOOKUP('Données projet'!$B$14,Paramètres!$A$1:$I$89,5,0)</f>
        <v>19.160232000000388</v>
      </c>
      <c r="DQ146" s="13">
        <f t="shared" si="151"/>
        <v>6.2615431735370342</v>
      </c>
      <c r="DR146" s="20">
        <f t="shared" si="124"/>
        <v>44.27625842724435</v>
      </c>
      <c r="DS146" s="59">
        <f t="shared" si="125"/>
        <v>330.69319139990904</v>
      </c>
      <c r="DT146" s="59">
        <f ca="1">AVERAGE(OFFSET($DS$3,0,0,'Données projet'!$E$14+1,1))-AVERAGE(OFFSET($H$3,0,0,'Données projet'!$E$14+1,1))</f>
        <v>598.03945725240396</v>
      </c>
      <c r="DU146" s="59">
        <f t="shared" si="152"/>
        <v>313.9014686755695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233.54096711902639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233.54096711902639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19.8100000000004</v>
      </c>
      <c r="EK146" s="17">
        <f>EJ146*VLOOKUP('Données projet'!$B$15,Paramètres!$A$1:$I$89,3,0)*VLOOKUP('Données projet'!$B$15,Paramètres!$A$1:$I$89,5,0)</f>
        <v>13.288548000000269</v>
      </c>
      <c r="EL146" s="13">
        <f t="shared" si="153"/>
        <v>4.531654695205642</v>
      </c>
      <c r="EM146" s="20">
        <f t="shared" si="127"/>
        <v>31.036853027483627</v>
      </c>
      <c r="EN146" s="59">
        <f t="shared" si="128"/>
        <v>317.45378600014834</v>
      </c>
      <c r="EO146" s="59">
        <f ca="1">AVERAGE(OFFSET($EN$3,0,0,'Données projet'!$E$15+1,1))-AVERAGE(OFFSET($H$3,0,0,'Données projet'!$E$15+1,1))</f>
        <v>438.27475674276604</v>
      </c>
      <c r="EP146" s="59">
        <f t="shared" si="154"/>
        <v>235.97720136798864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199.63985898884519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199.63985898884519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5.2499999999990337</v>
      </c>
      <c r="FF146" s="17">
        <f>FE146*VLOOKUP('Données projet'!$B$16,Paramètres!$A$1:$I$89,3,0)*VLOOKUP('Données projet'!$B$16,Paramètres!$A$1:$I$89,5,0)</f>
        <v>2.4569999999995478</v>
      </c>
      <c r="FG146" s="13">
        <f t="shared" si="155"/>
        <v>1.0197977774625564</v>
      </c>
      <c r="FH146" s="20">
        <f t="shared" si="130"/>
        <v>6.0554227957464972</v>
      </c>
      <c r="FI146" s="59">
        <f t="shared" si="131"/>
        <v>292.47235576841121</v>
      </c>
      <c r="FJ146" s="59">
        <f ca="1">AVERAGE(OFFSET($FI$3,0,0,'Données projet'!$E$16+1,1))-AVERAGE(OFFSET($H$3,0,0,'Données projet'!$E$16+1,1))</f>
        <v>329.49463758169588</v>
      </c>
      <c r="FK146" s="59">
        <f t="shared" si="156"/>
        <v>207.1447698203379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123.87365057182116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123.87365057182116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763.00000000000057</v>
      </c>
      <c r="GA146" s="17">
        <f>FZ146*VLOOKUP('Données projet'!$B$17,Paramètres!$A$1:$I$89,3,0)*VLOOKUP('Données projet'!$B$17,Paramètres!$A$1:$I$89,5,0)</f>
        <v>456.2740000000004</v>
      </c>
      <c r="GB146" s="13">
        <f t="shared" si="157"/>
        <v>103.09649786611838</v>
      </c>
      <c r="GC146" s="20">
        <f t="shared" si="133"/>
        <v>974.23695045015677</v>
      </c>
      <c r="GD146" s="59">
        <f t="shared" si="134"/>
        <v>1260.6538834228215</v>
      </c>
      <c r="GE146" s="59">
        <f ca="1">AVERAGE(OFFSET($GD$3,0,0,'Données projet'!$E$17+1,1))-AVERAGE(OFFSET($H$3,0,0,'Données projet'!$E$17+1,1))</f>
        <v>577.07444926285291</v>
      </c>
      <c r="GF146" s="59">
        <f t="shared" si="158"/>
        <v>501.3762209070419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30.561610301666381</v>
      </c>
      <c r="GM146" s="21">
        <f>EXP(-LN(2)/25)*GM145+(1-EXP(-LN(2)/25))/(LN(2)/25)*Calculateur!GH146*Calculateur!GJ146*VLOOKUP('Données projet'!$B$17,Paramètres!$A$1:$I$89,3,0)*0.475*44/12</f>
        <v>2.8514389384780641</v>
      </c>
      <c r="GN146" s="21">
        <f>EXP(-LN(2)/2)*GN145+(1-EXP(-LN(2)/2))/(LN(2)/2)*GH146*GK146*VLOOKUP('Données projet'!$B$17,Paramètres!$A$1:$I$89,3,0)*0.475*44/12</f>
        <v>7.7079039723881702E-19</v>
      </c>
      <c r="GO146" s="21">
        <f t="shared" si="135"/>
        <v>33.413049240144446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68.113708992544915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-5.6843418860808015E-14</v>
      </c>
      <c r="GV146" s="17">
        <f>GU146*VLOOKUP('Données projet'!$B$18,Paramètres!$A$1:$I$89,3,0)*VLOOKUP('Données projet'!$B$18,Paramètres!$A$1:$I$89,5,0)</f>
        <v>-3.0061073630349716E-14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212.75657290802619</v>
      </c>
      <c r="HA146" s="59">
        <f t="shared" si="160"/>
        <v>411.47446316045978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8.2008110031598616</v>
      </c>
      <c r="HH146" s="21">
        <f>EXP(-LN(2)/25)*HH145+(1-EXP(-LN(2)/25))/(LN(2)/25)*Calculateur!HC146*Calculateur!HE146*VLOOKUP('Données projet'!$B$18,Paramètres!$A$1:$I$89,3,0)*0.475*44/12</f>
        <v>0.86790306188917365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9.0687140650490345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4.60745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16.893983333333335</v>
      </c>
      <c r="H147" s="66">
        <f t="shared" si="110"/>
        <v>189.09073333333333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328.0361472620225</v>
      </c>
      <c r="S147" s="59">
        <f ca="1">AVERAGE(OFFSET($R$3,0,0,'Données projet'!$E$9+1,1))-AVERAGE(OFFSET($H$3,0,0,'Données projet'!$E$9+1,1))</f>
        <v>564.49981446852132</v>
      </c>
      <c r="T147" s="59">
        <f t="shared" si="142"/>
        <v>297.54722913785406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19.8100000000004</v>
      </c>
      <c r="AJ147" s="13">
        <f>AI147*VLOOKUP('Données projet'!$B$10,Paramètres!$A$1:$I$89,3,0)*VLOOKUP('Données projet'!$B$10,Paramètres!$A$1:$I$89,5,0)</f>
        <v>20.08734000000041</v>
      </c>
      <c r="AK147" s="13">
        <f t="shared" si="143"/>
        <v>6.5285137703520215</v>
      </c>
      <c r="AL147" s="20">
        <f t="shared" si="112"/>
        <v>46.355945316697152</v>
      </c>
      <c r="AM147" s="59">
        <f t="shared" si="113"/>
        <v>332.89286237286473</v>
      </c>
      <c r="AN147" s="59">
        <f ca="1">AVERAGE(OFFSET($AM$3,0,0,'Données projet'!$E$10+1,1))-AVERAGE(OFFSET($H$3,0,0,'Données projet'!$E$10+1,1))</f>
        <v>623.16549611107564</v>
      </c>
      <c r="AO147" s="59">
        <f t="shared" si="144"/>
        <v>326.15178903425885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240.04014722554115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240.04014722554115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266.99999999999983</v>
      </c>
      <c r="BE147" s="13">
        <f>BD147*VLOOKUP('Données projet'!$B$11,Paramètres!$A$1:$I$89,3,0)*VLOOKUP('Données projet'!$B$11,Paramètres!$A$1:$I$89,5,0)</f>
        <v>216.59039999999987</v>
      </c>
      <c r="BF147" s="13">
        <f t="shared" si="145"/>
        <v>53.373153688190904</v>
      </c>
      <c r="BG147" s="20">
        <f t="shared" si="115"/>
        <v>470.18652267359886</v>
      </c>
      <c r="BH147" s="59">
        <f t="shared" si="116"/>
        <v>756.72343972976637</v>
      </c>
      <c r="BI147" s="59">
        <f ca="1">AVERAGE(OFFSET($BH$3,0,0,'Données projet'!$E$11+1,1))-AVERAGE(OFFSET($H$3,0,0,'Données projet'!$E$11+1,1))</f>
        <v>326.2912419133811</v>
      </c>
      <c r="BJ147" s="59">
        <f t="shared" si="146"/>
        <v>315.07976787459938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12.45476985836587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12.45476985836587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243</v>
      </c>
      <c r="BZ147" s="13">
        <f>BY147*VLOOKUP('Données projet'!$B$12,Paramètres!$A$1:$I$89,3,0)*VLOOKUP('Données projet'!$B$12,Paramètres!$A$1:$I$89,5,0)</f>
        <v>155.4228</v>
      </c>
      <c r="CA147" s="13">
        <f t="shared" si="147"/>
        <v>39.808377687614154</v>
      </c>
      <c r="CB147" s="20">
        <f t="shared" si="118"/>
        <v>340.02763447259463</v>
      </c>
      <c r="CC147" s="59">
        <f t="shared" si="119"/>
        <v>626.56455152876219</v>
      </c>
      <c r="CD147" s="59">
        <f ca="1">AVERAGE(OFFSET($CC$3,0,0,'Données projet'!$E$12+1,1))-AVERAGE(OFFSET($H$3,0,0,'Données projet'!$E$12+1,1))</f>
        <v>297.03992602744393</v>
      </c>
      <c r="CE147" s="59">
        <f t="shared" si="148"/>
        <v>265.2588848922893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17.195761502294253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17.195761502294253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367.99999999999972</v>
      </c>
      <c r="CU147" s="17">
        <f>CT147*VLOOKUP('Données projet'!$B$13,Paramètres!$A$1:$I$89,3,0)*VLOOKUP('Données projet'!$B$13,Paramètres!$A$1:$I$89,5,0)</f>
        <v>292.78079999999977</v>
      </c>
      <c r="CV147" s="13">
        <f t="shared" si="149"/>
        <v>69.660903052386217</v>
      </c>
      <c r="CW147" s="20">
        <f t="shared" si="121"/>
        <v>631.25263281623893</v>
      </c>
      <c r="CX147" s="59">
        <f t="shared" si="122"/>
        <v>917.7895498724065</v>
      </c>
      <c r="CY147" s="59">
        <f ca="1">AVERAGE(OFFSET($CX$3,0,0,'Données projet'!$E$13+1,1))-AVERAGE(OFFSET($H$3,0,0,'Données projet'!$E$13+1,1))</f>
        <v>427.42918901489531</v>
      </c>
      <c r="CZ147" s="59">
        <f t="shared" si="150"/>
        <v>410.68601510655412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17.352268855612181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17.352268855612181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19.8100000000004</v>
      </c>
      <c r="DP147" s="17">
        <f>DO147*VLOOKUP('Données projet'!$B$14,Paramètres!$A$1:$I$89,3,0)*VLOOKUP('Données projet'!$B$14,Paramètres!$A$1:$I$89,5,0)</f>
        <v>19.160232000000388</v>
      </c>
      <c r="DQ147" s="13">
        <f t="shared" si="151"/>
        <v>6.2615431735370342</v>
      </c>
      <c r="DR147" s="20">
        <f t="shared" si="124"/>
        <v>44.27625842724435</v>
      </c>
      <c r="DS147" s="59">
        <f t="shared" si="125"/>
        <v>330.8131754834119</v>
      </c>
      <c r="DT147" s="59">
        <f ca="1">AVERAGE(OFFSET($DS$3,0,0,'Données projet'!$E$14+1,1))-AVERAGE(OFFSET($H$3,0,0,'Données projet'!$E$14+1,1))</f>
        <v>598.03945725240396</v>
      </c>
      <c r="DU147" s="59">
        <f t="shared" si="152"/>
        <v>313.9014686755695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228.96137119974685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228.96137119974685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19.8100000000004</v>
      </c>
      <c r="EK147" s="17">
        <f>EJ147*VLOOKUP('Données projet'!$B$15,Paramètres!$A$1:$I$89,3,0)*VLOOKUP('Données projet'!$B$15,Paramètres!$A$1:$I$89,5,0)</f>
        <v>13.288548000000269</v>
      </c>
      <c r="EL147" s="13">
        <f t="shared" si="153"/>
        <v>4.531654695205642</v>
      </c>
      <c r="EM147" s="20">
        <f t="shared" si="127"/>
        <v>31.036853027483627</v>
      </c>
      <c r="EN147" s="59">
        <f t="shared" si="128"/>
        <v>317.5737700836512</v>
      </c>
      <c r="EO147" s="59">
        <f ca="1">AVERAGE(OFFSET($EN$3,0,0,'Données projet'!$E$15+1,1))-AVERAGE(OFFSET($H$3,0,0,'Données projet'!$E$15+1,1))</f>
        <v>438.27475674276604</v>
      </c>
      <c r="EP147" s="59">
        <f t="shared" si="154"/>
        <v>235.97720136798864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195.7250431223643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195.7250431223643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5.2499999999990337</v>
      </c>
      <c r="FF147" s="17">
        <f>FE147*VLOOKUP('Données projet'!$B$16,Paramètres!$A$1:$I$89,3,0)*VLOOKUP('Données projet'!$B$16,Paramètres!$A$1:$I$89,5,0)</f>
        <v>2.4569999999995478</v>
      </c>
      <c r="FG147" s="13">
        <f t="shared" si="155"/>
        <v>1.0197977774625564</v>
      </c>
      <c r="FH147" s="20">
        <f t="shared" si="130"/>
        <v>6.0554227957464972</v>
      </c>
      <c r="FI147" s="59">
        <f t="shared" si="131"/>
        <v>292.59233985191406</v>
      </c>
      <c r="FJ147" s="59">
        <f ca="1">AVERAGE(OFFSET($FI$3,0,0,'Données projet'!$E$16+1,1))-AVERAGE(OFFSET($H$3,0,0,'Données projet'!$E$16+1,1))</f>
        <v>329.49463758169588</v>
      </c>
      <c r="FK147" s="59">
        <f t="shared" si="156"/>
        <v>207.1447698203379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121.44456383957412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121.44456383957412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763.00000000000057</v>
      </c>
      <c r="GA147" s="17">
        <f>FZ147*VLOOKUP('Données projet'!$B$17,Paramètres!$A$1:$I$89,3,0)*VLOOKUP('Données projet'!$B$17,Paramètres!$A$1:$I$89,5,0)</f>
        <v>456.2740000000004</v>
      </c>
      <c r="GB147" s="13">
        <f t="shared" si="157"/>
        <v>103.09649786611838</v>
      </c>
      <c r="GC147" s="20">
        <f t="shared" si="133"/>
        <v>974.23695045015677</v>
      </c>
      <c r="GD147" s="59">
        <f t="shared" si="134"/>
        <v>1260.7738675063242</v>
      </c>
      <c r="GE147" s="59">
        <f ca="1">AVERAGE(OFFSET($GD$3,0,0,'Données projet'!$E$17+1,1))-AVERAGE(OFFSET($H$3,0,0,'Données projet'!$E$17+1,1))</f>
        <v>577.07444926285291</v>
      </c>
      <c r="GF147" s="59">
        <f t="shared" si="158"/>
        <v>501.3762209070419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29.962315764392368</v>
      </c>
      <c r="GM147" s="21">
        <f>EXP(-LN(2)/25)*GM146+(1-EXP(-LN(2)/25))/(LN(2)/25)*Calculateur!GH147*Calculateur!GJ147*VLOOKUP('Données projet'!$B$17,Paramètres!$A$1:$I$89,3,0)*0.475*44/12</f>
        <v>2.7734661907547249</v>
      </c>
      <c r="GN147" s="21">
        <f>EXP(-LN(2)/2)*GN146+(1-EXP(-LN(2)/2))/(LN(2)/2)*GH147*GK147*VLOOKUP('Données projet'!$B$17,Paramètres!$A$1:$I$89,3,0)*0.475*44/12</f>
        <v>5.4503111676104023E-19</v>
      </c>
      <c r="GO147" s="21">
        <f t="shared" si="135"/>
        <v>32.73578195514709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68.146431924409342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-5.6843418860808015E-14</v>
      </c>
      <c r="GV147" s="17">
        <f>GU147*VLOOKUP('Données projet'!$B$18,Paramètres!$A$1:$I$89,3,0)*VLOOKUP('Données projet'!$B$18,Paramètres!$A$1:$I$89,5,0)</f>
        <v>-3.0061073630349716E-14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212.75657290802619</v>
      </c>
      <c r="HA147" s="59">
        <f t="shared" si="160"/>
        <v>411.47446316045978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8.0399981013887025</v>
      </c>
      <c r="HH147" s="21">
        <f>EXP(-LN(2)/25)*HH146+(1-EXP(-LN(2)/25))/(LN(2)/25)*Calculateur!HC147*Calculateur!HE147*VLOOKUP('Données projet'!$B$18,Paramètres!$A$1:$I$89,3,0)*0.475*44/12</f>
        <v>0.84417020702077583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8.8841683084094782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4.60745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16.893983333333335</v>
      </c>
      <c r="H148" s="66">
        <f t="shared" si="110"/>
        <v>189.09073333333333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328.15404988992083</v>
      </c>
      <c r="S148" s="59">
        <f ca="1">AVERAGE(OFFSET($R$3,0,0,'Données projet'!$E$9+1,1))-AVERAGE(OFFSET($H$3,0,0,'Données projet'!$E$9+1,1))</f>
        <v>564.49981446852132</v>
      </c>
      <c r="T148" s="59">
        <f t="shared" si="142"/>
        <v>297.54722913785406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19.8100000000004</v>
      </c>
      <c r="AJ148" s="13">
        <f>AI148*VLOOKUP('Données projet'!$B$10,Paramètres!$A$1:$I$89,3,0)*VLOOKUP('Données projet'!$B$10,Paramètres!$A$1:$I$89,5,0)</f>
        <v>20.08734000000041</v>
      </c>
      <c r="AK148" s="13">
        <f t="shared" si="143"/>
        <v>6.5285137703520215</v>
      </c>
      <c r="AL148" s="20">
        <f t="shared" si="112"/>
        <v>46.355945316697152</v>
      </c>
      <c r="AM148" s="59">
        <f t="shared" si="113"/>
        <v>333.01076500076306</v>
      </c>
      <c r="AN148" s="59">
        <f ca="1">AVERAGE(OFFSET($AM$3,0,0,'Données projet'!$E$10+1,1))-AVERAGE(OFFSET($H$3,0,0,'Données projet'!$E$10+1,1))</f>
        <v>623.16549611107564</v>
      </c>
      <c r="AO148" s="59">
        <f t="shared" si="144"/>
        <v>326.15178903425885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235.33310634848129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235.33310634848129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266.99999999999983</v>
      </c>
      <c r="BE148" s="13">
        <f>BD148*VLOOKUP('Données projet'!$B$11,Paramètres!$A$1:$I$89,3,0)*VLOOKUP('Données projet'!$B$11,Paramètres!$A$1:$I$89,5,0)</f>
        <v>216.59039999999987</v>
      </c>
      <c r="BF148" s="13">
        <f t="shared" si="145"/>
        <v>53.373153688190904</v>
      </c>
      <c r="BG148" s="20">
        <f t="shared" si="115"/>
        <v>470.18652267359886</v>
      </c>
      <c r="BH148" s="59">
        <f t="shared" si="116"/>
        <v>756.84134235766476</v>
      </c>
      <c r="BI148" s="59">
        <f ca="1">AVERAGE(OFFSET($BH$3,0,0,'Données projet'!$E$11+1,1))-AVERAGE(OFFSET($H$3,0,0,'Données projet'!$E$11+1,1))</f>
        <v>326.2912419133811</v>
      </c>
      <c r="BJ148" s="59">
        <f t="shared" si="146"/>
        <v>315.07976787459938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12.210539418102821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12.210539418102821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243</v>
      </c>
      <c r="BZ148" s="13">
        <f>BY148*VLOOKUP('Données projet'!$B$12,Paramètres!$A$1:$I$89,3,0)*VLOOKUP('Données projet'!$B$12,Paramètres!$A$1:$I$89,5,0)</f>
        <v>155.4228</v>
      </c>
      <c r="CA148" s="13">
        <f t="shared" si="147"/>
        <v>39.808377687614154</v>
      </c>
      <c r="CB148" s="20">
        <f t="shared" si="118"/>
        <v>340.02763447259463</v>
      </c>
      <c r="CC148" s="59">
        <f t="shared" si="119"/>
        <v>626.68245415666047</v>
      </c>
      <c r="CD148" s="59">
        <f ca="1">AVERAGE(OFFSET($CC$3,0,0,'Données projet'!$E$12+1,1))-AVERAGE(OFFSET($H$3,0,0,'Données projet'!$E$12+1,1))</f>
        <v>297.03992602744393</v>
      </c>
      <c r="CE148" s="59">
        <f t="shared" si="148"/>
        <v>265.2588848922893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16.858563107613136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16.858563107613136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367.99999999999972</v>
      </c>
      <c r="CU148" s="17">
        <f>CT148*VLOOKUP('Données projet'!$B$13,Paramètres!$A$1:$I$89,3,0)*VLOOKUP('Données projet'!$B$13,Paramètres!$A$1:$I$89,5,0)</f>
        <v>292.78079999999977</v>
      </c>
      <c r="CV148" s="13">
        <f t="shared" si="149"/>
        <v>69.660903052386217</v>
      </c>
      <c r="CW148" s="20">
        <f t="shared" si="121"/>
        <v>631.25263281623893</v>
      </c>
      <c r="CX148" s="59">
        <f t="shared" si="122"/>
        <v>917.90745250030477</v>
      </c>
      <c r="CY148" s="59">
        <f ca="1">AVERAGE(OFFSET($CX$3,0,0,'Données projet'!$E$13+1,1))-AVERAGE(OFFSET($H$3,0,0,'Données projet'!$E$13+1,1))</f>
        <v>427.42918901489531</v>
      </c>
      <c r="CZ148" s="59">
        <f t="shared" si="150"/>
        <v>410.68601510655412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17.01200144719256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17.01200144719256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19.8100000000004</v>
      </c>
      <c r="DP148" s="17">
        <f>DO148*VLOOKUP('Données projet'!$B$14,Paramètres!$A$1:$I$89,3,0)*VLOOKUP('Données projet'!$B$14,Paramètres!$A$1:$I$89,5,0)</f>
        <v>19.160232000000388</v>
      </c>
      <c r="DQ148" s="13">
        <f t="shared" si="151"/>
        <v>6.2615431735370342</v>
      </c>
      <c r="DR148" s="20">
        <f t="shared" si="124"/>
        <v>44.27625842724435</v>
      </c>
      <c r="DS148" s="59">
        <f t="shared" si="125"/>
        <v>330.93107811131023</v>
      </c>
      <c r="DT148" s="59">
        <f ca="1">AVERAGE(OFFSET($DS$3,0,0,'Données projet'!$E$14+1,1))-AVERAGE(OFFSET($H$3,0,0,'Données projet'!$E$14+1,1))</f>
        <v>598.03945725240396</v>
      </c>
      <c r="DU148" s="59">
        <f t="shared" si="152"/>
        <v>313.9014686755695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224.47157836316669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224.47157836316669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19.8100000000004</v>
      </c>
      <c r="EK148" s="17">
        <f>EJ148*VLOOKUP('Données projet'!$B$15,Paramètres!$A$1:$I$89,3,0)*VLOOKUP('Données projet'!$B$15,Paramètres!$A$1:$I$89,5,0)</f>
        <v>13.288548000000269</v>
      </c>
      <c r="EL148" s="13">
        <f t="shared" si="153"/>
        <v>4.531654695205642</v>
      </c>
      <c r="EM148" s="20">
        <f t="shared" si="127"/>
        <v>31.036853027483627</v>
      </c>
      <c r="EN148" s="59">
        <f t="shared" si="128"/>
        <v>317.69167271154953</v>
      </c>
      <c r="EO148" s="59">
        <f ca="1">AVERAGE(OFFSET($EN$3,0,0,'Données projet'!$E$15+1,1))-AVERAGE(OFFSET($H$3,0,0,'Données projet'!$E$15+1,1))</f>
        <v>438.27475674276604</v>
      </c>
      <c r="EP148" s="59">
        <f t="shared" si="154"/>
        <v>235.97720136798864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191.8869944072232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191.8869944072232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5.2499999999990337</v>
      </c>
      <c r="FF148" s="17">
        <f>FE148*VLOOKUP('Données projet'!$B$16,Paramètres!$A$1:$I$89,3,0)*VLOOKUP('Données projet'!$B$16,Paramètres!$A$1:$I$89,5,0)</f>
        <v>2.4569999999995478</v>
      </c>
      <c r="FG148" s="13">
        <f t="shared" si="155"/>
        <v>1.0197977774625564</v>
      </c>
      <c r="FH148" s="20">
        <f t="shared" si="130"/>
        <v>6.0554227957464972</v>
      </c>
      <c r="FI148" s="59">
        <f t="shared" si="131"/>
        <v>292.71024247981239</v>
      </c>
      <c r="FJ148" s="59">
        <f ca="1">AVERAGE(OFFSET($FI$3,0,0,'Données projet'!$E$16+1,1))-AVERAGE(OFFSET($H$3,0,0,'Données projet'!$E$16+1,1))</f>
        <v>329.49463758169588</v>
      </c>
      <c r="FK148" s="59">
        <f t="shared" si="156"/>
        <v>207.1447698203379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119.06311001654983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119.06311001654983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763.00000000000057</v>
      </c>
      <c r="GA148" s="17">
        <f>FZ148*VLOOKUP('Données projet'!$B$17,Paramètres!$A$1:$I$89,3,0)*VLOOKUP('Données projet'!$B$17,Paramètres!$A$1:$I$89,5,0)</f>
        <v>456.2740000000004</v>
      </c>
      <c r="GB148" s="13">
        <f t="shared" si="157"/>
        <v>103.09649786611838</v>
      </c>
      <c r="GC148" s="20">
        <f t="shared" si="133"/>
        <v>974.23695045015677</v>
      </c>
      <c r="GD148" s="59">
        <f t="shared" si="134"/>
        <v>1260.8917701342227</v>
      </c>
      <c r="GE148" s="59">
        <f ca="1">AVERAGE(OFFSET($GD$3,0,0,'Données projet'!$E$17+1,1))-AVERAGE(OFFSET($H$3,0,0,'Données projet'!$E$17+1,1))</f>
        <v>577.07444926285291</v>
      </c>
      <c r="GF148" s="59">
        <f t="shared" si="158"/>
        <v>501.3762209070419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29.374773027460723</v>
      </c>
      <c r="GM148" s="21">
        <f>EXP(-LN(2)/25)*GM147+(1-EXP(-LN(2)/25))/(LN(2)/25)*Calculateur!GH148*Calculateur!GJ148*VLOOKUP('Données projet'!$B$17,Paramètres!$A$1:$I$89,3,0)*0.475*44/12</f>
        <v>2.6976256119182889</v>
      </c>
      <c r="GN148" s="21">
        <f>EXP(-LN(2)/2)*GN147+(1-EXP(-LN(2)/2))/(LN(2)/2)*GH148*GK148*VLOOKUP('Données projet'!$B$17,Paramètres!$A$1:$I$89,3,0)*0.475*44/12</f>
        <v>3.8539519861940851E-19</v>
      </c>
      <c r="GO148" s="21">
        <f t="shared" si="135"/>
        <v>32.07239863937901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68.178587186563419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-5.6843418860808015E-14</v>
      </c>
      <c r="GV148" s="17">
        <f>GU148*VLOOKUP('Données projet'!$B$18,Paramètres!$A$1:$I$89,3,0)*VLOOKUP('Données projet'!$B$18,Paramètres!$A$1:$I$89,5,0)</f>
        <v>-3.0061073630349716E-14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212.75657290802619</v>
      </c>
      <c r="HA148" s="59">
        <f t="shared" si="160"/>
        <v>411.47446316045978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7.8823386425350908</v>
      </c>
      <c r="HH148" s="21">
        <f>EXP(-LN(2)/25)*HH147+(1-EXP(-LN(2)/25))/(LN(2)/25)*Calculateur!HC148*Calculateur!HE148*VLOOKUP('Données projet'!$B$18,Paramètres!$A$1:$I$89,3,0)*0.475*44/12</f>
        <v>0.82108632831681094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8.703424970851902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4.60745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16.893983333333335</v>
      </c>
      <c r="H149" s="66">
        <f t="shared" si="110"/>
        <v>189.09073333333333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328.26990717081594</v>
      </c>
      <c r="S149" s="59">
        <f ca="1">AVERAGE(OFFSET($R$3,0,0,'Données projet'!$E$9+1,1))-AVERAGE(OFFSET($H$3,0,0,'Données projet'!$E$9+1,1))</f>
        <v>564.49981446852132</v>
      </c>
      <c r="T149" s="59">
        <f t="shared" si="142"/>
        <v>297.54722913785406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19.8100000000004</v>
      </c>
      <c r="AJ149" s="13">
        <f>AI149*VLOOKUP('Données projet'!$B$10,Paramètres!$A$1:$I$89,3,0)*VLOOKUP('Données projet'!$B$10,Paramètres!$A$1:$I$89,5,0)</f>
        <v>20.08734000000041</v>
      </c>
      <c r="AK149" s="13">
        <f t="shared" si="143"/>
        <v>6.5285137703520215</v>
      </c>
      <c r="AL149" s="20">
        <f t="shared" si="112"/>
        <v>46.355945316697152</v>
      </c>
      <c r="AM149" s="59">
        <f t="shared" si="113"/>
        <v>333.12662228165817</v>
      </c>
      <c r="AN149" s="59">
        <f ca="1">AVERAGE(OFFSET($AM$3,0,0,'Données projet'!$E$10+1,1))-AVERAGE(OFFSET($H$3,0,0,'Données projet'!$E$10+1,1))</f>
        <v>623.16549611107564</v>
      </c>
      <c r="AO149" s="59">
        <f t="shared" si="144"/>
        <v>326.15178903425885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230.71836767200915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230.71836767200915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266.99999999999983</v>
      </c>
      <c r="BE149" s="13">
        <f>BD149*VLOOKUP('Données projet'!$B$11,Paramètres!$A$1:$I$89,3,0)*VLOOKUP('Données projet'!$B$11,Paramètres!$A$1:$I$89,5,0)</f>
        <v>216.59039999999987</v>
      </c>
      <c r="BF149" s="13">
        <f t="shared" si="145"/>
        <v>53.373153688190904</v>
      </c>
      <c r="BG149" s="20">
        <f t="shared" si="115"/>
        <v>470.18652267359886</v>
      </c>
      <c r="BH149" s="59">
        <f t="shared" si="116"/>
        <v>756.95719963855981</v>
      </c>
      <c r="BI149" s="59">
        <f ca="1">AVERAGE(OFFSET($BH$3,0,0,'Données projet'!$E$11+1,1))-AVERAGE(OFFSET($H$3,0,0,'Données projet'!$E$11+1,1))</f>
        <v>326.2912419133811</v>
      </c>
      <c r="BJ149" s="59">
        <f t="shared" si="146"/>
        <v>315.07976787459938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11.97109818780747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11.97109818780747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243</v>
      </c>
      <c r="BZ149" s="13">
        <f>BY149*VLOOKUP('Données projet'!$B$12,Paramètres!$A$1:$I$89,3,0)*VLOOKUP('Données projet'!$B$12,Paramètres!$A$1:$I$89,5,0)</f>
        <v>155.4228</v>
      </c>
      <c r="CA149" s="13">
        <f t="shared" si="147"/>
        <v>39.808377687614154</v>
      </c>
      <c r="CB149" s="20">
        <f t="shared" si="118"/>
        <v>340.02763447259463</v>
      </c>
      <c r="CC149" s="59">
        <f t="shared" si="119"/>
        <v>626.79831143755564</v>
      </c>
      <c r="CD149" s="59">
        <f ca="1">AVERAGE(OFFSET($CC$3,0,0,'Données projet'!$E$12+1,1))-AVERAGE(OFFSET($H$3,0,0,'Données projet'!$E$12+1,1))</f>
        <v>297.03992602744393</v>
      </c>
      <c r="CE149" s="59">
        <f t="shared" si="148"/>
        <v>265.2588848922893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16.527976967781004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16.527976967781004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367.99999999999972</v>
      </c>
      <c r="CU149" s="17">
        <f>CT149*VLOOKUP('Données projet'!$B$13,Paramètres!$A$1:$I$89,3,0)*VLOOKUP('Données projet'!$B$13,Paramètres!$A$1:$I$89,5,0)</f>
        <v>292.78079999999977</v>
      </c>
      <c r="CV149" s="13">
        <f t="shared" si="149"/>
        <v>69.660903052386217</v>
      </c>
      <c r="CW149" s="20">
        <f t="shared" si="121"/>
        <v>631.25263281623893</v>
      </c>
      <c r="CX149" s="59">
        <f t="shared" si="122"/>
        <v>918.02330978119994</v>
      </c>
      <c r="CY149" s="59">
        <f ca="1">AVERAGE(OFFSET($CX$3,0,0,'Données projet'!$E$13+1,1))-AVERAGE(OFFSET($H$3,0,0,'Données projet'!$E$13+1,1))</f>
        <v>427.42918901489531</v>
      </c>
      <c r="CZ149" s="59">
        <f t="shared" si="150"/>
        <v>410.68601510655412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16.678406475109423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16.678406475109423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19.8100000000004</v>
      </c>
      <c r="DP149" s="17">
        <f>DO149*VLOOKUP('Données projet'!$B$14,Paramètres!$A$1:$I$89,3,0)*VLOOKUP('Données projet'!$B$14,Paramètres!$A$1:$I$89,5,0)</f>
        <v>19.160232000000388</v>
      </c>
      <c r="DQ149" s="13">
        <f t="shared" si="151"/>
        <v>6.2615431735370342</v>
      </c>
      <c r="DR149" s="20">
        <f t="shared" si="124"/>
        <v>44.27625842724435</v>
      </c>
      <c r="DS149" s="59">
        <f t="shared" si="125"/>
        <v>331.04693539220534</v>
      </c>
      <c r="DT149" s="59">
        <f ca="1">AVERAGE(OFFSET($DS$3,0,0,'Données projet'!$E$14+1,1))-AVERAGE(OFFSET($H$3,0,0,'Données projet'!$E$14+1,1))</f>
        <v>598.03945725240396</v>
      </c>
      <c r="DU149" s="59">
        <f t="shared" si="152"/>
        <v>313.9014686755695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220.06982762560864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220.06982762560864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19.8100000000004</v>
      </c>
      <c r="EK149" s="17">
        <f>EJ149*VLOOKUP('Données projet'!$B$15,Paramètres!$A$1:$I$89,3,0)*VLOOKUP('Données projet'!$B$15,Paramètres!$A$1:$I$89,5,0)</f>
        <v>13.288548000000269</v>
      </c>
      <c r="EL149" s="13">
        <f t="shared" si="153"/>
        <v>4.531654695205642</v>
      </c>
      <c r="EM149" s="20">
        <f t="shared" si="127"/>
        <v>31.036853027483627</v>
      </c>
      <c r="EN149" s="59">
        <f t="shared" si="128"/>
        <v>317.80752999244464</v>
      </c>
      <c r="EO149" s="59">
        <f ca="1">AVERAGE(OFFSET($EN$3,0,0,'Données projet'!$E$15+1,1))-AVERAGE(OFFSET($H$3,0,0,'Données projet'!$E$15+1,1))</f>
        <v>438.27475674276604</v>
      </c>
      <c r="EP149" s="59">
        <f t="shared" si="154"/>
        <v>235.97720136798864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188.12420748640744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188.12420748640744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5.2499999999990337</v>
      </c>
      <c r="FF149" s="17">
        <f>FE149*VLOOKUP('Données projet'!$B$16,Paramètres!$A$1:$I$89,3,0)*VLOOKUP('Données projet'!$B$16,Paramètres!$A$1:$I$89,5,0)</f>
        <v>2.4569999999995478</v>
      </c>
      <c r="FG149" s="13">
        <f t="shared" si="155"/>
        <v>1.0197977774625564</v>
      </c>
      <c r="FH149" s="20">
        <f t="shared" si="130"/>
        <v>6.0554227957464972</v>
      </c>
      <c r="FI149" s="59">
        <f t="shared" si="131"/>
        <v>292.82609976070751</v>
      </c>
      <c r="FJ149" s="59">
        <f ca="1">AVERAGE(OFFSET($FI$3,0,0,'Données projet'!$E$16+1,1))-AVERAGE(OFFSET($H$3,0,0,'Données projet'!$E$16+1,1))</f>
        <v>329.49463758169588</v>
      </c>
      <c r="FK149" s="59">
        <f t="shared" si="156"/>
        <v>207.1447698203379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116.72835505045164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116.72835505045164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763.00000000000057</v>
      </c>
      <c r="GA149" s="17">
        <f>FZ149*VLOOKUP('Données projet'!$B$17,Paramètres!$A$1:$I$89,3,0)*VLOOKUP('Données projet'!$B$17,Paramètres!$A$1:$I$89,5,0)</f>
        <v>456.2740000000004</v>
      </c>
      <c r="GB149" s="13">
        <f t="shared" si="157"/>
        <v>103.09649786611838</v>
      </c>
      <c r="GC149" s="20">
        <f t="shared" si="133"/>
        <v>974.23695045015677</v>
      </c>
      <c r="GD149" s="59">
        <f t="shared" si="134"/>
        <v>1261.0076274151179</v>
      </c>
      <c r="GE149" s="59">
        <f ca="1">AVERAGE(OFFSET($GD$3,0,0,'Données projet'!$E$17+1,1))-AVERAGE(OFFSET($H$3,0,0,'Données projet'!$E$17+1,1))</f>
        <v>577.07444926285291</v>
      </c>
      <c r="GF149" s="59">
        <f t="shared" si="158"/>
        <v>501.3762209070419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28.798751645234624</v>
      </c>
      <c r="GM149" s="21">
        <f>EXP(-LN(2)/25)*GM148+(1-EXP(-LN(2)/25))/(LN(2)/25)*Calculateur!GH149*Calculateur!GJ149*VLOOKUP('Données projet'!$B$17,Paramètres!$A$1:$I$89,3,0)*0.475*44/12</f>
        <v>2.6238588976984176</v>
      </c>
      <c r="GN149" s="21">
        <f>EXP(-LN(2)/2)*GN148+(1-EXP(-LN(2)/2))/(LN(2)/2)*GH149*GK149*VLOOKUP('Données projet'!$B$17,Paramètres!$A$1:$I$89,3,0)*0.475*44/12</f>
        <v>2.7251555838052011E-19</v>
      </c>
      <c r="GO149" s="21">
        <f t="shared" si="135"/>
        <v>31.422610542933043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68.210184626807546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-5.6843418860808015E-14</v>
      </c>
      <c r="GV149" s="17">
        <f>GU149*VLOOKUP('Données projet'!$B$18,Paramètres!$A$1:$I$89,3,0)*VLOOKUP('Données projet'!$B$18,Paramètres!$A$1:$I$89,5,0)</f>
        <v>-3.0061073630349716E-14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212.75657290802619</v>
      </c>
      <c r="HA149" s="59">
        <f t="shared" si="160"/>
        <v>411.47446316045978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7.7277707895068239</v>
      </c>
      <c r="HH149" s="21">
        <f>EXP(-LN(2)/25)*HH148+(1-EXP(-LN(2)/25))/(LN(2)/25)*Calculateur!HC149*Calculateur!HE149*VLOOKUP('Données projet'!$B$18,Paramètres!$A$1:$I$89,3,0)*0.475*44/12</f>
        <v>0.79863367948993436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8.5264044689967591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4.60745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16.893983333333335</v>
      </c>
      <c r="H150" s="66">
        <f t="shared" si="110"/>
        <v>189.09073333333333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328.38375458690547</v>
      </c>
      <c r="S150" s="59">
        <f ca="1">AVERAGE(OFFSET($R$3,0,0,'Données projet'!$E$9+1,1))-AVERAGE(OFFSET($H$3,0,0,'Données projet'!$E$9+1,1))</f>
        <v>564.49981446852132</v>
      </c>
      <c r="T150" s="59">
        <f t="shared" si="142"/>
        <v>297.54722913785406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19.8100000000004</v>
      </c>
      <c r="AJ150" s="13">
        <f>AI150*VLOOKUP('Données projet'!$B$10,Paramètres!$A$1:$I$89,3,0)*VLOOKUP('Données projet'!$B$10,Paramètres!$A$1:$I$89,5,0)</f>
        <v>20.08734000000041</v>
      </c>
      <c r="AK150" s="13">
        <f t="shared" si="143"/>
        <v>6.5285137703520215</v>
      </c>
      <c r="AL150" s="20">
        <f t="shared" si="112"/>
        <v>46.355945316697152</v>
      </c>
      <c r="AM150" s="59">
        <f t="shared" si="113"/>
        <v>333.2404696977477</v>
      </c>
      <c r="AN150" s="59">
        <f ca="1">AVERAGE(OFFSET($AM$3,0,0,'Données projet'!$E$10+1,1))-AVERAGE(OFFSET($H$3,0,0,'Données projet'!$E$10+1,1))</f>
        <v>623.16549611107564</v>
      </c>
      <c r="AO150" s="59">
        <f t="shared" si="144"/>
        <v>326.15178903425885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226.19412120626995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226.19412120626995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266.99999999999983</v>
      </c>
      <c r="BE150" s="13">
        <f>BD150*VLOOKUP('Données projet'!$B$11,Paramètres!$A$1:$I$89,3,0)*VLOOKUP('Données projet'!$B$11,Paramètres!$A$1:$I$89,5,0)</f>
        <v>216.59039999999987</v>
      </c>
      <c r="BF150" s="13">
        <f t="shared" si="145"/>
        <v>53.373153688190904</v>
      </c>
      <c r="BG150" s="20">
        <f t="shared" si="115"/>
        <v>470.18652267359886</v>
      </c>
      <c r="BH150" s="59">
        <f t="shared" si="116"/>
        <v>757.0710470546494</v>
      </c>
      <c r="BI150" s="59">
        <f ca="1">AVERAGE(OFFSET($BH$3,0,0,'Données projet'!$E$11+1,1))-AVERAGE(OFFSET($H$3,0,0,'Données projet'!$E$11+1,1))</f>
        <v>326.2912419133811</v>
      </c>
      <c r="BJ150" s="59">
        <f t="shared" si="146"/>
        <v>315.07976787459938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11.736352253993482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11.736352253993482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243</v>
      </c>
      <c r="BZ150" s="13">
        <f>BY150*VLOOKUP('Données projet'!$B$12,Paramètres!$A$1:$I$89,3,0)*VLOOKUP('Données projet'!$B$12,Paramètres!$A$1:$I$89,5,0)</f>
        <v>155.4228</v>
      </c>
      <c r="CA150" s="13">
        <f t="shared" si="147"/>
        <v>39.808377687614154</v>
      </c>
      <c r="CB150" s="20">
        <f t="shared" si="118"/>
        <v>340.02763447259463</v>
      </c>
      <c r="CC150" s="59">
        <f t="shared" si="119"/>
        <v>626.91215885364522</v>
      </c>
      <c r="CD150" s="59">
        <f ca="1">AVERAGE(OFFSET($CC$3,0,0,'Données projet'!$E$12+1,1))-AVERAGE(OFFSET($H$3,0,0,'Données projet'!$E$12+1,1))</f>
        <v>297.03992602744393</v>
      </c>
      <c r="CE150" s="59">
        <f t="shared" si="148"/>
        <v>265.2588848922893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16.203873420513347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16.203873420513347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367.99999999999972</v>
      </c>
      <c r="CU150" s="17">
        <f>CT150*VLOOKUP('Données projet'!$B$13,Paramètres!$A$1:$I$89,3,0)*VLOOKUP('Données projet'!$B$13,Paramètres!$A$1:$I$89,5,0)</f>
        <v>292.78079999999977</v>
      </c>
      <c r="CV150" s="13">
        <f t="shared" si="149"/>
        <v>69.660903052386217</v>
      </c>
      <c r="CW150" s="20">
        <f t="shared" si="121"/>
        <v>631.25263281623893</v>
      </c>
      <c r="CX150" s="59">
        <f t="shared" si="122"/>
        <v>918.13715719728953</v>
      </c>
      <c r="CY150" s="59">
        <f ca="1">AVERAGE(OFFSET($CX$3,0,0,'Données projet'!$E$13+1,1))-AVERAGE(OFFSET($H$3,0,0,'Données projet'!$E$13+1,1))</f>
        <v>427.42918901489531</v>
      </c>
      <c r="CZ150" s="59">
        <f t="shared" si="150"/>
        <v>410.68601510655412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16.351353096955993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16.351353096955993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19.8100000000004</v>
      </c>
      <c r="DP150" s="17">
        <f>DO150*VLOOKUP('Données projet'!$B$14,Paramètres!$A$1:$I$89,3,0)*VLOOKUP('Données projet'!$B$14,Paramètres!$A$1:$I$89,5,0)</f>
        <v>19.160232000000388</v>
      </c>
      <c r="DQ150" s="13">
        <f t="shared" si="151"/>
        <v>6.2615431735370342</v>
      </c>
      <c r="DR150" s="20">
        <f t="shared" si="124"/>
        <v>44.27625842724435</v>
      </c>
      <c r="DS150" s="59">
        <f t="shared" si="125"/>
        <v>331.16078280829487</v>
      </c>
      <c r="DT150" s="59">
        <f ca="1">AVERAGE(OFFSET($DS$3,0,0,'Données projet'!$E$14+1,1))-AVERAGE(OFFSET($H$3,0,0,'Données projet'!$E$14+1,1))</f>
        <v>598.03945725240396</v>
      </c>
      <c r="DU150" s="59">
        <f t="shared" si="152"/>
        <v>313.9014686755695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215.75439253521125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215.75439253521125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19.8100000000004</v>
      </c>
      <c r="EK150" s="17">
        <f>EJ150*VLOOKUP('Données projet'!$B$15,Paramètres!$A$1:$I$89,3,0)*VLOOKUP('Données projet'!$B$15,Paramètres!$A$1:$I$89,5,0)</f>
        <v>13.288548000000269</v>
      </c>
      <c r="EL150" s="13">
        <f t="shared" si="153"/>
        <v>4.531654695205642</v>
      </c>
      <c r="EM150" s="20">
        <f t="shared" si="127"/>
        <v>31.036853027483627</v>
      </c>
      <c r="EN150" s="59">
        <f t="shared" si="128"/>
        <v>317.92137740853417</v>
      </c>
      <c r="EO150" s="59">
        <f ca="1">AVERAGE(OFFSET($EN$3,0,0,'Données projet'!$E$15+1,1))-AVERAGE(OFFSET($H$3,0,0,'Données projet'!$E$15+1,1))</f>
        <v>438.27475674276604</v>
      </c>
      <c r="EP150" s="59">
        <f t="shared" si="154"/>
        <v>235.97720136798864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184.43520652203549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184.43520652203549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5.2499999999990337</v>
      </c>
      <c r="FF150" s="17">
        <f>FE150*VLOOKUP('Données projet'!$B$16,Paramètres!$A$1:$I$89,3,0)*VLOOKUP('Données projet'!$B$16,Paramètres!$A$1:$I$89,5,0)</f>
        <v>2.4569999999995478</v>
      </c>
      <c r="FG150" s="13">
        <f t="shared" si="155"/>
        <v>1.0197977774625564</v>
      </c>
      <c r="FH150" s="20">
        <f t="shared" si="130"/>
        <v>6.0554227957464972</v>
      </c>
      <c r="FI150" s="59">
        <f t="shared" si="131"/>
        <v>292.93994717679703</v>
      </c>
      <c r="FJ150" s="59">
        <f ca="1">AVERAGE(OFFSET($FI$3,0,0,'Données projet'!$E$16+1,1))-AVERAGE(OFFSET($H$3,0,0,'Données projet'!$E$16+1,1))</f>
        <v>329.49463758169588</v>
      </c>
      <c r="FK150" s="59">
        <f t="shared" si="156"/>
        <v>207.1447698203379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114.43938320517871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114.43938320517871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763.00000000000057</v>
      </c>
      <c r="GA150" s="17">
        <f>FZ150*VLOOKUP('Données projet'!$B$17,Paramètres!$A$1:$I$89,3,0)*VLOOKUP('Données projet'!$B$17,Paramètres!$A$1:$I$89,5,0)</f>
        <v>456.2740000000004</v>
      </c>
      <c r="GB150" s="13">
        <f t="shared" si="157"/>
        <v>103.09649786611838</v>
      </c>
      <c r="GC150" s="20">
        <f t="shared" si="133"/>
        <v>974.23695045015677</v>
      </c>
      <c r="GD150" s="59">
        <f t="shared" si="134"/>
        <v>1261.1214748312073</v>
      </c>
      <c r="GE150" s="59">
        <f ca="1">AVERAGE(OFFSET($GD$3,0,0,'Données projet'!$E$17+1,1))-AVERAGE(OFFSET($H$3,0,0,'Données projet'!$E$17+1,1))</f>
        <v>577.07444926285291</v>
      </c>
      <c r="GF150" s="59">
        <f t="shared" si="158"/>
        <v>501.3762209070419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28.234025690975628</v>
      </c>
      <c r="GM150" s="21">
        <f>EXP(-LN(2)/25)*GM149+(1-EXP(-LN(2)/25))/(LN(2)/25)*Calculateur!GH150*Calculateur!GJ150*VLOOKUP('Données projet'!$B$17,Paramètres!$A$1:$I$89,3,0)*0.475*44/12</f>
        <v>2.5521093381581119</v>
      </c>
      <c r="GN150" s="21">
        <f>EXP(-LN(2)/2)*GN149+(1-EXP(-LN(2)/2))/(LN(2)/2)*GH150*GK150*VLOOKUP('Données projet'!$B$17,Paramètres!$A$1:$I$89,3,0)*0.475*44/12</f>
        <v>1.9269759930970426E-19</v>
      </c>
      <c r="GO150" s="21">
        <f t="shared" si="135"/>
        <v>30.786135029133739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68.241233922104698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-5.6843418860808015E-14</v>
      </c>
      <c r="GV150" s="17">
        <f>GU150*VLOOKUP('Données projet'!$B$18,Paramètres!$A$1:$I$89,3,0)*VLOOKUP('Données projet'!$B$18,Paramètres!$A$1:$I$89,5,0)</f>
        <v>-3.0061073630349716E-14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212.75657290802619</v>
      </c>
      <c r="HA150" s="59">
        <f t="shared" si="160"/>
        <v>411.47446316045978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7.5762339177993594</v>
      </c>
      <c r="HH150" s="21">
        <f>EXP(-LN(2)/25)*HH149+(1-EXP(-LN(2)/25))/(LN(2)/25)*Calculateur!HC150*Calculateur!HE150*VLOOKUP('Données projet'!$B$18,Paramètres!$A$1:$I$89,3,0)*0.475*44/12</f>
        <v>0.7767949995259622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8.3530289173253216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4.60745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16.893983333333335</v>
      </c>
      <c r="H151" s="66">
        <f t="shared" si="110"/>
        <v>189.09073333333333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328.49562700485069</v>
      </c>
      <c r="S151" s="59">
        <f ca="1">AVERAGE(OFFSET($R$3,0,0,'Données projet'!$E$9+1,1))-AVERAGE(OFFSET($H$3,0,0,'Données projet'!$E$9+1,1))</f>
        <v>564.49981446852132</v>
      </c>
      <c r="T151" s="59">
        <f t="shared" si="142"/>
        <v>297.54722913785406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19.8100000000004</v>
      </c>
      <c r="AJ151" s="13">
        <f>AI151*VLOOKUP('Données projet'!$B$10,Paramètres!$A$1:$I$89,3,0)*VLOOKUP('Données projet'!$B$10,Paramètres!$A$1:$I$89,5,0)</f>
        <v>20.08734000000041</v>
      </c>
      <c r="AK151" s="13">
        <f t="shared" si="143"/>
        <v>6.5285137703520215</v>
      </c>
      <c r="AL151" s="20">
        <f t="shared" si="112"/>
        <v>46.355945316697152</v>
      </c>
      <c r="AM151" s="59">
        <f t="shared" si="113"/>
        <v>333.35234211569292</v>
      </c>
      <c r="AN151" s="59">
        <f ca="1">AVERAGE(OFFSET($AM$3,0,0,'Données projet'!$E$10+1,1))-AVERAGE(OFFSET($H$3,0,0,'Données projet'!$E$10+1,1))</f>
        <v>623.16549611107564</v>
      </c>
      <c r="AO151" s="59">
        <f t="shared" si="144"/>
        <v>326.15178903425885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221.75859245420605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221.75859245420605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266.99999999999983</v>
      </c>
      <c r="BE151" s="13">
        <f>BD151*VLOOKUP('Données projet'!$B$11,Paramètres!$A$1:$I$89,3,0)*VLOOKUP('Données projet'!$B$11,Paramètres!$A$1:$I$89,5,0)</f>
        <v>216.59039999999987</v>
      </c>
      <c r="BF151" s="13">
        <f t="shared" si="145"/>
        <v>53.373153688190904</v>
      </c>
      <c r="BG151" s="20">
        <f t="shared" si="115"/>
        <v>470.18652267359886</v>
      </c>
      <c r="BH151" s="59">
        <f t="shared" si="116"/>
        <v>757.18291947259468</v>
      </c>
      <c r="BI151" s="59">
        <f ca="1">AVERAGE(OFFSET($BH$3,0,0,'Données projet'!$E$11+1,1))-AVERAGE(OFFSET($H$3,0,0,'Données projet'!$E$11+1,1))</f>
        <v>326.2912419133811</v>
      </c>
      <c r="BJ151" s="59">
        <f t="shared" si="146"/>
        <v>315.07976787459938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11.506209544760704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11.506209544760704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243</v>
      </c>
      <c r="BZ151" s="13">
        <f>BY151*VLOOKUP('Données projet'!$B$12,Paramètres!$A$1:$I$89,3,0)*VLOOKUP('Données projet'!$B$12,Paramètres!$A$1:$I$89,5,0)</f>
        <v>155.4228</v>
      </c>
      <c r="CA151" s="13">
        <f t="shared" si="147"/>
        <v>39.808377687614154</v>
      </c>
      <c r="CB151" s="20">
        <f t="shared" si="118"/>
        <v>340.02763447259463</v>
      </c>
      <c r="CC151" s="59">
        <f t="shared" si="119"/>
        <v>627.02403127159039</v>
      </c>
      <c r="CD151" s="59">
        <f ca="1">AVERAGE(OFFSET($CC$3,0,0,'Données projet'!$E$12+1,1))-AVERAGE(OFFSET($H$3,0,0,'Données projet'!$E$12+1,1))</f>
        <v>297.03992602744393</v>
      </c>
      <c r="CE151" s="59">
        <f t="shared" si="148"/>
        <v>265.2588848922893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15.886125346123963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15.886125346123963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367.99999999999972</v>
      </c>
      <c r="CU151" s="17">
        <f>CT151*VLOOKUP('Données projet'!$B$13,Paramètres!$A$1:$I$89,3,0)*VLOOKUP('Données projet'!$B$13,Paramètres!$A$1:$I$89,5,0)</f>
        <v>292.78079999999977</v>
      </c>
      <c r="CV151" s="13">
        <f t="shared" si="149"/>
        <v>69.660903052386217</v>
      </c>
      <c r="CW151" s="20">
        <f t="shared" si="121"/>
        <v>631.25263281623893</v>
      </c>
      <c r="CX151" s="59">
        <f t="shared" si="122"/>
        <v>918.24902961523469</v>
      </c>
      <c r="CY151" s="59">
        <f ca="1">AVERAGE(OFFSET($CX$3,0,0,'Données projet'!$E$13+1,1))-AVERAGE(OFFSET($H$3,0,0,'Données projet'!$E$13+1,1))</f>
        <v>427.42918901489531</v>
      </c>
      <c r="CZ151" s="59">
        <f t="shared" si="150"/>
        <v>410.68601510655412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16.03071303606529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16.03071303606529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19.8100000000004</v>
      </c>
      <c r="DP151" s="17">
        <f>DO151*VLOOKUP('Données projet'!$B$14,Paramètres!$A$1:$I$89,3,0)*VLOOKUP('Données projet'!$B$14,Paramètres!$A$1:$I$89,5,0)</f>
        <v>19.160232000000388</v>
      </c>
      <c r="DQ151" s="13">
        <f t="shared" si="151"/>
        <v>6.2615431735370342</v>
      </c>
      <c r="DR151" s="20">
        <f t="shared" si="124"/>
        <v>44.27625842724435</v>
      </c>
      <c r="DS151" s="59">
        <f t="shared" si="125"/>
        <v>331.27265522624009</v>
      </c>
      <c r="DT151" s="59">
        <f ca="1">AVERAGE(OFFSET($DS$3,0,0,'Données projet'!$E$14+1,1))-AVERAGE(OFFSET($H$3,0,0,'Données projet'!$E$14+1,1))</f>
        <v>598.03945725240396</v>
      </c>
      <c r="DU151" s="59">
        <f t="shared" si="152"/>
        <v>313.9014686755695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211.52358049478107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211.52358049478107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19.8100000000004</v>
      </c>
      <c r="EK151" s="17">
        <f>EJ151*VLOOKUP('Données projet'!$B$15,Paramètres!$A$1:$I$89,3,0)*VLOOKUP('Données projet'!$B$15,Paramètres!$A$1:$I$89,5,0)</f>
        <v>13.288548000000269</v>
      </c>
      <c r="EL151" s="13">
        <f t="shared" si="153"/>
        <v>4.531654695205642</v>
      </c>
      <c r="EM151" s="20">
        <f t="shared" si="127"/>
        <v>31.036853027483627</v>
      </c>
      <c r="EN151" s="59">
        <f t="shared" si="128"/>
        <v>318.03324982647939</v>
      </c>
      <c r="EO151" s="59">
        <f ca="1">AVERAGE(OFFSET($EN$3,0,0,'Données projet'!$E$15+1,1))-AVERAGE(OFFSET($H$3,0,0,'Données projet'!$E$15+1,1))</f>
        <v>438.27475674276604</v>
      </c>
      <c r="EP151" s="59">
        <f t="shared" si="154"/>
        <v>235.97720136798864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180.81854461650644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180.81854461650644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5.2499999999990337</v>
      </c>
      <c r="FF151" s="17">
        <f>FE151*VLOOKUP('Données projet'!$B$16,Paramètres!$A$1:$I$89,3,0)*VLOOKUP('Données projet'!$B$16,Paramètres!$A$1:$I$89,5,0)</f>
        <v>2.4569999999995478</v>
      </c>
      <c r="FG151" s="13">
        <f t="shared" si="155"/>
        <v>1.0197977774625564</v>
      </c>
      <c r="FH151" s="20">
        <f t="shared" si="130"/>
        <v>6.0554227957464972</v>
      </c>
      <c r="FI151" s="59">
        <f t="shared" si="131"/>
        <v>293.05181959474226</v>
      </c>
      <c r="FJ151" s="59">
        <f ca="1">AVERAGE(OFFSET($FI$3,0,0,'Données projet'!$E$16+1,1))-AVERAGE(OFFSET($H$3,0,0,'Données projet'!$E$16+1,1))</f>
        <v>329.49463758169588</v>
      </c>
      <c r="FK151" s="59">
        <f t="shared" si="156"/>
        <v>207.1447698203379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112.19529670165663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112.19529670165663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763.00000000000057</v>
      </c>
      <c r="GA151" s="17">
        <f>FZ151*VLOOKUP('Données projet'!$B$17,Paramètres!$A$1:$I$89,3,0)*VLOOKUP('Données projet'!$B$17,Paramètres!$A$1:$I$89,5,0)</f>
        <v>456.2740000000004</v>
      </c>
      <c r="GB151" s="13">
        <f t="shared" si="157"/>
        <v>103.09649786611838</v>
      </c>
      <c r="GC151" s="20">
        <f t="shared" si="133"/>
        <v>974.23695045015677</v>
      </c>
      <c r="GD151" s="59">
        <f t="shared" si="134"/>
        <v>1261.2333472491525</v>
      </c>
      <c r="GE151" s="59">
        <f ca="1">AVERAGE(OFFSET($GD$3,0,0,'Données projet'!$E$17+1,1))-AVERAGE(OFFSET($H$3,0,0,'Données projet'!$E$17+1,1))</f>
        <v>577.07444926285291</v>
      </c>
      <c r="GF151" s="59">
        <f t="shared" si="158"/>
        <v>501.3762209070419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27.680373668230828</v>
      </c>
      <c r="GM151" s="21">
        <f>EXP(-LN(2)/25)*GM150+(1-EXP(-LN(2)/25))/(LN(2)/25)*Calculateur!GH151*Calculateur!GJ151*VLOOKUP('Données projet'!$B$17,Paramètres!$A$1:$I$89,3,0)*0.475*44/12</f>
        <v>2.4823217740965813</v>
      </c>
      <c r="GN151" s="21">
        <f>EXP(-LN(2)/2)*GN150+(1-EXP(-LN(2)/2))/(LN(2)/2)*GH151*GK151*VLOOKUP('Données projet'!$B$17,Paramètres!$A$1:$I$89,3,0)*0.475*44/12</f>
        <v>1.3625777919026006E-19</v>
      </c>
      <c r="GO151" s="21">
        <f t="shared" si="135"/>
        <v>30.162695442327411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68.271744581544297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-5.6843418860808015E-14</v>
      </c>
      <c r="GV151" s="17">
        <f>GU151*VLOOKUP('Données projet'!$B$18,Paramètres!$A$1:$I$89,3,0)*VLOOKUP('Données projet'!$B$18,Paramètres!$A$1:$I$89,5,0)</f>
        <v>-3.0061073630349716E-14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212.75657290802619</v>
      </c>
      <c r="HA151" s="59">
        <f t="shared" si="160"/>
        <v>411.47446316045978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7.4276685917177137</v>
      </c>
      <c r="HH151" s="21">
        <f>EXP(-LN(2)/25)*HH150+(1-EXP(-LN(2)/25))/(LN(2)/25)*Calculateur!HC151*Calculateur!HE151*VLOOKUP('Données projet'!$B$18,Paramètres!$A$1:$I$89,3,0)*0.475*44/12</f>
        <v>0.75555349941405114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8.1832220911317641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4.60745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16.893983333333335</v>
      </c>
      <c r="H152" s="66">
        <f t="shared" si="110"/>
        <v>189.09073333333333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328.60555868645378</v>
      </c>
      <c r="S152" s="59">
        <f ca="1">AVERAGE(OFFSET($R$3,0,0,'Données projet'!$E$9+1,1))-AVERAGE(OFFSET($H$3,0,0,'Données projet'!$E$9+1,1))</f>
        <v>564.49981446852132</v>
      </c>
      <c r="T152" s="59">
        <f t="shared" si="142"/>
        <v>297.54722913785406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19.8100000000004</v>
      </c>
      <c r="AJ152" s="13">
        <f>AI152*VLOOKUP('Données projet'!$B$10,Paramètres!$A$1:$I$89,3,0)*VLOOKUP('Données projet'!$B$10,Paramètres!$A$1:$I$89,5,0)</f>
        <v>20.08734000000041</v>
      </c>
      <c r="AK152" s="13">
        <f t="shared" si="143"/>
        <v>6.5285137703520215</v>
      </c>
      <c r="AL152" s="20">
        <f t="shared" si="112"/>
        <v>46.355945316697152</v>
      </c>
      <c r="AM152" s="59">
        <f t="shared" si="113"/>
        <v>333.46227379729601</v>
      </c>
      <c r="AN152" s="59">
        <f ca="1">AVERAGE(OFFSET($AM$3,0,0,'Données projet'!$E$10+1,1))-AVERAGE(OFFSET($H$3,0,0,'Données projet'!$E$10+1,1))</f>
        <v>623.16549611107564</v>
      </c>
      <c r="AO152" s="59">
        <f t="shared" si="144"/>
        <v>326.15178903425885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217.41004171556472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217.41004171556472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266.99999999999983</v>
      </c>
      <c r="BE152" s="13">
        <f>BD152*VLOOKUP('Données projet'!$B$11,Paramètres!$A$1:$I$89,3,0)*VLOOKUP('Données projet'!$B$11,Paramètres!$A$1:$I$89,5,0)</f>
        <v>216.59039999999987</v>
      </c>
      <c r="BF152" s="13">
        <f t="shared" si="145"/>
        <v>53.373153688190904</v>
      </c>
      <c r="BG152" s="20">
        <f t="shared" si="115"/>
        <v>470.18652267359886</v>
      </c>
      <c r="BH152" s="59">
        <f t="shared" si="116"/>
        <v>757.29285115419771</v>
      </c>
      <c r="BI152" s="59">
        <f ca="1">AVERAGE(OFFSET($BH$3,0,0,'Données projet'!$E$11+1,1))-AVERAGE(OFFSET($H$3,0,0,'Données projet'!$E$11+1,1))</f>
        <v>326.2912419133811</v>
      </c>
      <c r="BJ152" s="59">
        <f t="shared" si="146"/>
        <v>315.07976787459938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11.28057979368279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11.28057979368279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243</v>
      </c>
      <c r="BZ152" s="13">
        <f>BY152*VLOOKUP('Données projet'!$B$12,Paramètres!$A$1:$I$89,3,0)*VLOOKUP('Données projet'!$B$12,Paramètres!$A$1:$I$89,5,0)</f>
        <v>155.4228</v>
      </c>
      <c r="CA152" s="13">
        <f t="shared" si="147"/>
        <v>39.808377687614154</v>
      </c>
      <c r="CB152" s="20">
        <f t="shared" si="118"/>
        <v>340.02763447259463</v>
      </c>
      <c r="CC152" s="59">
        <f t="shared" si="119"/>
        <v>627.13396295319353</v>
      </c>
      <c r="CD152" s="59">
        <f ca="1">AVERAGE(OFFSET($CC$3,0,0,'Données projet'!$E$12+1,1))-AVERAGE(OFFSET($H$3,0,0,'Données projet'!$E$12+1,1))</f>
        <v>297.03992602744393</v>
      </c>
      <c r="CE152" s="59">
        <f t="shared" si="148"/>
        <v>265.2588848922893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15.574608117666166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15.574608117666166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367.99999999999972</v>
      </c>
      <c r="CU152" s="17">
        <f>CT152*VLOOKUP('Données projet'!$B$13,Paramètres!$A$1:$I$89,3,0)*VLOOKUP('Données projet'!$B$13,Paramètres!$A$1:$I$89,5,0)</f>
        <v>292.78079999999977</v>
      </c>
      <c r="CV152" s="13">
        <f t="shared" si="149"/>
        <v>69.660903052386217</v>
      </c>
      <c r="CW152" s="20">
        <f t="shared" si="121"/>
        <v>631.25263281623893</v>
      </c>
      <c r="CX152" s="59">
        <f t="shared" si="122"/>
        <v>918.35896129683783</v>
      </c>
      <c r="CY152" s="59">
        <f ca="1">AVERAGE(OFFSET($CX$3,0,0,'Données projet'!$E$13+1,1))-AVERAGE(OFFSET($H$3,0,0,'Données projet'!$E$13+1,1))</f>
        <v>427.42918901489531</v>
      </c>
      <c r="CZ152" s="59">
        <f t="shared" si="150"/>
        <v>410.68601510655412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15.716360531197527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15.716360531197527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19.8100000000004</v>
      </c>
      <c r="DP152" s="17">
        <f>DO152*VLOOKUP('Données projet'!$B$14,Paramètres!$A$1:$I$89,3,0)*VLOOKUP('Données projet'!$B$14,Paramètres!$A$1:$I$89,5,0)</f>
        <v>19.160232000000388</v>
      </c>
      <c r="DQ152" s="13">
        <f t="shared" si="151"/>
        <v>6.2615431735370342</v>
      </c>
      <c r="DR152" s="20">
        <f t="shared" si="124"/>
        <v>44.27625842724435</v>
      </c>
      <c r="DS152" s="59">
        <f t="shared" si="125"/>
        <v>331.38258690784318</v>
      </c>
      <c r="DT152" s="59">
        <f ca="1">AVERAGE(OFFSET($DS$3,0,0,'Données projet'!$E$14+1,1))-AVERAGE(OFFSET($H$3,0,0,'Données projet'!$E$14+1,1))</f>
        <v>598.03945725240396</v>
      </c>
      <c r="DU152" s="59">
        <f t="shared" si="152"/>
        <v>313.9014686755695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207.37573209792319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207.37573209792319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19.8100000000004</v>
      </c>
      <c r="EK152" s="17">
        <f>EJ152*VLOOKUP('Données projet'!$B$15,Paramètres!$A$1:$I$89,3,0)*VLOOKUP('Données projet'!$B$15,Paramètres!$A$1:$I$89,5,0)</f>
        <v>13.288548000000269</v>
      </c>
      <c r="EL152" s="13">
        <f t="shared" si="153"/>
        <v>4.531654695205642</v>
      </c>
      <c r="EM152" s="20">
        <f t="shared" si="127"/>
        <v>31.036853027483627</v>
      </c>
      <c r="EN152" s="59">
        <f t="shared" si="128"/>
        <v>318.14318150808248</v>
      </c>
      <c r="EO152" s="59">
        <f ca="1">AVERAGE(OFFSET($EN$3,0,0,'Données projet'!$E$15+1,1))-AVERAGE(OFFSET($H$3,0,0,'Données projet'!$E$15+1,1))</f>
        <v>438.27475674276604</v>
      </c>
      <c r="EP152" s="59">
        <f t="shared" si="154"/>
        <v>235.97720136798864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177.2728032449989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177.2728032449989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5.2499999999990337</v>
      </c>
      <c r="FF152" s="17">
        <f>FE152*VLOOKUP('Données projet'!$B$16,Paramètres!$A$1:$I$89,3,0)*VLOOKUP('Données projet'!$B$16,Paramètres!$A$1:$I$89,5,0)</f>
        <v>2.4569999999995478</v>
      </c>
      <c r="FG152" s="13">
        <f t="shared" si="155"/>
        <v>1.0197977774625564</v>
      </c>
      <c r="FH152" s="20">
        <f t="shared" si="130"/>
        <v>6.0554227957464972</v>
      </c>
      <c r="FI152" s="59">
        <f t="shared" si="131"/>
        <v>293.16175127634534</v>
      </c>
      <c r="FJ152" s="59">
        <f ca="1">AVERAGE(OFFSET($FI$3,0,0,'Données projet'!$E$16+1,1))-AVERAGE(OFFSET($H$3,0,0,'Données projet'!$E$16+1,1))</f>
        <v>329.49463758169588</v>
      </c>
      <c r="FK152" s="59">
        <f t="shared" si="156"/>
        <v>207.1447698203379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109.99521536571099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109.99521536571099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763.00000000000057</v>
      </c>
      <c r="GA152" s="17">
        <f>FZ152*VLOOKUP('Données projet'!$B$17,Paramètres!$A$1:$I$89,3,0)*VLOOKUP('Données projet'!$B$17,Paramètres!$A$1:$I$89,5,0)</f>
        <v>456.2740000000004</v>
      </c>
      <c r="GB152" s="13">
        <f t="shared" si="157"/>
        <v>103.09649786611838</v>
      </c>
      <c r="GC152" s="20">
        <f t="shared" si="133"/>
        <v>974.23695045015677</v>
      </c>
      <c r="GD152" s="59">
        <f t="shared" si="134"/>
        <v>1261.3432789307556</v>
      </c>
      <c r="GE152" s="59">
        <f ca="1">AVERAGE(OFFSET($GD$3,0,0,'Données projet'!$E$17+1,1))-AVERAGE(OFFSET($H$3,0,0,'Données projet'!$E$17+1,1))</f>
        <v>577.07444926285291</v>
      </c>
      <c r="GF152" s="59">
        <f t="shared" si="158"/>
        <v>501.3762209070419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27.137578423957667</v>
      </c>
      <c r="GM152" s="21">
        <f>EXP(-LN(2)/25)*GM151+(1-EXP(-LN(2)/25))/(LN(2)/25)*Calculateur!GH152*Calculateur!GJ152*VLOOKUP('Données projet'!$B$17,Paramètres!$A$1:$I$89,3,0)*0.475*44/12</f>
        <v>2.4144425546442814</v>
      </c>
      <c r="GN152" s="21">
        <f>EXP(-LN(2)/2)*GN151+(1-EXP(-LN(2)/2))/(LN(2)/2)*GH152*GK152*VLOOKUP('Données projet'!$B$17,Paramètres!$A$1:$I$89,3,0)*0.475*44/12</f>
        <v>9.6348799654852128E-20</v>
      </c>
      <c r="GO152" s="21">
        <f t="shared" si="135"/>
        <v>29.552020978601949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68.301725949254234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-5.6843418860808015E-14</v>
      </c>
      <c r="GV152" s="17">
        <f>GU152*VLOOKUP('Données projet'!$B$18,Paramètres!$A$1:$I$89,3,0)*VLOOKUP('Données projet'!$B$18,Paramètres!$A$1:$I$89,5,0)</f>
        <v>-3.0061073630349716E-14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212.75657290802619</v>
      </c>
      <c r="HA152" s="59">
        <f t="shared" si="160"/>
        <v>411.47446316045978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7.2820165410646274</v>
      </c>
      <c r="HH152" s="21">
        <f>EXP(-LN(2)/25)*HH151+(1-EXP(-LN(2)/25))/(LN(2)/25)*Calculateur!HC152*Calculateur!HE152*VLOOKUP('Données projet'!$B$18,Paramètres!$A$1:$I$89,3,0)*0.475*44/12</f>
        <v>0.73489284923974219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8.0169093903043702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4.60745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16.893983333333335</v>
      </c>
      <c r="H153" s="66">
        <f t="shared" si="110"/>
        <v>189.09073333333333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328.71358329915148</v>
      </c>
      <c r="S153" s="59">
        <f ca="1">AVERAGE(OFFSET($R$3,0,0,'Données projet'!$E$9+1,1))-AVERAGE(OFFSET($H$3,0,0,'Données projet'!$E$9+1,1))</f>
        <v>564.49981446852132</v>
      </c>
      <c r="T153" s="59">
        <f t="shared" si="142"/>
        <v>297.54722913785406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19.8100000000004</v>
      </c>
      <c r="AJ153" s="13">
        <f>AI153*VLOOKUP('Données projet'!$B$10,Paramètres!$A$1:$I$89,3,0)*VLOOKUP('Données projet'!$B$10,Paramètres!$A$1:$I$89,5,0)</f>
        <v>20.08734000000041</v>
      </c>
      <c r="AK153" s="13">
        <f t="shared" si="143"/>
        <v>6.5285137703520215</v>
      </c>
      <c r="AL153" s="20">
        <f t="shared" si="112"/>
        <v>46.355945316697152</v>
      </c>
      <c r="AM153" s="59">
        <f t="shared" si="113"/>
        <v>333.57029840999371</v>
      </c>
      <c r="AN153" s="59">
        <f ca="1">AVERAGE(OFFSET($AM$3,0,0,'Données projet'!$E$10+1,1))-AVERAGE(OFFSET($H$3,0,0,'Données projet'!$E$10+1,1))</f>
        <v>623.16549611107564</v>
      </c>
      <c r="AO153" s="59">
        <f t="shared" si="144"/>
        <v>326.15178903425885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213.14676340455409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213.14676340455409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266.99999999999983</v>
      </c>
      <c r="BE153" s="13">
        <f>BD153*VLOOKUP('Données projet'!$B$11,Paramètres!$A$1:$I$89,3,0)*VLOOKUP('Données projet'!$B$11,Paramètres!$A$1:$I$89,5,0)</f>
        <v>216.59039999999987</v>
      </c>
      <c r="BF153" s="13">
        <f t="shared" si="145"/>
        <v>53.373153688190904</v>
      </c>
      <c r="BG153" s="20">
        <f t="shared" si="115"/>
        <v>470.18652267359886</v>
      </c>
      <c r="BH153" s="59">
        <f t="shared" si="116"/>
        <v>757.40087576689541</v>
      </c>
      <c r="BI153" s="59">
        <f ca="1">AVERAGE(OFFSET($BH$3,0,0,'Données projet'!$E$11+1,1))-AVERAGE(OFFSET($H$3,0,0,'Données projet'!$E$11+1,1))</f>
        <v>326.2912419133811</v>
      </c>
      <c r="BJ153" s="59">
        <f t="shared" si="146"/>
        <v>315.07976787459938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11.059374504402955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11.059374504402955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243</v>
      </c>
      <c r="BZ153" s="13">
        <f>BY153*VLOOKUP('Données projet'!$B$12,Paramètres!$A$1:$I$89,3,0)*VLOOKUP('Données projet'!$B$12,Paramètres!$A$1:$I$89,5,0)</f>
        <v>155.4228</v>
      </c>
      <c r="CA153" s="13">
        <f t="shared" si="147"/>
        <v>39.808377687614154</v>
      </c>
      <c r="CB153" s="20">
        <f t="shared" si="118"/>
        <v>340.02763447259463</v>
      </c>
      <c r="CC153" s="59">
        <f t="shared" si="119"/>
        <v>627.24198756589112</v>
      </c>
      <c r="CD153" s="59">
        <f ca="1">AVERAGE(OFFSET($CC$3,0,0,'Données projet'!$E$12+1,1))-AVERAGE(OFFSET($H$3,0,0,'Données projet'!$E$12+1,1))</f>
        <v>297.03992602744393</v>
      </c>
      <c r="CE153" s="59">
        <f t="shared" si="148"/>
        <v>265.2588848922893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15.269199552051679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15.269199552051679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367.99999999999972</v>
      </c>
      <c r="CU153" s="17">
        <f>CT153*VLOOKUP('Données projet'!$B$13,Paramètres!$A$1:$I$89,3,0)*VLOOKUP('Données projet'!$B$13,Paramètres!$A$1:$I$89,5,0)</f>
        <v>292.78079999999977</v>
      </c>
      <c r="CV153" s="13">
        <f t="shared" si="149"/>
        <v>69.660903052386217</v>
      </c>
      <c r="CW153" s="20">
        <f t="shared" si="121"/>
        <v>631.25263281623893</v>
      </c>
      <c r="CX153" s="59">
        <f t="shared" si="122"/>
        <v>918.46698590953542</v>
      </c>
      <c r="CY153" s="59">
        <f ca="1">AVERAGE(OFFSET($CX$3,0,0,'Données projet'!$E$13+1,1))-AVERAGE(OFFSET($H$3,0,0,'Données projet'!$E$13+1,1))</f>
        <v>427.42918901489531</v>
      </c>
      <c r="CZ153" s="59">
        <f t="shared" si="150"/>
        <v>410.68601510655412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15.408172287214125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15.408172287214125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19.8100000000004</v>
      </c>
      <c r="DP153" s="17">
        <f>DO153*VLOOKUP('Données projet'!$B$14,Paramètres!$A$1:$I$89,3,0)*VLOOKUP('Données projet'!$B$14,Paramètres!$A$1:$I$89,5,0)</f>
        <v>19.160232000000388</v>
      </c>
      <c r="DQ153" s="13">
        <f t="shared" si="151"/>
        <v>6.2615431735370342</v>
      </c>
      <c r="DR153" s="20">
        <f t="shared" si="124"/>
        <v>44.27625842724435</v>
      </c>
      <c r="DS153" s="59">
        <f t="shared" si="125"/>
        <v>331.49061152054088</v>
      </c>
      <c r="DT153" s="59">
        <f ca="1">AVERAGE(OFFSET($DS$3,0,0,'Données projet'!$E$14+1,1))-AVERAGE(OFFSET($H$3,0,0,'Données projet'!$E$14+1,1))</f>
        <v>598.03945725240396</v>
      </c>
      <c r="DU153" s="59">
        <f t="shared" si="152"/>
        <v>313.9014686755695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203.30922047818999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203.30922047818999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19.8100000000004</v>
      </c>
      <c r="EK153" s="17">
        <f>EJ153*VLOOKUP('Données projet'!$B$15,Paramètres!$A$1:$I$89,3,0)*VLOOKUP('Données projet'!$B$15,Paramètres!$A$1:$I$89,5,0)</f>
        <v>13.288548000000269</v>
      </c>
      <c r="EL153" s="13">
        <f t="shared" si="153"/>
        <v>4.531654695205642</v>
      </c>
      <c r="EM153" s="20">
        <f t="shared" si="127"/>
        <v>31.036853027483627</v>
      </c>
      <c r="EN153" s="59">
        <f t="shared" si="128"/>
        <v>318.25120612078018</v>
      </c>
      <c r="EO153" s="59">
        <f ca="1">AVERAGE(OFFSET($EN$3,0,0,'Données projet'!$E$15+1,1))-AVERAGE(OFFSET($H$3,0,0,'Données projet'!$E$15+1,1))</f>
        <v>438.27475674276604</v>
      </c>
      <c r="EP153" s="59">
        <f t="shared" si="154"/>
        <v>235.97720136798864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173.79659169909792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173.79659169909792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5.2499999999990337</v>
      </c>
      <c r="FF153" s="17">
        <f>FE153*VLOOKUP('Données projet'!$B$16,Paramètres!$A$1:$I$89,3,0)*VLOOKUP('Données projet'!$B$16,Paramètres!$A$1:$I$89,5,0)</f>
        <v>2.4569999999995478</v>
      </c>
      <c r="FG153" s="13">
        <f t="shared" si="155"/>
        <v>1.0197977774625564</v>
      </c>
      <c r="FH153" s="20">
        <f t="shared" si="130"/>
        <v>6.0554227957464972</v>
      </c>
      <c r="FI153" s="59">
        <f t="shared" si="131"/>
        <v>293.26977588904305</v>
      </c>
      <c r="FJ153" s="59">
        <f ca="1">AVERAGE(OFFSET($FI$3,0,0,'Données projet'!$E$16+1,1))-AVERAGE(OFFSET($H$3,0,0,'Données projet'!$E$16+1,1))</f>
        <v>329.49463758169588</v>
      </c>
      <c r="FK153" s="59">
        <f t="shared" si="156"/>
        <v>207.1447698203379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107.83827628284614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107.83827628284614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763.00000000000057</v>
      </c>
      <c r="GA153" s="17">
        <f>FZ153*VLOOKUP('Données projet'!$B$17,Paramètres!$A$1:$I$89,3,0)*VLOOKUP('Données projet'!$B$17,Paramètres!$A$1:$I$89,5,0)</f>
        <v>456.2740000000004</v>
      </c>
      <c r="GB153" s="13">
        <f t="shared" si="157"/>
        <v>103.09649786611838</v>
      </c>
      <c r="GC153" s="20">
        <f t="shared" si="133"/>
        <v>974.23695045015677</v>
      </c>
      <c r="GD153" s="59">
        <f t="shared" si="134"/>
        <v>1261.4513035434534</v>
      </c>
      <c r="GE153" s="59">
        <f ca="1">AVERAGE(OFFSET($GD$3,0,0,'Données projet'!$E$17+1,1))-AVERAGE(OFFSET($H$3,0,0,'Données projet'!$E$17+1,1))</f>
        <v>577.07444926285291</v>
      </c>
      <c r="GF153" s="59">
        <f t="shared" si="158"/>
        <v>501.3762209070419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26.605427063352291</v>
      </c>
      <c r="GM153" s="21">
        <f>EXP(-LN(2)/25)*GM152+(1-EXP(-LN(2)/25))/(LN(2)/25)*Calculateur!GH153*Calculateur!GJ153*VLOOKUP('Données projet'!$B$17,Paramètres!$A$1:$I$89,3,0)*0.475*44/12</f>
        <v>2.348419496017518</v>
      </c>
      <c r="GN153" s="21">
        <f>EXP(-LN(2)/2)*GN152+(1-EXP(-LN(2)/2))/(LN(2)/2)*GH153*GK153*VLOOKUP('Données projet'!$B$17,Paramètres!$A$1:$I$89,3,0)*0.475*44/12</f>
        <v>6.8128889595130028E-20</v>
      </c>
      <c r="GO153" s="21">
        <f t="shared" si="135"/>
        <v>28.953846559369808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68.331187207262701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-5.6843418860808015E-14</v>
      </c>
      <c r="GV153" s="17">
        <f>GU153*VLOOKUP('Données projet'!$B$18,Paramètres!$A$1:$I$89,3,0)*VLOOKUP('Données projet'!$B$18,Paramètres!$A$1:$I$89,5,0)</f>
        <v>-3.0061073630349716E-14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212.75657290802619</v>
      </c>
      <c r="HA153" s="59">
        <f t="shared" si="160"/>
        <v>411.47446316045978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7.1392206382858694</v>
      </c>
      <c r="HH153" s="21">
        <f>EXP(-LN(2)/25)*HH152+(1-EXP(-LN(2)/25))/(LN(2)/25)*Calculateur!HC153*Calculateur!HE153*VLOOKUP('Données projet'!$B$18,Paramètres!$A$1:$I$89,3,0)*0.475*44/12</f>
        <v>0.71479716563094609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7.8540178039168156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4.60745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16.893983333333335</v>
      </c>
      <c r="H154" s="66">
        <f t="shared" si="110"/>
        <v>189.09073333333333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328.81973392632568</v>
      </c>
      <c r="S154" s="59">
        <f ca="1">AVERAGE(OFFSET($R$3,0,0,'Données projet'!$E$9+1,1))-AVERAGE(OFFSET($H$3,0,0,'Données projet'!$E$9+1,1))</f>
        <v>564.49981446852132</v>
      </c>
      <c r="T154" s="59">
        <f t="shared" si="142"/>
        <v>297.54722913785406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19.8100000000004</v>
      </c>
      <c r="AJ154" s="13">
        <f>AI154*VLOOKUP('Données projet'!$B$10,Paramètres!$A$1:$I$89,3,0)*VLOOKUP('Données projet'!$B$10,Paramètres!$A$1:$I$89,5,0)</f>
        <v>20.08734000000041</v>
      </c>
      <c r="AK154" s="13">
        <f t="shared" ref="AK154:AK203" si="164">EXP(-1.0587+0.8836*LN(AJ154)+0.284)</f>
        <v>6.5285137703520215</v>
      </c>
      <c r="AL154" s="20">
        <f t="shared" ref="AL154:AL203" si="165">(AJ154+AK154)*0.475*44/12</f>
        <v>46.355945316697152</v>
      </c>
      <c r="AM154" s="59">
        <f t="shared" si="113"/>
        <v>333.67644903716791</v>
      </c>
      <c r="AN154" s="59">
        <f ca="1">AVERAGE(OFFSET($AM$3,0,0,'Données projet'!$E$10+1,1))-AVERAGE(OFFSET($H$3,0,0,'Données projet'!$E$10+1,1))</f>
        <v>623.16549611107564</v>
      </c>
      <c r="AO154" s="59">
        <f t="shared" si="144"/>
        <v>326.15178903425885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208.96708538087938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208.96708538087938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266.99999999999983</v>
      </c>
      <c r="BE154" s="13">
        <f>BD154*VLOOKUP('Données projet'!$B$11,Paramètres!$A$1:$I$89,3,0)*VLOOKUP('Données projet'!$B$11,Paramètres!$A$1:$I$89,5,0)</f>
        <v>216.59039999999987</v>
      </c>
      <c r="BF154" s="13">
        <f t="shared" ref="BF154:BF203" si="167">EXP(-1.0587+0.8836*LN(BE154)+0.284)</f>
        <v>53.373153688190904</v>
      </c>
      <c r="BG154" s="20">
        <f t="shared" ref="BG154:BG203" si="168">(BE154+BF154)*0.475*44/12</f>
        <v>470.18652267359886</v>
      </c>
      <c r="BH154" s="59">
        <f t="shared" si="116"/>
        <v>757.50702639406961</v>
      </c>
      <c r="BI154" s="59">
        <f ca="1">AVERAGE(OFFSET($BH$3,0,0,'Données projet'!$E$11+1,1))-AVERAGE(OFFSET($H$3,0,0,'Données projet'!$E$11+1,1))</f>
        <v>326.2912419133811</v>
      </c>
      <c r="BJ154" s="59">
        <f t="shared" si="146"/>
        <v>315.07976787459938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10.842506915923993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10.842506915923993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243</v>
      </c>
      <c r="BZ154" s="13">
        <f>BY154*VLOOKUP('Données projet'!$B$12,Paramètres!$A$1:$I$89,3,0)*VLOOKUP('Données projet'!$B$12,Paramètres!$A$1:$I$89,5,0)</f>
        <v>155.4228</v>
      </c>
      <c r="CA154" s="13">
        <f t="shared" ref="CA154:CA203" si="170">EXP(-1.0587+0.8836*LN(BZ154)+0.284)</f>
        <v>39.808377687614154</v>
      </c>
      <c r="CB154" s="20">
        <f t="shared" ref="CB154:CB203" si="171">(BZ154+CA154)*0.475*44/12</f>
        <v>340.02763447259463</v>
      </c>
      <c r="CC154" s="59">
        <f t="shared" si="119"/>
        <v>627.34813819306532</v>
      </c>
      <c r="CD154" s="59">
        <f ca="1">AVERAGE(OFFSET($CC$3,0,0,'Données projet'!$E$12+1,1))-AVERAGE(OFFSET($H$3,0,0,'Données projet'!$E$12+1,1))</f>
        <v>297.03992602744393</v>
      </c>
      <c r="CE154" s="59">
        <f t="shared" si="148"/>
        <v>265.2588848922893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14.969779862128062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14.969779862128062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367.99999999999972</v>
      </c>
      <c r="CU154" s="17">
        <f>CT154*VLOOKUP('Données projet'!$B$13,Paramètres!$A$1:$I$89,3,0)*VLOOKUP('Données projet'!$B$13,Paramètres!$A$1:$I$89,5,0)</f>
        <v>292.78079999999977</v>
      </c>
      <c r="CV154" s="13">
        <f t="shared" ref="CV154:CV203" si="173">EXP(-1.0587+0.8836*LN(CU154)+0.284)</f>
        <v>69.660903052386217</v>
      </c>
      <c r="CW154" s="20">
        <f t="shared" ref="CW154:CW203" si="174">(CU154+CV154)*0.475*44/12</f>
        <v>631.25263281623893</v>
      </c>
      <c r="CX154" s="59">
        <f t="shared" si="122"/>
        <v>918.57313653670963</v>
      </c>
      <c r="CY154" s="59">
        <f ca="1">AVERAGE(OFFSET($CX$3,0,0,'Données projet'!$E$13+1,1))-AVERAGE(OFFSET($H$3,0,0,'Données projet'!$E$13+1,1))</f>
        <v>427.42918901489531</v>
      </c>
      <c r="CZ154" s="59">
        <f t="shared" si="150"/>
        <v>410.68601510655412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15.10602742671897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15.10602742671897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19.8100000000004</v>
      </c>
      <c r="DP154" s="17">
        <f>DO154*VLOOKUP('Données projet'!$B$14,Paramètres!$A$1:$I$89,3,0)*VLOOKUP('Données projet'!$B$14,Paramètres!$A$1:$I$89,5,0)</f>
        <v>19.160232000000388</v>
      </c>
      <c r="DQ154" s="13">
        <f t="shared" ref="DQ154:DQ203" si="176">EXP(-1.0587+0.8836*LN(DP154)+0.284)</f>
        <v>6.2615431735370342</v>
      </c>
      <c r="DR154" s="20">
        <f t="shared" ref="DR154:DR203" si="177">(DP154+DQ154)*0.475*44/12</f>
        <v>44.27625842724435</v>
      </c>
      <c r="DS154" s="59">
        <f t="shared" si="125"/>
        <v>331.59676214771508</v>
      </c>
      <c r="DT154" s="59">
        <f ca="1">AVERAGE(OFFSET($DS$3,0,0,'Données projet'!$E$14+1,1))-AVERAGE(OFFSET($H$3,0,0,'Données projet'!$E$14+1,1))</f>
        <v>598.03945725240396</v>
      </c>
      <c r="DU154" s="59">
        <f t="shared" si="152"/>
        <v>313.9014686755695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199.32245067099257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199.32245067099257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19.8100000000004</v>
      </c>
      <c r="EK154" s="17">
        <f>EJ154*VLOOKUP('Données projet'!$B$15,Paramètres!$A$1:$I$89,3,0)*VLOOKUP('Données projet'!$B$15,Paramètres!$A$1:$I$89,5,0)</f>
        <v>13.288548000000269</v>
      </c>
      <c r="EL154" s="13">
        <f t="shared" ref="EL154:EL203" si="179">EXP(-1.0587+0.8836*LN(EK154)+0.284)</f>
        <v>4.531654695205642</v>
      </c>
      <c r="EM154" s="20">
        <f t="shared" ref="EM154:EM203" si="180">(EK154+EL154)*0.475*44/12</f>
        <v>31.036853027483627</v>
      </c>
      <c r="EN154" s="59">
        <f t="shared" si="128"/>
        <v>318.35735674795438</v>
      </c>
      <c r="EO154" s="59">
        <f ca="1">AVERAGE(OFFSET($EN$3,0,0,'Données projet'!$E$15+1,1))-AVERAGE(OFFSET($H$3,0,0,'Données projet'!$E$15+1,1))</f>
        <v>438.27475674276604</v>
      </c>
      <c r="EP154" s="59">
        <f t="shared" si="154"/>
        <v>235.97720136798864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170.38854654133237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170.38854654133237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5.2499999999990337</v>
      </c>
      <c r="FF154" s="17">
        <f>FE154*VLOOKUP('Données projet'!$B$16,Paramètres!$A$1:$I$89,3,0)*VLOOKUP('Données projet'!$B$16,Paramètres!$A$1:$I$89,5,0)</f>
        <v>2.4569999999995478</v>
      </c>
      <c r="FG154" s="13">
        <f t="shared" ref="FG154:FG203" si="182">EXP(-1.0587+0.8836*LN(FF154)+0.284)</f>
        <v>1.0197977774625564</v>
      </c>
      <c r="FH154" s="20">
        <f t="shared" ref="FH154:FH203" si="183">(FF154+FG154)*0.475*44/12</f>
        <v>6.0554227957464972</v>
      </c>
      <c r="FI154" s="59">
        <f t="shared" si="131"/>
        <v>293.37592651621725</v>
      </c>
      <c r="FJ154" s="59">
        <f ca="1">AVERAGE(OFFSET($FI$3,0,0,'Données projet'!$E$16+1,1))-AVERAGE(OFFSET($H$3,0,0,'Données projet'!$E$16+1,1))</f>
        <v>329.49463758169588</v>
      </c>
      <c r="FK154" s="59">
        <f t="shared" si="156"/>
        <v>207.1447698203379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105.72363345979333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105.72363345979333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763.00000000000057</v>
      </c>
      <c r="GA154" s="17">
        <f>FZ154*VLOOKUP('Données projet'!$B$17,Paramètres!$A$1:$I$89,3,0)*VLOOKUP('Données projet'!$B$17,Paramètres!$A$1:$I$89,5,0)</f>
        <v>456.2740000000004</v>
      </c>
      <c r="GB154" s="13">
        <f t="shared" ref="GB154:GB203" si="185">EXP(-1.0587+0.8836*LN(GA154)+0.284)</f>
        <v>103.09649786611838</v>
      </c>
      <c r="GC154" s="20">
        <f t="shared" ref="GC154:GC203" si="186">(GA154+GB154)*0.475*44/12</f>
        <v>974.23695045015677</v>
      </c>
      <c r="GD154" s="59">
        <f t="shared" si="134"/>
        <v>1261.5574541706276</v>
      </c>
      <c r="GE154" s="59">
        <f ca="1">AVERAGE(OFFSET($GD$3,0,0,'Données projet'!$E$17+1,1))-AVERAGE(OFFSET($H$3,0,0,'Données projet'!$E$17+1,1))</f>
        <v>577.07444926285291</v>
      </c>
      <c r="GF154" s="59">
        <f t="shared" si="158"/>
        <v>501.3762209070419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26.08371086634811</v>
      </c>
      <c r="GM154" s="21">
        <f>EXP(-LN(2)/25)*GM153+(1-EXP(-LN(2)/25))/(LN(2)/25)*Calculateur!GH154*Calculateur!GJ154*VLOOKUP('Données projet'!$B$17,Paramètres!$A$1:$I$89,3,0)*0.475*44/12</f>
        <v>2.2842018414009049</v>
      </c>
      <c r="GN154" s="21">
        <f>EXP(-LN(2)/2)*GN153+(1-EXP(-LN(2)/2))/(LN(2)/2)*GH154*GK154*VLOOKUP('Données projet'!$B$17,Paramètres!$A$1:$I$89,3,0)*0.475*44/12</f>
        <v>4.8174399827426064E-20</v>
      </c>
      <c r="GO154" s="21">
        <f t="shared" ref="GO154:GO203" si="187">SUM(GL154:GN154)</f>
        <v>28.367912707749014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68.360137378310213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-5.6843418860808015E-14</v>
      </c>
      <c r="GV154" s="17">
        <f>GU154*VLOOKUP('Données projet'!$B$18,Paramètres!$A$1:$I$89,3,0)*VLOOKUP('Données projet'!$B$18,Paramètres!$A$1:$I$89,5,0)</f>
        <v>-3.0061073630349716E-14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212.75657290802619</v>
      </c>
      <c r="HA154" s="59">
        <f t="shared" si="160"/>
        <v>411.47446316045978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6.9992248760637024</v>
      </c>
      <c r="HH154" s="21">
        <f>EXP(-LN(2)/25)*HH153+(1-EXP(-LN(2)/25))/(LN(2)/25)*Calculateur!HC154*Calculateur!HE154*VLOOKUP('Données projet'!$B$18,Paramètres!$A$1:$I$89,3,0)*0.475*44/12</f>
        <v>0.69525099954721858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7.6944758756109213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4.60745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16.893983333333335</v>
      </c>
      <c r="H155" s="66">
        <f t="shared" si="110"/>
        <v>189.09073333333333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328.92404307743573</v>
      </c>
      <c r="S155" s="59">
        <f ca="1">AVERAGE(OFFSET($R$3,0,0,'Données projet'!$E$9+1,1))-AVERAGE(OFFSET($H$3,0,0,'Données projet'!$E$9+1,1))</f>
        <v>564.49981446852132</v>
      </c>
      <c r="T155" s="59">
        <f t="shared" si="142"/>
        <v>297.54722913785406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19.8100000000004</v>
      </c>
      <c r="AJ155" s="13">
        <f>AI155*VLOOKUP('Données projet'!$B$10,Paramètres!$A$1:$I$89,3,0)*VLOOKUP('Données projet'!$B$10,Paramètres!$A$1:$I$89,5,0)</f>
        <v>20.08734000000041</v>
      </c>
      <c r="AK155" s="13">
        <f t="shared" si="164"/>
        <v>6.5285137703520215</v>
      </c>
      <c r="AL155" s="20">
        <f t="shared" si="165"/>
        <v>46.355945316697152</v>
      </c>
      <c r="AM155" s="59">
        <f t="shared" si="113"/>
        <v>333.78075818827796</v>
      </c>
      <c r="AN155" s="59">
        <f ca="1">AVERAGE(OFFSET($AM$3,0,0,'Données projet'!$E$10+1,1))-AVERAGE(OFFSET($H$3,0,0,'Données projet'!$E$10+1,1))</f>
        <v>623.16549611107564</v>
      </c>
      <c r="AO155" s="59">
        <f t="shared" si="144"/>
        <v>326.15178903425885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204.86936829389705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204.86936829389705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266.99999999999983</v>
      </c>
      <c r="BE155" s="13">
        <f>BD155*VLOOKUP('Données projet'!$B$11,Paramètres!$A$1:$I$89,3,0)*VLOOKUP('Données projet'!$B$11,Paramètres!$A$1:$I$89,5,0)</f>
        <v>216.59039999999987</v>
      </c>
      <c r="BF155" s="13">
        <f t="shared" si="167"/>
        <v>53.373153688190904</v>
      </c>
      <c r="BG155" s="20">
        <f t="shared" si="168"/>
        <v>470.18652267359886</v>
      </c>
      <c r="BH155" s="59">
        <f t="shared" si="116"/>
        <v>757.6113355451796</v>
      </c>
      <c r="BI155" s="59">
        <f ca="1">AVERAGE(OFFSET($BH$3,0,0,'Données projet'!$E$11+1,1))-AVERAGE(OFFSET($H$3,0,0,'Données projet'!$E$11+1,1))</f>
        <v>326.2912419133811</v>
      </c>
      <c r="BJ155" s="59">
        <f t="shared" si="146"/>
        <v>315.07976787459938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10.629891968578935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10.629891968578935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243</v>
      </c>
      <c r="BZ155" s="13">
        <f>BY155*VLOOKUP('Données projet'!$B$12,Paramètres!$A$1:$I$89,3,0)*VLOOKUP('Données projet'!$B$12,Paramètres!$A$1:$I$89,5,0)</f>
        <v>155.4228</v>
      </c>
      <c r="CA155" s="13">
        <f t="shared" si="170"/>
        <v>39.808377687614154</v>
      </c>
      <c r="CB155" s="20">
        <f t="shared" si="171"/>
        <v>340.02763447259463</v>
      </c>
      <c r="CC155" s="59">
        <f t="shared" si="119"/>
        <v>627.45244734417543</v>
      </c>
      <c r="CD155" s="59">
        <f ca="1">AVERAGE(OFFSET($CC$3,0,0,'Données projet'!$E$12+1,1))-AVERAGE(OFFSET($H$3,0,0,'Données projet'!$E$12+1,1))</f>
        <v>297.03992602744393</v>
      </c>
      <c r="CE155" s="59">
        <f t="shared" si="148"/>
        <v>265.2588848922893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14.676231609695868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14.676231609695868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367.99999999999972</v>
      </c>
      <c r="CU155" s="17">
        <f>CT155*VLOOKUP('Données projet'!$B$13,Paramètres!$A$1:$I$89,3,0)*VLOOKUP('Données projet'!$B$13,Paramètres!$A$1:$I$89,5,0)</f>
        <v>292.78079999999977</v>
      </c>
      <c r="CV155" s="13">
        <f t="shared" si="173"/>
        <v>69.660903052386217</v>
      </c>
      <c r="CW155" s="20">
        <f t="shared" si="174"/>
        <v>631.25263281623893</v>
      </c>
      <c r="CX155" s="59">
        <f t="shared" si="122"/>
        <v>918.67744568781973</v>
      </c>
      <c r="CY155" s="59">
        <f ca="1">AVERAGE(OFFSET($CX$3,0,0,'Données projet'!$E$13+1,1))-AVERAGE(OFFSET($H$3,0,0,'Données projet'!$E$13+1,1))</f>
        <v>427.42918901489531</v>
      </c>
      <c r="CZ155" s="59">
        <f t="shared" si="150"/>
        <v>410.68601510655412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14.809807442647958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14.809807442647958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19.8100000000004</v>
      </c>
      <c r="DP155" s="17">
        <f>DO155*VLOOKUP('Données projet'!$B$14,Paramètres!$A$1:$I$89,3,0)*VLOOKUP('Données projet'!$B$14,Paramètres!$A$1:$I$89,5,0)</f>
        <v>19.160232000000388</v>
      </c>
      <c r="DQ155" s="13">
        <f t="shared" si="176"/>
        <v>6.2615431735370342</v>
      </c>
      <c r="DR155" s="20">
        <f t="shared" si="177"/>
        <v>44.27625842724435</v>
      </c>
      <c r="DS155" s="59">
        <f t="shared" si="125"/>
        <v>331.70107129882513</v>
      </c>
      <c r="DT155" s="59">
        <f ca="1">AVERAGE(OFFSET($DS$3,0,0,'Données projet'!$E$14+1,1))-AVERAGE(OFFSET($H$3,0,0,'Données projet'!$E$14+1,1))</f>
        <v>598.03945725240396</v>
      </c>
      <c r="DU155" s="59">
        <f t="shared" si="152"/>
        <v>313.9014686755695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195.4138589880248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195.4138589880248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19.8100000000004</v>
      </c>
      <c r="EK155" s="17">
        <f>EJ155*VLOOKUP('Données projet'!$B$15,Paramètres!$A$1:$I$89,3,0)*VLOOKUP('Données projet'!$B$15,Paramètres!$A$1:$I$89,5,0)</f>
        <v>13.288548000000269</v>
      </c>
      <c r="EL155" s="13">
        <f t="shared" si="179"/>
        <v>4.531654695205642</v>
      </c>
      <c r="EM155" s="20">
        <f t="shared" si="180"/>
        <v>31.036853027483627</v>
      </c>
      <c r="EN155" s="59">
        <f t="shared" si="128"/>
        <v>318.46166589906443</v>
      </c>
      <c r="EO155" s="59">
        <f ca="1">AVERAGE(OFFSET($EN$3,0,0,'Données projet'!$E$15+1,1))-AVERAGE(OFFSET($H$3,0,0,'Données projet'!$E$15+1,1))</f>
        <v>438.27475674276604</v>
      </c>
      <c r="EP155" s="59">
        <f t="shared" si="154"/>
        <v>235.97720136798864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167.04733107040832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167.04733107040832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5.2499999999990337</v>
      </c>
      <c r="FF155" s="17">
        <f>FE155*VLOOKUP('Données projet'!$B$16,Paramètres!$A$1:$I$89,3,0)*VLOOKUP('Données projet'!$B$16,Paramètres!$A$1:$I$89,5,0)</f>
        <v>2.4569999999995478</v>
      </c>
      <c r="FG155" s="13">
        <f t="shared" si="182"/>
        <v>1.0197977774625564</v>
      </c>
      <c r="FH155" s="20">
        <f t="shared" si="183"/>
        <v>6.0554227957464972</v>
      </c>
      <c r="FI155" s="59">
        <f t="shared" si="131"/>
        <v>293.48023566732729</v>
      </c>
      <c r="FJ155" s="59">
        <f ca="1">AVERAGE(OFFSET($FI$3,0,0,'Données projet'!$E$16+1,1))-AVERAGE(OFFSET($H$3,0,0,'Données projet'!$E$16+1,1))</f>
        <v>329.49463758169588</v>
      </c>
      <c r="FK155" s="59">
        <f t="shared" si="156"/>
        <v>207.1447698203379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103.65045749269582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103.65045749269582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763.00000000000057</v>
      </c>
      <c r="GA155" s="17">
        <f>FZ155*VLOOKUP('Données projet'!$B$17,Paramètres!$A$1:$I$89,3,0)*VLOOKUP('Données projet'!$B$17,Paramètres!$A$1:$I$89,5,0)</f>
        <v>456.2740000000004</v>
      </c>
      <c r="GB155" s="13">
        <f t="shared" si="185"/>
        <v>103.09649786611838</v>
      </c>
      <c r="GC155" s="20">
        <f t="shared" si="186"/>
        <v>974.23695045015677</v>
      </c>
      <c r="GD155" s="59">
        <f t="shared" si="134"/>
        <v>1261.6617633217375</v>
      </c>
      <c r="GE155" s="59">
        <f ca="1">AVERAGE(OFFSET($GD$3,0,0,'Données projet'!$E$17+1,1))-AVERAGE(OFFSET($H$3,0,0,'Données projet'!$E$17+1,1))</f>
        <v>577.07444926285291</v>
      </c>
      <c r="GF155" s="59">
        <f t="shared" si="158"/>
        <v>501.3762209070419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25.572225205751721</v>
      </c>
      <c r="GM155" s="21">
        <f>EXP(-LN(2)/25)*GM154+(1-EXP(-LN(2)/25))/(LN(2)/25)*Calculateur!GH155*Calculateur!GJ155*VLOOKUP('Données projet'!$B$17,Paramètres!$A$1:$I$89,3,0)*0.475*44/12</f>
        <v>2.2217402219268427</v>
      </c>
      <c r="GN155" s="21">
        <f>EXP(-LN(2)/2)*GN154+(1-EXP(-LN(2)/2))/(LN(2)/2)*GH155*GK155*VLOOKUP('Données projet'!$B$17,Paramètres!$A$1:$I$89,3,0)*0.475*44/12</f>
        <v>3.4064444797565014E-20</v>
      </c>
      <c r="GO155" s="21">
        <f t="shared" si="187"/>
        <v>27.793965427678565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68.388585328612947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-5.6843418860808015E-14</v>
      </c>
      <c r="GV155" s="17">
        <f>GU155*VLOOKUP('Données projet'!$B$18,Paramètres!$A$1:$I$89,3,0)*VLOOKUP('Données projet'!$B$18,Paramètres!$A$1:$I$89,5,0)</f>
        <v>-3.0061073630349716E-14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212.75657290802619</v>
      </c>
      <c r="HA155" s="59">
        <f t="shared" si="160"/>
        <v>411.47446316045978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6.8619743453497284</v>
      </c>
      <c r="HH155" s="21">
        <f>EXP(-LN(2)/25)*HH154+(1-EXP(-LN(2)/25))/(LN(2)/25)*Calculateur!HC155*Calculateur!HE155*VLOOKUP('Données projet'!$B$18,Paramètres!$A$1:$I$89,3,0)*0.475*44/12</f>
        <v>0.67623932440293888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7.5382136697526674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4.60745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16.893983333333335</v>
      </c>
      <c r="H156" s="66">
        <f t="shared" si="110"/>
        <v>189.09073333333333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329.02654269797432</v>
      </c>
      <c r="S156" s="59">
        <f ca="1">AVERAGE(OFFSET($R$3,0,0,'Données projet'!$E$9+1,1))-AVERAGE(OFFSET($H$3,0,0,'Données projet'!$E$9+1,1))</f>
        <v>564.49981446852132</v>
      </c>
      <c r="T156" s="59">
        <f t="shared" si="142"/>
        <v>297.54722913785406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19.8100000000004</v>
      </c>
      <c r="AJ156" s="13">
        <f>AI156*VLOOKUP('Données projet'!$B$10,Paramètres!$A$1:$I$89,3,0)*VLOOKUP('Données projet'!$B$10,Paramètres!$A$1:$I$89,5,0)</f>
        <v>20.08734000000041</v>
      </c>
      <c r="AK156" s="13">
        <f t="shared" si="164"/>
        <v>6.5285137703520215</v>
      </c>
      <c r="AL156" s="20">
        <f t="shared" si="165"/>
        <v>46.355945316697152</v>
      </c>
      <c r="AM156" s="59">
        <f t="shared" si="113"/>
        <v>333.88325780881655</v>
      </c>
      <c r="AN156" s="59">
        <f ca="1">AVERAGE(OFFSET($AM$3,0,0,'Données projet'!$E$10+1,1))-AVERAGE(OFFSET($H$3,0,0,'Données projet'!$E$10+1,1))</f>
        <v>623.16549611107564</v>
      </c>
      <c r="AO156" s="59">
        <f t="shared" si="144"/>
        <v>326.15178903425885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200.85200493962981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200.85200493962981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266.99999999999983</v>
      </c>
      <c r="BE156" s="13">
        <f>BD156*VLOOKUP('Données projet'!$B$11,Paramètres!$A$1:$I$89,3,0)*VLOOKUP('Données projet'!$B$11,Paramètres!$A$1:$I$89,5,0)</f>
        <v>216.59039999999987</v>
      </c>
      <c r="BF156" s="13">
        <f t="shared" si="167"/>
        <v>53.373153688190904</v>
      </c>
      <c r="BG156" s="20">
        <f t="shared" si="168"/>
        <v>470.18652267359886</v>
      </c>
      <c r="BH156" s="59">
        <f t="shared" si="116"/>
        <v>757.71383516571825</v>
      </c>
      <c r="BI156" s="59">
        <f ca="1">AVERAGE(OFFSET($BH$3,0,0,'Données projet'!$E$11+1,1))-AVERAGE(OFFSET($H$3,0,0,'Données projet'!$E$11+1,1))</f>
        <v>326.2912419133811</v>
      </c>
      <c r="BJ156" s="59">
        <f t="shared" si="146"/>
        <v>315.07976787459938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10.421446270669001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10.421446270669001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243</v>
      </c>
      <c r="BZ156" s="13">
        <f>BY156*VLOOKUP('Données projet'!$B$12,Paramètres!$A$1:$I$89,3,0)*VLOOKUP('Données projet'!$B$12,Paramètres!$A$1:$I$89,5,0)</f>
        <v>155.4228</v>
      </c>
      <c r="CA156" s="13">
        <f t="shared" si="170"/>
        <v>39.808377687614154</v>
      </c>
      <c r="CB156" s="20">
        <f t="shared" si="171"/>
        <v>340.02763447259463</v>
      </c>
      <c r="CC156" s="59">
        <f t="shared" si="119"/>
        <v>627.55494696471396</v>
      </c>
      <c r="CD156" s="59">
        <f ca="1">AVERAGE(OFFSET($CC$3,0,0,'Données projet'!$E$12+1,1))-AVERAGE(OFFSET($H$3,0,0,'Données projet'!$E$12+1,1))</f>
        <v>297.03992602744393</v>
      </c>
      <c r="CE156" s="59">
        <f t="shared" si="148"/>
        <v>265.2588848922893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14.388439659447116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14.388439659447116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367.99999999999972</v>
      </c>
      <c r="CU156" s="17">
        <f>CT156*VLOOKUP('Données projet'!$B$13,Paramètres!$A$1:$I$89,3,0)*VLOOKUP('Données projet'!$B$13,Paramètres!$A$1:$I$89,5,0)</f>
        <v>292.78079999999977</v>
      </c>
      <c r="CV156" s="13">
        <f t="shared" si="173"/>
        <v>69.660903052386217</v>
      </c>
      <c r="CW156" s="20">
        <f t="shared" si="174"/>
        <v>631.25263281623893</v>
      </c>
      <c r="CX156" s="59">
        <f t="shared" si="122"/>
        <v>918.77994530835826</v>
      </c>
      <c r="CY156" s="59">
        <f ca="1">AVERAGE(OFFSET($CX$3,0,0,'Données projet'!$E$13+1,1))-AVERAGE(OFFSET($H$3,0,0,'Données projet'!$E$13+1,1))</f>
        <v>427.42918901489531</v>
      </c>
      <c r="CZ156" s="59">
        <f t="shared" si="150"/>
        <v>410.68601510655412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14.519396151788229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14.519396151788229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19.8100000000004</v>
      </c>
      <c r="DP156" s="17">
        <f>DO156*VLOOKUP('Données projet'!$B$14,Paramètres!$A$1:$I$89,3,0)*VLOOKUP('Données projet'!$B$14,Paramètres!$A$1:$I$89,5,0)</f>
        <v>19.160232000000388</v>
      </c>
      <c r="DQ156" s="13">
        <f t="shared" si="176"/>
        <v>6.2615431735370342</v>
      </c>
      <c r="DR156" s="20">
        <f t="shared" si="177"/>
        <v>44.27625842724435</v>
      </c>
      <c r="DS156" s="59">
        <f t="shared" si="125"/>
        <v>331.80357091936372</v>
      </c>
      <c r="DT156" s="59">
        <f ca="1">AVERAGE(OFFSET($DS$3,0,0,'Données projet'!$E$14+1,1))-AVERAGE(OFFSET($H$3,0,0,'Données projet'!$E$14+1,1))</f>
        <v>598.03945725240396</v>
      </c>
      <c r="DU156" s="59">
        <f t="shared" si="152"/>
        <v>313.9014686755695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191.5819124039545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191.5819124039545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19.8100000000004</v>
      </c>
      <c r="EK156" s="17">
        <f>EJ156*VLOOKUP('Données projet'!$B$15,Paramètres!$A$1:$I$89,3,0)*VLOOKUP('Données projet'!$B$15,Paramètres!$A$1:$I$89,5,0)</f>
        <v>13.288548000000269</v>
      </c>
      <c r="EL156" s="13">
        <f t="shared" si="179"/>
        <v>4.531654695205642</v>
      </c>
      <c r="EM156" s="20">
        <f t="shared" si="180"/>
        <v>31.036853027483627</v>
      </c>
      <c r="EN156" s="59">
        <f t="shared" si="128"/>
        <v>318.56416551960302</v>
      </c>
      <c r="EO156" s="59">
        <f ca="1">AVERAGE(OFFSET($EN$3,0,0,'Données projet'!$E$15+1,1))-AVERAGE(OFFSET($H$3,0,0,'Données projet'!$E$15+1,1))</f>
        <v>438.27475674276604</v>
      </c>
      <c r="EP156" s="59">
        <f t="shared" si="154"/>
        <v>235.97720136798864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163.77163479692888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163.77163479692888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5.2499999999990337</v>
      </c>
      <c r="FF156" s="17">
        <f>FE156*VLOOKUP('Données projet'!$B$16,Paramètres!$A$1:$I$89,3,0)*VLOOKUP('Données projet'!$B$16,Paramètres!$A$1:$I$89,5,0)</f>
        <v>2.4569999999995478</v>
      </c>
      <c r="FG156" s="13">
        <f t="shared" si="182"/>
        <v>1.0197977774625564</v>
      </c>
      <c r="FH156" s="20">
        <f t="shared" si="183"/>
        <v>6.0554227957464972</v>
      </c>
      <c r="FI156" s="59">
        <f t="shared" si="131"/>
        <v>293.58273528786589</v>
      </c>
      <c r="FJ156" s="59">
        <f ca="1">AVERAGE(OFFSET($FI$3,0,0,'Données projet'!$E$16+1,1))-AVERAGE(OFFSET($H$3,0,0,'Données projet'!$E$16+1,1))</f>
        <v>329.49463758169588</v>
      </c>
      <c r="FK156" s="59">
        <f t="shared" si="156"/>
        <v>207.1447698203379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101.61793524180062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101.61793524180062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763.00000000000057</v>
      </c>
      <c r="GA156" s="17">
        <f>FZ156*VLOOKUP('Données projet'!$B$17,Paramètres!$A$1:$I$89,3,0)*VLOOKUP('Données projet'!$B$17,Paramètres!$A$1:$I$89,5,0)</f>
        <v>456.2740000000004</v>
      </c>
      <c r="GB156" s="13">
        <f t="shared" si="185"/>
        <v>103.09649786611838</v>
      </c>
      <c r="GC156" s="20">
        <f t="shared" si="186"/>
        <v>974.23695045015677</v>
      </c>
      <c r="GD156" s="59">
        <f t="shared" si="134"/>
        <v>1261.7642629422762</v>
      </c>
      <c r="GE156" s="59">
        <f ca="1">AVERAGE(OFFSET($GD$3,0,0,'Données projet'!$E$17+1,1))-AVERAGE(OFFSET($H$3,0,0,'Données projet'!$E$17+1,1))</f>
        <v>577.07444926285291</v>
      </c>
      <c r="GF156" s="59">
        <f t="shared" si="158"/>
        <v>501.3762209070419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25.070769466984178</v>
      </c>
      <c r="GM156" s="21">
        <f>EXP(-LN(2)/25)*GM155+(1-EXP(-LN(2)/25))/(LN(2)/25)*Calculateur!GH156*Calculateur!GJ156*VLOOKUP('Données projet'!$B$17,Paramètres!$A$1:$I$89,3,0)*0.475*44/12</f>
        <v>2.1609866187220126</v>
      </c>
      <c r="GN156" s="21">
        <f>EXP(-LN(2)/2)*GN155+(1-EXP(-LN(2)/2))/(LN(2)/2)*GH156*GK156*VLOOKUP('Données projet'!$B$17,Paramètres!$A$1:$I$89,3,0)*0.475*44/12</f>
        <v>2.4087199913713032E-20</v>
      </c>
      <c r="GO156" s="21">
        <f t="shared" si="187"/>
        <v>27.231756085706191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68.416539770578012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-5.6843418860808015E-14</v>
      </c>
      <c r="GV156" s="17">
        <f>GU156*VLOOKUP('Données projet'!$B$18,Paramètres!$A$1:$I$89,3,0)*VLOOKUP('Données projet'!$B$18,Paramètres!$A$1:$I$89,5,0)</f>
        <v>-3.0061073630349716E-14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212.75657290802619</v>
      </c>
      <c r="HA156" s="59">
        <f t="shared" si="160"/>
        <v>411.47446316045978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6.7274152138284977</v>
      </c>
      <c r="HH156" s="21">
        <f>EXP(-LN(2)/25)*HH155+(1-EXP(-LN(2)/25))/(LN(2)/25)*Calculateur!HC156*Calculateur!HE156*VLOOKUP('Données projet'!$B$18,Paramètres!$A$1:$I$89,3,0)*0.475*44/12</f>
        <v>0.65774752451525997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7.3851627383437579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4.60745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16.893983333333335</v>
      </c>
      <c r="H157" s="66">
        <f t="shared" si="110"/>
        <v>189.09073333333333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329.12726417925131</v>
      </c>
      <c r="S157" s="59">
        <f ca="1">AVERAGE(OFFSET($R$3,0,0,'Données projet'!$E$9+1,1))-AVERAGE(OFFSET($H$3,0,0,'Données projet'!$E$9+1,1))</f>
        <v>564.49981446852132</v>
      </c>
      <c r="T157" s="59">
        <f t="shared" si="142"/>
        <v>297.54722913785406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19.8100000000004</v>
      </c>
      <c r="AJ157" s="13">
        <f>AI157*VLOOKUP('Données projet'!$B$10,Paramètres!$A$1:$I$89,3,0)*VLOOKUP('Données projet'!$B$10,Paramètres!$A$1:$I$89,5,0)</f>
        <v>20.08734000000041</v>
      </c>
      <c r="AK157" s="13">
        <f t="shared" si="164"/>
        <v>6.5285137703520215</v>
      </c>
      <c r="AL157" s="20">
        <f t="shared" si="165"/>
        <v>46.355945316697152</v>
      </c>
      <c r="AM157" s="59">
        <f t="shared" si="113"/>
        <v>333.98397929009354</v>
      </c>
      <c r="AN157" s="59">
        <f ca="1">AVERAGE(OFFSET($AM$3,0,0,'Données projet'!$E$10+1,1))-AVERAGE(OFFSET($H$3,0,0,'Données projet'!$E$10+1,1))</f>
        <v>623.16549611107564</v>
      </c>
      <c r="AO157" s="59">
        <f t="shared" si="144"/>
        <v>326.15178903425885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196.91341963039005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196.91341963039005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266.99999999999983</v>
      </c>
      <c r="BE157" s="13">
        <f>BD157*VLOOKUP('Données projet'!$B$11,Paramètres!$A$1:$I$89,3,0)*VLOOKUP('Données projet'!$B$11,Paramètres!$A$1:$I$89,5,0)</f>
        <v>216.59039999999987</v>
      </c>
      <c r="BF157" s="13">
        <f t="shared" si="167"/>
        <v>53.373153688190904</v>
      </c>
      <c r="BG157" s="20">
        <f t="shared" si="168"/>
        <v>470.18652267359886</v>
      </c>
      <c r="BH157" s="59">
        <f t="shared" si="116"/>
        <v>757.81455664699524</v>
      </c>
      <c r="BI157" s="59">
        <f ca="1">AVERAGE(OFFSET($BH$3,0,0,'Données projet'!$E$11+1,1))-AVERAGE(OFFSET($H$3,0,0,'Données projet'!$E$11+1,1))</f>
        <v>326.2912419133811</v>
      </c>
      <c r="BJ157" s="59">
        <f t="shared" si="146"/>
        <v>315.07976787459938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10.21708806575576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10.21708806575576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243</v>
      </c>
      <c r="BZ157" s="13">
        <f>BY157*VLOOKUP('Données projet'!$B$12,Paramètres!$A$1:$I$89,3,0)*VLOOKUP('Données projet'!$B$12,Paramètres!$A$1:$I$89,5,0)</f>
        <v>155.4228</v>
      </c>
      <c r="CA157" s="13">
        <f t="shared" si="170"/>
        <v>39.808377687614154</v>
      </c>
      <c r="CB157" s="20">
        <f t="shared" si="171"/>
        <v>340.02763447259463</v>
      </c>
      <c r="CC157" s="59">
        <f t="shared" si="119"/>
        <v>627.65566844599107</v>
      </c>
      <c r="CD157" s="59">
        <f ca="1">AVERAGE(OFFSET($CC$3,0,0,'Données projet'!$E$12+1,1))-AVERAGE(OFFSET($H$3,0,0,'Données projet'!$E$12+1,1))</f>
        <v>297.03992602744393</v>
      </c>
      <c r="CE157" s="59">
        <f t="shared" si="148"/>
        <v>265.2588848922893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14.106291133806984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14.106291133806984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367.99999999999972</v>
      </c>
      <c r="CU157" s="17">
        <f>CT157*VLOOKUP('Données projet'!$B$13,Paramètres!$A$1:$I$89,3,0)*VLOOKUP('Données projet'!$B$13,Paramètres!$A$1:$I$89,5,0)</f>
        <v>292.78079999999977</v>
      </c>
      <c r="CV157" s="13">
        <f t="shared" si="173"/>
        <v>69.660903052386217</v>
      </c>
      <c r="CW157" s="20">
        <f t="shared" si="174"/>
        <v>631.25263281623893</v>
      </c>
      <c r="CX157" s="59">
        <f t="shared" si="122"/>
        <v>918.88066678963537</v>
      </c>
      <c r="CY157" s="59">
        <f ca="1">AVERAGE(OFFSET($CX$3,0,0,'Données projet'!$E$13+1,1))-AVERAGE(OFFSET($H$3,0,0,'Données projet'!$E$13+1,1))</f>
        <v>427.42918901489531</v>
      </c>
      <c r="CZ157" s="59">
        <f t="shared" si="150"/>
        <v>410.68601510655412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14.234679649208861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14.234679649208861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19.8100000000004</v>
      </c>
      <c r="DP157" s="17">
        <f>DO157*VLOOKUP('Données projet'!$B$14,Paramètres!$A$1:$I$89,3,0)*VLOOKUP('Données projet'!$B$14,Paramètres!$A$1:$I$89,5,0)</f>
        <v>19.160232000000388</v>
      </c>
      <c r="DQ157" s="13">
        <f t="shared" si="176"/>
        <v>6.2615431735370342</v>
      </c>
      <c r="DR157" s="20">
        <f t="shared" si="177"/>
        <v>44.27625842724435</v>
      </c>
      <c r="DS157" s="59">
        <f t="shared" si="125"/>
        <v>331.90429240064071</v>
      </c>
      <c r="DT157" s="59">
        <f ca="1">AVERAGE(OFFSET($DS$3,0,0,'Données projet'!$E$14+1,1))-AVERAGE(OFFSET($H$3,0,0,'Données projet'!$E$14+1,1))</f>
        <v>598.03945725240396</v>
      </c>
      <c r="DU157" s="59">
        <f t="shared" si="152"/>
        <v>313.9014686755695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187.82510795514119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187.82510795514119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19.8100000000004</v>
      </c>
      <c r="EK157" s="17">
        <f>EJ157*VLOOKUP('Données projet'!$B$15,Paramètres!$A$1:$I$89,3,0)*VLOOKUP('Données projet'!$B$15,Paramètres!$A$1:$I$89,5,0)</f>
        <v>13.288548000000269</v>
      </c>
      <c r="EL157" s="13">
        <f t="shared" si="179"/>
        <v>4.531654695205642</v>
      </c>
      <c r="EM157" s="20">
        <f t="shared" si="180"/>
        <v>31.036853027483627</v>
      </c>
      <c r="EN157" s="59">
        <f t="shared" si="128"/>
        <v>318.66488700088001</v>
      </c>
      <c r="EO157" s="59">
        <f ca="1">AVERAGE(OFFSET($EN$3,0,0,'Données projet'!$E$15+1,1))-AVERAGE(OFFSET($H$3,0,0,'Données projet'!$E$15+1,1))</f>
        <v>438.27475674276604</v>
      </c>
      <c r="EP157" s="59">
        <f t="shared" si="154"/>
        <v>235.97720136798864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160.56017292939492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160.56017292939492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5.2499999999990337</v>
      </c>
      <c r="FF157" s="17">
        <f>FE157*VLOOKUP('Données projet'!$B$16,Paramètres!$A$1:$I$89,3,0)*VLOOKUP('Données projet'!$B$16,Paramètres!$A$1:$I$89,5,0)</f>
        <v>2.4569999999995478</v>
      </c>
      <c r="FG157" s="13">
        <f t="shared" si="182"/>
        <v>1.0197977774625564</v>
      </c>
      <c r="FH157" s="20">
        <f t="shared" si="183"/>
        <v>6.0554227957464972</v>
      </c>
      <c r="FI157" s="59">
        <f t="shared" si="131"/>
        <v>293.68345676914288</v>
      </c>
      <c r="FJ157" s="59">
        <f ca="1">AVERAGE(OFFSET($FI$3,0,0,'Données projet'!$E$16+1,1))-AVERAGE(OFFSET($H$3,0,0,'Données projet'!$E$16+1,1))</f>
        <v>329.49463758169588</v>
      </c>
      <c r="FK157" s="59">
        <f t="shared" si="156"/>
        <v>207.1447698203379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99.625269512529314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99.625269512529314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763.00000000000057</v>
      </c>
      <c r="GA157" s="17">
        <f>FZ157*VLOOKUP('Données projet'!$B$17,Paramètres!$A$1:$I$89,3,0)*VLOOKUP('Données projet'!$B$17,Paramètres!$A$1:$I$89,5,0)</f>
        <v>456.2740000000004</v>
      </c>
      <c r="GB157" s="13">
        <f t="shared" si="185"/>
        <v>103.09649786611838</v>
      </c>
      <c r="GC157" s="20">
        <f t="shared" si="186"/>
        <v>974.23695045015677</v>
      </c>
      <c r="GD157" s="59">
        <f t="shared" si="134"/>
        <v>1261.8649844235531</v>
      </c>
      <c r="GE157" s="59">
        <f ca="1">AVERAGE(OFFSET($GD$3,0,0,'Données projet'!$E$17+1,1))-AVERAGE(OFFSET($H$3,0,0,'Données projet'!$E$17+1,1))</f>
        <v>577.07444926285291</v>
      </c>
      <c r="GF157" s="59">
        <f t="shared" si="158"/>
        <v>501.3762209070419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24.579146969396067</v>
      </c>
      <c r="GM157" s="21">
        <f>EXP(-LN(2)/25)*GM156+(1-EXP(-LN(2)/25))/(LN(2)/25)*Calculateur!GH157*Calculateur!GJ157*VLOOKUP('Données projet'!$B$17,Paramètres!$A$1:$I$89,3,0)*0.475*44/12</f>
        <v>2.101894325991712</v>
      </c>
      <c r="GN157" s="21">
        <f>EXP(-LN(2)/2)*GN156+(1-EXP(-LN(2)/2))/(LN(2)/2)*GH157*GK157*VLOOKUP('Données projet'!$B$17,Paramètres!$A$1:$I$89,3,0)*0.475*44/12</f>
        <v>1.7032222398782507E-20</v>
      </c>
      <c r="GO157" s="21">
        <f t="shared" si="187"/>
        <v>26.681041295387779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68.444009265471749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-5.6843418860808015E-14</v>
      </c>
      <c r="GV157" s="17">
        <f>GU157*VLOOKUP('Données projet'!$B$18,Paramètres!$A$1:$I$89,3,0)*VLOOKUP('Données projet'!$B$18,Paramètres!$A$1:$I$89,5,0)</f>
        <v>-3.0061073630349716E-14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212.75657290802619</v>
      </c>
      <c r="HA157" s="59">
        <f t="shared" si="160"/>
        <v>411.47446316045978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6.595494704803432</v>
      </c>
      <c r="HH157" s="21">
        <f>EXP(-LN(2)/25)*HH156+(1-EXP(-LN(2)/25))/(LN(2)/25)*Calculateur!HC157*Calculateur!HE157*VLOOKUP('Données projet'!$B$18,Paramètres!$A$1:$I$89,3,0)*0.475*44/12</f>
        <v>0.63976138386795123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7.2352560886713828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4.60745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16.893983333333335</v>
      </c>
      <c r="H158" s="66">
        <f t="shared" si="110"/>
        <v>189.09073333333333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329.22623836800773</v>
      </c>
      <c r="S158" s="59">
        <f ca="1">AVERAGE(OFFSET($R$3,0,0,'Données projet'!$E$9+1,1))-AVERAGE(OFFSET($H$3,0,0,'Données projet'!$E$9+1,1))</f>
        <v>564.49981446852132</v>
      </c>
      <c r="T158" s="59">
        <f t="shared" si="142"/>
        <v>297.54722913785406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19.8100000000004</v>
      </c>
      <c r="AJ158" s="13">
        <f>AI158*VLOOKUP('Données projet'!$B$10,Paramètres!$A$1:$I$89,3,0)*VLOOKUP('Données projet'!$B$10,Paramètres!$A$1:$I$89,5,0)</f>
        <v>20.08734000000041</v>
      </c>
      <c r="AK158" s="13">
        <f t="shared" si="164"/>
        <v>6.5285137703520215</v>
      </c>
      <c r="AL158" s="20">
        <f t="shared" si="165"/>
        <v>46.355945316697152</v>
      </c>
      <c r="AM158" s="59">
        <f t="shared" si="113"/>
        <v>334.08295347884996</v>
      </c>
      <c r="AN158" s="59">
        <f ca="1">AVERAGE(OFFSET($AM$3,0,0,'Données projet'!$E$10+1,1))-AVERAGE(OFFSET($H$3,0,0,'Données projet'!$E$10+1,1))</f>
        <v>623.16549611107564</v>
      </c>
      <c r="AO158" s="59">
        <f t="shared" si="144"/>
        <v>326.15178903425885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193.05206757676467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193.05206757676467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266.99999999999983</v>
      </c>
      <c r="BE158" s="13">
        <f>BD158*VLOOKUP('Données projet'!$B$11,Paramètres!$A$1:$I$89,3,0)*VLOOKUP('Données projet'!$B$11,Paramètres!$A$1:$I$89,5,0)</f>
        <v>216.59039999999987</v>
      </c>
      <c r="BF158" s="13">
        <f t="shared" si="167"/>
        <v>53.373153688190904</v>
      </c>
      <c r="BG158" s="20">
        <f t="shared" si="168"/>
        <v>470.18652267359886</v>
      </c>
      <c r="BH158" s="59">
        <f t="shared" si="116"/>
        <v>757.91353083575166</v>
      </c>
      <c r="BI158" s="59">
        <f ca="1">AVERAGE(OFFSET($BH$3,0,0,'Données projet'!$E$11+1,1))-AVERAGE(OFFSET($H$3,0,0,'Données projet'!$E$11+1,1))</f>
        <v>326.2912419133811</v>
      </c>
      <c r="BJ158" s="59">
        <f t="shared" si="146"/>
        <v>315.07976787459938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10.016737200594671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10.016737200594671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243</v>
      </c>
      <c r="BZ158" s="13">
        <f>BY158*VLOOKUP('Données projet'!$B$12,Paramètres!$A$1:$I$89,3,0)*VLOOKUP('Données projet'!$B$12,Paramètres!$A$1:$I$89,5,0)</f>
        <v>155.4228</v>
      </c>
      <c r="CA158" s="13">
        <f t="shared" si="170"/>
        <v>39.808377687614154</v>
      </c>
      <c r="CB158" s="20">
        <f t="shared" si="171"/>
        <v>340.02763447259463</v>
      </c>
      <c r="CC158" s="59">
        <f t="shared" si="119"/>
        <v>627.75464263474737</v>
      </c>
      <c r="CD158" s="59">
        <f ca="1">AVERAGE(OFFSET($CC$3,0,0,'Données projet'!$E$12+1,1))-AVERAGE(OFFSET($H$3,0,0,'Données projet'!$E$12+1,1))</f>
        <v>297.03992602744393</v>
      </c>
      <c r="CE158" s="59">
        <f t="shared" si="148"/>
        <v>265.2588848922893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13.829675368661047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13.829675368661047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367.99999999999972</v>
      </c>
      <c r="CU158" s="17">
        <f>CT158*VLOOKUP('Données projet'!$B$13,Paramètres!$A$1:$I$89,3,0)*VLOOKUP('Données projet'!$B$13,Paramètres!$A$1:$I$89,5,0)</f>
        <v>292.78079999999977</v>
      </c>
      <c r="CV158" s="13">
        <f t="shared" si="173"/>
        <v>69.660903052386217</v>
      </c>
      <c r="CW158" s="20">
        <f t="shared" si="174"/>
        <v>631.25263281623893</v>
      </c>
      <c r="CX158" s="59">
        <f t="shared" si="122"/>
        <v>918.97964097839167</v>
      </c>
      <c r="CY158" s="59">
        <f ca="1">AVERAGE(OFFSET($CX$3,0,0,'Données projet'!$E$13+1,1))-AVERAGE(OFFSET($H$3,0,0,'Données projet'!$E$13+1,1))</f>
        <v>427.42918901489531</v>
      </c>
      <c r="CZ158" s="59">
        <f t="shared" si="150"/>
        <v>410.68601510655412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13.955546263585155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13.955546263585155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19.8100000000004</v>
      </c>
      <c r="DP158" s="17">
        <f>DO158*VLOOKUP('Données projet'!$B$14,Paramètres!$A$1:$I$89,3,0)*VLOOKUP('Données projet'!$B$14,Paramètres!$A$1:$I$89,5,0)</f>
        <v>19.160232000000388</v>
      </c>
      <c r="DQ158" s="13">
        <f t="shared" si="176"/>
        <v>6.2615431735370342</v>
      </c>
      <c r="DR158" s="20">
        <f t="shared" si="177"/>
        <v>44.27625842724435</v>
      </c>
      <c r="DS158" s="59">
        <f t="shared" si="125"/>
        <v>332.00326658939713</v>
      </c>
      <c r="DT158" s="59">
        <f ca="1">AVERAGE(OFFSET($DS$3,0,0,'Données projet'!$E$14+1,1))-AVERAGE(OFFSET($H$3,0,0,'Données projet'!$E$14+1,1))</f>
        <v>598.03945725240396</v>
      </c>
      <c r="DU158" s="59">
        <f t="shared" si="152"/>
        <v>313.9014686755695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184.14197215014468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184.14197215014468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19.8100000000004</v>
      </c>
      <c r="EK158" s="17">
        <f>EJ158*VLOOKUP('Données projet'!$B$15,Paramètres!$A$1:$I$89,3,0)*VLOOKUP('Données projet'!$B$15,Paramètres!$A$1:$I$89,5,0)</f>
        <v>13.288548000000269</v>
      </c>
      <c r="EL158" s="13">
        <f t="shared" si="179"/>
        <v>4.531654695205642</v>
      </c>
      <c r="EM158" s="20">
        <f t="shared" si="180"/>
        <v>31.036853027483627</v>
      </c>
      <c r="EN158" s="59">
        <f t="shared" si="128"/>
        <v>318.76386118963643</v>
      </c>
      <c r="EO158" s="59">
        <f ca="1">AVERAGE(OFFSET($EN$3,0,0,'Données projet'!$E$15+1,1))-AVERAGE(OFFSET($H$3,0,0,'Données projet'!$E$15+1,1))</f>
        <v>438.27475674276604</v>
      </c>
      <c r="EP158" s="59">
        <f t="shared" si="154"/>
        <v>235.97720136798864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157.411685870285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157.411685870285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5.2499999999990337</v>
      </c>
      <c r="FF158" s="17">
        <f>FE158*VLOOKUP('Données projet'!$B$16,Paramètres!$A$1:$I$89,3,0)*VLOOKUP('Données projet'!$B$16,Paramètres!$A$1:$I$89,5,0)</f>
        <v>2.4569999999995478</v>
      </c>
      <c r="FG158" s="13">
        <f t="shared" si="182"/>
        <v>1.0197977774625564</v>
      </c>
      <c r="FH158" s="20">
        <f t="shared" si="183"/>
        <v>6.0554227957464972</v>
      </c>
      <c r="FI158" s="59">
        <f t="shared" si="131"/>
        <v>293.78243095789929</v>
      </c>
      <c r="FJ158" s="59">
        <f ca="1">AVERAGE(OFFSET($FI$3,0,0,'Données projet'!$E$16+1,1))-AVERAGE(OFFSET($H$3,0,0,'Données projet'!$E$16+1,1))</f>
        <v>329.49463758169588</v>
      </c>
      <c r="FK158" s="59">
        <f t="shared" si="156"/>
        <v>207.1447698203379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97.671678742802925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97.671678742802925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763.00000000000057</v>
      </c>
      <c r="GA158" s="17">
        <f>FZ158*VLOOKUP('Données projet'!$B$17,Paramètres!$A$1:$I$89,3,0)*VLOOKUP('Données projet'!$B$17,Paramètres!$A$1:$I$89,5,0)</f>
        <v>456.2740000000004</v>
      </c>
      <c r="GB158" s="13">
        <f t="shared" si="185"/>
        <v>103.09649786611838</v>
      </c>
      <c r="GC158" s="20">
        <f t="shared" si="186"/>
        <v>974.23695045015677</v>
      </c>
      <c r="GD158" s="59">
        <f t="shared" si="134"/>
        <v>1261.9639586123096</v>
      </c>
      <c r="GE158" s="59">
        <f ca="1">AVERAGE(OFFSET($GD$3,0,0,'Données projet'!$E$17+1,1))-AVERAGE(OFFSET($H$3,0,0,'Données projet'!$E$17+1,1))</f>
        <v>577.07444926285291</v>
      </c>
      <c r="GF158" s="59">
        <f t="shared" si="158"/>
        <v>501.3762209070419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24.097164889125544</v>
      </c>
      <c r="GM158" s="21">
        <f>EXP(-LN(2)/25)*GM157+(1-EXP(-LN(2)/25))/(LN(2)/25)*Calculateur!GH158*Calculateur!GJ158*VLOOKUP('Données projet'!$B$17,Paramètres!$A$1:$I$89,3,0)*0.475*44/12</f>
        <v>2.0444179151136499</v>
      </c>
      <c r="GN158" s="21">
        <f>EXP(-LN(2)/2)*GN157+(1-EXP(-LN(2)/2))/(LN(2)/2)*GH158*GK158*VLOOKUP('Données projet'!$B$17,Paramètres!$A$1:$I$89,3,0)*0.475*44/12</f>
        <v>1.2043599956856516E-20</v>
      </c>
      <c r="GO158" s="21">
        <f t="shared" si="187"/>
        <v>26.141582804239192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68.471002226041676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-5.6843418860808015E-14</v>
      </c>
      <c r="GV158" s="17">
        <f>GU158*VLOOKUP('Données projet'!$B$18,Paramètres!$A$1:$I$89,3,0)*VLOOKUP('Données projet'!$B$18,Paramètres!$A$1:$I$89,5,0)</f>
        <v>-3.0061073630349716E-14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212.75657290802619</v>
      </c>
      <c r="HA158" s="59">
        <f t="shared" si="160"/>
        <v>411.47446316045978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6.4661610764967827</v>
      </c>
      <c r="HH158" s="21">
        <f>EXP(-LN(2)/25)*HH157+(1-EXP(-LN(2)/25))/(LN(2)/25)*Calculateur!HC158*Calculateur!HE158*VLOOKUP('Données projet'!$B$18,Paramètres!$A$1:$I$89,3,0)*0.475*44/12</f>
        <v>0.62226707518249313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7.0884281516792758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4.60745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16.893983333333335</v>
      </c>
      <c r="H159" s="66">
        <f t="shared" si="110"/>
        <v>189.09073333333333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329.32349557586235</v>
      </c>
      <c r="S159" s="59">
        <f ca="1">AVERAGE(OFFSET($R$3,0,0,'Données projet'!$E$9+1,1))-AVERAGE(OFFSET($H$3,0,0,'Données projet'!$E$9+1,1))</f>
        <v>564.49981446852132</v>
      </c>
      <c r="T159" s="59">
        <f t="shared" si="142"/>
        <v>297.54722913785406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19.8100000000004</v>
      </c>
      <c r="AJ159" s="13">
        <f>AI159*VLOOKUP('Données projet'!$B$10,Paramètres!$A$1:$I$89,3,0)*VLOOKUP('Données projet'!$B$10,Paramètres!$A$1:$I$89,5,0)</f>
        <v>20.08734000000041</v>
      </c>
      <c r="AK159" s="13">
        <f t="shared" si="164"/>
        <v>6.5285137703520215</v>
      </c>
      <c r="AL159" s="20">
        <f t="shared" si="165"/>
        <v>46.355945316697152</v>
      </c>
      <c r="AM159" s="59">
        <f t="shared" si="113"/>
        <v>334.18021068670458</v>
      </c>
      <c r="AN159" s="59">
        <f ca="1">AVERAGE(OFFSET($AM$3,0,0,'Données projet'!$E$10+1,1))-AVERAGE(OFFSET($H$3,0,0,'Données projet'!$E$10+1,1))</f>
        <v>623.16549611107564</v>
      </c>
      <c r="AO159" s="59">
        <f t="shared" si="144"/>
        <v>326.15178903425885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189.26643428171869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189.26643428171869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266.99999999999983</v>
      </c>
      <c r="BE159" s="13">
        <f>BD159*VLOOKUP('Données projet'!$B$11,Paramètres!$A$1:$I$89,3,0)*VLOOKUP('Données projet'!$B$11,Paramètres!$A$1:$I$89,5,0)</f>
        <v>216.59039999999987</v>
      </c>
      <c r="BF159" s="13">
        <f t="shared" si="167"/>
        <v>53.373153688190904</v>
      </c>
      <c r="BG159" s="20">
        <f t="shared" si="168"/>
        <v>470.18652267359886</v>
      </c>
      <c r="BH159" s="59">
        <f t="shared" si="116"/>
        <v>758.01078804360623</v>
      </c>
      <c r="BI159" s="59">
        <f ca="1">AVERAGE(OFFSET($BH$3,0,0,'Données projet'!$E$11+1,1))-AVERAGE(OFFSET($H$3,0,0,'Données projet'!$E$11+1,1))</f>
        <v>326.2912419133811</v>
      </c>
      <c r="BJ159" s="59">
        <f t="shared" si="146"/>
        <v>315.07976787459938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9.8203150936974275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9.8203150936974275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243</v>
      </c>
      <c r="BZ159" s="13">
        <f>BY159*VLOOKUP('Données projet'!$B$12,Paramètres!$A$1:$I$89,3,0)*VLOOKUP('Données projet'!$B$12,Paramètres!$A$1:$I$89,5,0)</f>
        <v>155.4228</v>
      </c>
      <c r="CA159" s="13">
        <f t="shared" si="170"/>
        <v>39.808377687614154</v>
      </c>
      <c r="CB159" s="20">
        <f t="shared" si="171"/>
        <v>340.02763447259463</v>
      </c>
      <c r="CC159" s="59">
        <f t="shared" si="119"/>
        <v>627.85189984260205</v>
      </c>
      <c r="CD159" s="59">
        <f ca="1">AVERAGE(OFFSET($CC$3,0,0,'Données projet'!$E$12+1,1))-AVERAGE(OFFSET($H$3,0,0,'Données projet'!$E$12+1,1))</f>
        <v>297.03992602744393</v>
      </c>
      <c r="CE159" s="59">
        <f t="shared" si="148"/>
        <v>265.2588848922893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13.558483869950665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13.558483869950665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367.99999999999972</v>
      </c>
      <c r="CU159" s="17">
        <f>CT159*VLOOKUP('Données projet'!$B$13,Paramètres!$A$1:$I$89,3,0)*VLOOKUP('Données projet'!$B$13,Paramètres!$A$1:$I$89,5,0)</f>
        <v>292.78079999999977</v>
      </c>
      <c r="CV159" s="13">
        <f t="shared" si="173"/>
        <v>69.660903052386217</v>
      </c>
      <c r="CW159" s="20">
        <f t="shared" si="174"/>
        <v>631.25263281623893</v>
      </c>
      <c r="CX159" s="59">
        <f t="shared" si="122"/>
        <v>919.07689818624635</v>
      </c>
      <c r="CY159" s="59">
        <f ca="1">AVERAGE(OFFSET($CX$3,0,0,'Données projet'!$E$13+1,1))-AVERAGE(OFFSET($H$3,0,0,'Données projet'!$E$13+1,1))</f>
        <v>427.42918901489531</v>
      </c>
      <c r="CZ159" s="59">
        <f t="shared" si="150"/>
        <v>410.68601510655412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13.681886513398977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13.681886513398977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19.8100000000004</v>
      </c>
      <c r="DP159" s="17">
        <f>DO159*VLOOKUP('Données projet'!$B$14,Paramètres!$A$1:$I$89,3,0)*VLOOKUP('Données projet'!$B$14,Paramètres!$A$1:$I$89,5,0)</f>
        <v>19.160232000000388</v>
      </c>
      <c r="DQ159" s="13">
        <f t="shared" si="176"/>
        <v>6.2615431735370342</v>
      </c>
      <c r="DR159" s="20">
        <f t="shared" si="177"/>
        <v>44.27625842724435</v>
      </c>
      <c r="DS159" s="59">
        <f t="shared" si="125"/>
        <v>332.10052379725175</v>
      </c>
      <c r="DT159" s="59">
        <f ca="1">AVERAGE(OFFSET($DS$3,0,0,'Données projet'!$E$14+1,1))-AVERAGE(OFFSET($H$3,0,0,'Données projet'!$E$14+1,1))</f>
        <v>598.03945725240396</v>
      </c>
      <c r="DU159" s="59">
        <f t="shared" si="152"/>
        <v>313.9014686755695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180.53106039179312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180.53106039179312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19.8100000000004</v>
      </c>
      <c r="EK159" s="17">
        <f>EJ159*VLOOKUP('Données projet'!$B$15,Paramètres!$A$1:$I$89,3,0)*VLOOKUP('Données projet'!$B$15,Paramètres!$A$1:$I$89,5,0)</f>
        <v>13.288548000000269</v>
      </c>
      <c r="EL159" s="13">
        <f t="shared" si="179"/>
        <v>4.531654695205642</v>
      </c>
      <c r="EM159" s="20">
        <f t="shared" si="180"/>
        <v>31.036853027483627</v>
      </c>
      <c r="EN159" s="59">
        <f t="shared" si="128"/>
        <v>318.86111839749105</v>
      </c>
      <c r="EO159" s="59">
        <f ca="1">AVERAGE(OFFSET($EN$3,0,0,'Données projet'!$E$15+1,1))-AVERAGE(OFFSET($H$3,0,0,'Données projet'!$E$15+1,1))</f>
        <v>438.27475674276604</v>
      </c>
      <c r="EP159" s="59">
        <f t="shared" si="154"/>
        <v>235.97720136798864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154.32493872201673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154.32493872201673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5.2499999999990337</v>
      </c>
      <c r="FF159" s="17">
        <f>FE159*VLOOKUP('Données projet'!$B$16,Paramètres!$A$1:$I$89,3,0)*VLOOKUP('Données projet'!$B$16,Paramètres!$A$1:$I$89,5,0)</f>
        <v>2.4569999999995478</v>
      </c>
      <c r="FG159" s="13">
        <f t="shared" si="182"/>
        <v>1.0197977774625564</v>
      </c>
      <c r="FH159" s="20">
        <f t="shared" si="183"/>
        <v>6.0554227957464972</v>
      </c>
      <c r="FI159" s="59">
        <f t="shared" si="131"/>
        <v>293.87968816575392</v>
      </c>
      <c r="FJ159" s="59">
        <f ca="1">AVERAGE(OFFSET($FI$3,0,0,'Données projet'!$E$16+1,1))-AVERAGE(OFFSET($H$3,0,0,'Données projet'!$E$16+1,1))</f>
        <v>329.49463758169588</v>
      </c>
      <c r="FK159" s="59">
        <f t="shared" si="156"/>
        <v>207.1447698203379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95.756396696498157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95.756396696498157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763.00000000000057</v>
      </c>
      <c r="GA159" s="17">
        <f>FZ159*VLOOKUP('Données projet'!$B$17,Paramètres!$A$1:$I$89,3,0)*VLOOKUP('Données projet'!$B$17,Paramètres!$A$1:$I$89,5,0)</f>
        <v>456.2740000000004</v>
      </c>
      <c r="GB159" s="13">
        <f t="shared" si="185"/>
        <v>103.09649786611838</v>
      </c>
      <c r="GC159" s="20">
        <f t="shared" si="186"/>
        <v>974.23695045015677</v>
      </c>
      <c r="GD159" s="59">
        <f t="shared" si="134"/>
        <v>1262.0612158201643</v>
      </c>
      <c r="GE159" s="59">
        <f ca="1">AVERAGE(OFFSET($GD$3,0,0,'Données projet'!$E$17+1,1))-AVERAGE(OFFSET($H$3,0,0,'Données projet'!$E$17+1,1))</f>
        <v>577.07444926285291</v>
      </c>
      <c r="GF159" s="59">
        <f t="shared" si="158"/>
        <v>501.3762209070419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23.624634183469084</v>
      </c>
      <c r="GM159" s="21">
        <f>EXP(-LN(2)/25)*GM158+(1-EXP(-LN(2)/25))/(LN(2)/25)*Calculateur!GH159*Calculateur!GJ159*VLOOKUP('Données projet'!$B$17,Paramètres!$A$1:$I$89,3,0)*0.475*44/12</f>
        <v>1.9885131997136016</v>
      </c>
      <c r="GN159" s="21">
        <f>EXP(-LN(2)/2)*GN158+(1-EXP(-LN(2)/2))/(LN(2)/2)*GH159*GK159*VLOOKUP('Données projet'!$B$17,Paramètres!$A$1:$I$89,3,0)*0.475*44/12</f>
        <v>8.5161111993912535E-21</v>
      </c>
      <c r="GO159" s="21">
        <f t="shared" si="187"/>
        <v>25.613147383182685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68.497526919092934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-5.6843418860808015E-14</v>
      </c>
      <c r="GV159" s="17">
        <f>GU159*VLOOKUP('Données projet'!$B$18,Paramètres!$A$1:$I$89,3,0)*VLOOKUP('Données projet'!$B$18,Paramètres!$A$1:$I$89,5,0)</f>
        <v>-3.0061073630349716E-14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212.75657290802619</v>
      </c>
      <c r="HA159" s="59">
        <f t="shared" si="160"/>
        <v>411.47446316045978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6.3393636017555028</v>
      </c>
      <c r="HH159" s="21">
        <f>EXP(-LN(2)/25)*HH158+(1-EXP(-LN(2)/25))/(LN(2)/25)*Calculateur!HC159*Calculateur!HE159*VLOOKUP('Données projet'!$B$18,Paramètres!$A$1:$I$89,3,0)*0.475*44/12</f>
        <v>0.60525114928802459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6.9446147510435274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4.60745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16.893983333333335</v>
      </c>
      <c r="H160" s="66">
        <f t="shared" si="110"/>
        <v>189.09073333333333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329.41906558859517</v>
      </c>
      <c r="S160" s="59">
        <f ca="1">AVERAGE(OFFSET($R$3,0,0,'Données projet'!$E$9+1,1))-AVERAGE(OFFSET($H$3,0,0,'Données projet'!$E$9+1,1))</f>
        <v>564.49981446852132</v>
      </c>
      <c r="T160" s="59">
        <f t="shared" si="142"/>
        <v>297.54722913785406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19.8100000000004</v>
      </c>
      <c r="AJ160" s="13">
        <f>AI160*VLOOKUP('Données projet'!$B$10,Paramètres!$A$1:$I$89,3,0)*VLOOKUP('Données projet'!$B$10,Paramètres!$A$1:$I$89,5,0)</f>
        <v>20.08734000000041</v>
      </c>
      <c r="AK160" s="13">
        <f t="shared" si="164"/>
        <v>6.5285137703520215</v>
      </c>
      <c r="AL160" s="20">
        <f t="shared" si="165"/>
        <v>46.355945316697152</v>
      </c>
      <c r="AM160" s="59">
        <f t="shared" si="113"/>
        <v>334.27578069943741</v>
      </c>
      <c r="AN160" s="59">
        <f ca="1">AVERAGE(OFFSET($AM$3,0,0,'Données projet'!$E$10+1,1))-AVERAGE(OFFSET($H$3,0,0,'Données projet'!$E$10+1,1))</f>
        <v>623.16549611107564</v>
      </c>
      <c r="AO160" s="59">
        <f t="shared" si="144"/>
        <v>326.15178903425885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185.55503494658024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185.55503494658024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266.99999999999983</v>
      </c>
      <c r="BE160" s="13">
        <f>BD160*VLOOKUP('Données projet'!$B$11,Paramètres!$A$1:$I$89,3,0)*VLOOKUP('Données projet'!$B$11,Paramètres!$A$1:$I$89,5,0)</f>
        <v>216.59039999999987</v>
      </c>
      <c r="BF160" s="13">
        <f t="shared" si="167"/>
        <v>53.373153688190904</v>
      </c>
      <c r="BG160" s="20">
        <f t="shared" si="168"/>
        <v>470.18652267359886</v>
      </c>
      <c r="BH160" s="59">
        <f t="shared" si="116"/>
        <v>758.1063580563391</v>
      </c>
      <c r="BI160" s="59">
        <f ca="1">AVERAGE(OFFSET($BH$3,0,0,'Données projet'!$E$11+1,1))-AVERAGE(OFFSET($H$3,0,0,'Données projet'!$E$11+1,1))</f>
        <v>326.2912419133811</v>
      </c>
      <c r="BJ160" s="59">
        <f t="shared" si="146"/>
        <v>315.07976787459938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9.6277447045107838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9.6277447045107838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243</v>
      </c>
      <c r="BZ160" s="13">
        <f>BY160*VLOOKUP('Données projet'!$B$12,Paramètres!$A$1:$I$89,3,0)*VLOOKUP('Données projet'!$B$12,Paramètres!$A$1:$I$89,5,0)</f>
        <v>155.4228</v>
      </c>
      <c r="CA160" s="13">
        <f t="shared" si="170"/>
        <v>39.808377687614154</v>
      </c>
      <c r="CB160" s="20">
        <f t="shared" si="171"/>
        <v>340.02763447259463</v>
      </c>
      <c r="CC160" s="59">
        <f t="shared" si="119"/>
        <v>627.94746985533493</v>
      </c>
      <c r="CD160" s="59">
        <f ca="1">AVERAGE(OFFSET($CC$3,0,0,'Données projet'!$E$12+1,1))-AVERAGE(OFFSET($H$3,0,0,'Données projet'!$E$12+1,1))</f>
        <v>297.03992602744393</v>
      </c>
      <c r="CE160" s="59">
        <f t="shared" si="148"/>
        <v>265.2588848922893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13.292610271119512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13.292610271119512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367.99999999999972</v>
      </c>
      <c r="CU160" s="17">
        <f>CT160*VLOOKUP('Données projet'!$B$13,Paramètres!$A$1:$I$89,3,0)*VLOOKUP('Données projet'!$B$13,Paramètres!$A$1:$I$89,5,0)</f>
        <v>292.78079999999977</v>
      </c>
      <c r="CV160" s="13">
        <f t="shared" si="173"/>
        <v>69.660903052386217</v>
      </c>
      <c r="CW160" s="20">
        <f t="shared" si="174"/>
        <v>631.25263281623893</v>
      </c>
      <c r="CX160" s="59">
        <f t="shared" si="122"/>
        <v>919.17246819897923</v>
      </c>
      <c r="CY160" s="59">
        <f ca="1">AVERAGE(OFFSET($CX$3,0,0,'Données projet'!$E$13+1,1))-AVERAGE(OFFSET($H$3,0,0,'Données projet'!$E$13+1,1))</f>
        <v>427.42918901489531</v>
      </c>
      <c r="CZ160" s="59">
        <f t="shared" si="150"/>
        <v>410.68601510655412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13.413593063997984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13.413593063997984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19.8100000000004</v>
      </c>
      <c r="DP160" s="17">
        <f>DO160*VLOOKUP('Données projet'!$B$14,Paramètres!$A$1:$I$89,3,0)*VLOOKUP('Données projet'!$B$14,Paramètres!$A$1:$I$89,5,0)</f>
        <v>19.160232000000388</v>
      </c>
      <c r="DQ160" s="13">
        <f t="shared" si="176"/>
        <v>6.2615431735370342</v>
      </c>
      <c r="DR160" s="20">
        <f t="shared" si="177"/>
        <v>44.27625842724435</v>
      </c>
      <c r="DS160" s="59">
        <f t="shared" si="125"/>
        <v>332.19609380998457</v>
      </c>
      <c r="DT160" s="59">
        <f ca="1">AVERAGE(OFFSET($DS$3,0,0,'Données projet'!$E$14+1,1))-AVERAGE(OFFSET($H$3,0,0,'Données projet'!$E$14+1,1))</f>
        <v>598.03945725240396</v>
      </c>
      <c r="DU160" s="59">
        <f t="shared" si="152"/>
        <v>313.9014686755695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176.99095641058412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176.99095641058412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19.8100000000004</v>
      </c>
      <c r="EK160" s="17">
        <f>EJ160*VLOOKUP('Données projet'!$B$15,Paramètres!$A$1:$I$89,3,0)*VLOOKUP('Données projet'!$B$15,Paramètres!$A$1:$I$89,5,0)</f>
        <v>13.288548000000269</v>
      </c>
      <c r="EL160" s="13">
        <f t="shared" si="179"/>
        <v>4.531654695205642</v>
      </c>
      <c r="EM160" s="20">
        <f t="shared" si="180"/>
        <v>31.036853027483627</v>
      </c>
      <c r="EN160" s="59">
        <f t="shared" si="128"/>
        <v>318.95668841022388</v>
      </c>
      <c r="EO160" s="59">
        <f ca="1">AVERAGE(OFFSET($EN$3,0,0,'Données projet'!$E$15+1,1))-AVERAGE(OFFSET($H$3,0,0,'Données projet'!$E$15+1,1))</f>
        <v>438.27475674276604</v>
      </c>
      <c r="EP160" s="59">
        <f t="shared" si="154"/>
        <v>235.97720136798864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151.29872080259614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151.29872080259614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5.2499999999990337</v>
      </c>
      <c r="FF160" s="17">
        <f>FE160*VLOOKUP('Données projet'!$B$16,Paramètres!$A$1:$I$89,3,0)*VLOOKUP('Données projet'!$B$16,Paramètres!$A$1:$I$89,5,0)</f>
        <v>2.4569999999995478</v>
      </c>
      <c r="FG160" s="13">
        <f t="shared" si="182"/>
        <v>1.0197977774625564</v>
      </c>
      <c r="FH160" s="20">
        <f t="shared" si="183"/>
        <v>6.0554227957464972</v>
      </c>
      <c r="FI160" s="59">
        <f t="shared" si="131"/>
        <v>293.97525817848674</v>
      </c>
      <c r="FJ160" s="59">
        <f ca="1">AVERAGE(OFFSET($FI$3,0,0,'Données projet'!$E$16+1,1))-AVERAGE(OFFSET($H$3,0,0,'Données projet'!$E$16+1,1))</f>
        <v>329.49463758169588</v>
      </c>
      <c r="FK160" s="59">
        <f t="shared" si="156"/>
        <v>207.1447698203379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93.878672162914739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93.878672162914739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763.00000000000057</v>
      </c>
      <c r="GA160" s="17">
        <f>FZ160*VLOOKUP('Données projet'!$B$17,Paramètres!$A$1:$I$89,3,0)*VLOOKUP('Données projet'!$B$17,Paramètres!$A$1:$I$89,5,0)</f>
        <v>456.2740000000004</v>
      </c>
      <c r="GB160" s="13">
        <f t="shared" si="185"/>
        <v>103.09649786611838</v>
      </c>
      <c r="GC160" s="20">
        <f t="shared" si="186"/>
        <v>974.23695045015677</v>
      </c>
      <c r="GD160" s="59">
        <f t="shared" si="134"/>
        <v>1262.156785832897</v>
      </c>
      <c r="GE160" s="59">
        <f ca="1">AVERAGE(OFFSET($GD$3,0,0,'Données projet'!$E$17+1,1))-AVERAGE(OFFSET($H$3,0,0,'Données projet'!$E$17+1,1))</f>
        <v>577.07444926285291</v>
      </c>
      <c r="GF160" s="59">
        <f t="shared" si="158"/>
        <v>501.3762209070419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23.161369516735277</v>
      </c>
      <c r="GM160" s="21">
        <f>EXP(-LN(2)/25)*GM159+(1-EXP(-LN(2)/25))/(LN(2)/25)*Calculateur!GH160*Calculateur!GJ160*VLOOKUP('Données projet'!$B$17,Paramètres!$A$1:$I$89,3,0)*0.475*44/12</f>
        <v>1.9341372016960687</v>
      </c>
      <c r="GN160" s="21">
        <f>EXP(-LN(2)/2)*GN159+(1-EXP(-LN(2)/2))/(LN(2)/2)*GH160*GK160*VLOOKUP('Données projet'!$B$17,Paramètres!$A$1:$I$89,3,0)*0.475*44/12</f>
        <v>6.021799978428258E-21</v>
      </c>
      <c r="GO160" s="21">
        <f t="shared" si="187"/>
        <v>25.095506718431345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68.523591468020072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-5.6843418860808015E-14</v>
      </c>
      <c r="GV160" s="17">
        <f>GU160*VLOOKUP('Données projet'!$B$18,Paramètres!$A$1:$I$89,3,0)*VLOOKUP('Données projet'!$B$18,Paramètres!$A$1:$I$89,5,0)</f>
        <v>-3.0061073630349716E-14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212.75657290802619</v>
      </c>
      <c r="HA160" s="59">
        <f t="shared" si="160"/>
        <v>411.47446316045978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6.2150525481550769</v>
      </c>
      <c r="HH160" s="21">
        <f>EXP(-LN(2)/25)*HH159+(1-EXP(-LN(2)/25))/(LN(2)/25)*Calculateur!HC160*Calculateur!HE160*VLOOKUP('Données projet'!$B$18,Paramètres!$A$1:$I$89,3,0)*0.475*44/12</f>
        <v>0.58870052478196899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6.8037530729370461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4.60745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16.893983333333335</v>
      </c>
      <c r="H161" s="66">
        <f t="shared" si="110"/>
        <v>189.09073333333333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329.51297767526972</v>
      </c>
      <c r="S161" s="59">
        <f ca="1">AVERAGE(OFFSET($R$3,0,0,'Données projet'!$E$9+1,1))-AVERAGE(OFFSET($H$3,0,0,'Données projet'!$E$9+1,1))</f>
        <v>564.49981446852132</v>
      </c>
      <c r="T161" s="59">
        <f t="shared" si="142"/>
        <v>297.54722913785406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19.8100000000004</v>
      </c>
      <c r="AJ161" s="13">
        <f>AI161*VLOOKUP('Données projet'!$B$10,Paramètres!$A$1:$I$89,3,0)*VLOOKUP('Données projet'!$B$10,Paramètres!$A$1:$I$89,5,0)</f>
        <v>20.08734000000041</v>
      </c>
      <c r="AK161" s="13">
        <f t="shared" si="164"/>
        <v>6.5285137703520215</v>
      </c>
      <c r="AL161" s="20">
        <f t="shared" si="165"/>
        <v>46.355945316697152</v>
      </c>
      <c r="AM161" s="59">
        <f t="shared" si="113"/>
        <v>334.36969278611195</v>
      </c>
      <c r="AN161" s="59">
        <f ca="1">AVERAGE(OFFSET($AM$3,0,0,'Données projet'!$E$10+1,1))-AVERAGE(OFFSET($H$3,0,0,'Données projet'!$E$10+1,1))</f>
        <v>623.16549611107564</v>
      </c>
      <c r="AO161" s="59">
        <f t="shared" si="144"/>
        <v>326.15178903425885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181.91641388867379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181.91641388867379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266.99999999999983</v>
      </c>
      <c r="BE161" s="13">
        <f>BD161*VLOOKUP('Données projet'!$B$11,Paramètres!$A$1:$I$89,3,0)*VLOOKUP('Données projet'!$B$11,Paramètres!$A$1:$I$89,5,0)</f>
        <v>216.59039999999987</v>
      </c>
      <c r="BF161" s="13">
        <f t="shared" si="167"/>
        <v>53.373153688190904</v>
      </c>
      <c r="BG161" s="20">
        <f t="shared" si="168"/>
        <v>470.18652267359886</v>
      </c>
      <c r="BH161" s="59">
        <f t="shared" si="116"/>
        <v>758.20027014301365</v>
      </c>
      <c r="BI161" s="59">
        <f ca="1">AVERAGE(OFFSET($BH$3,0,0,'Données projet'!$E$11+1,1))-AVERAGE(OFFSET($H$3,0,0,'Données projet'!$E$11+1,1))</f>
        <v>326.2912419133811</v>
      </c>
      <c r="BJ161" s="59">
        <f t="shared" si="146"/>
        <v>315.07976787459938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9.4389505031997505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9.4389505031997505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243</v>
      </c>
      <c r="BZ161" s="13">
        <f>BY161*VLOOKUP('Données projet'!$B$12,Paramètres!$A$1:$I$89,3,0)*VLOOKUP('Données projet'!$B$12,Paramètres!$A$1:$I$89,5,0)</f>
        <v>155.4228</v>
      </c>
      <c r="CA161" s="13">
        <f t="shared" si="170"/>
        <v>39.808377687614154</v>
      </c>
      <c r="CB161" s="20">
        <f t="shared" si="171"/>
        <v>340.02763447259463</v>
      </c>
      <c r="CC161" s="59">
        <f t="shared" si="119"/>
        <v>628.04138194200937</v>
      </c>
      <c r="CD161" s="59">
        <f ca="1">AVERAGE(OFFSET($CC$3,0,0,'Données projet'!$E$12+1,1))-AVERAGE(OFFSET($H$3,0,0,'Données projet'!$E$12+1,1))</f>
        <v>297.03992602744393</v>
      </c>
      <c r="CE161" s="59">
        <f t="shared" si="148"/>
        <v>265.2588848922893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13.031950291394557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13.031950291394557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367.99999999999972</v>
      </c>
      <c r="CU161" s="17">
        <f>CT161*VLOOKUP('Données projet'!$B$13,Paramètres!$A$1:$I$89,3,0)*VLOOKUP('Données projet'!$B$13,Paramètres!$A$1:$I$89,5,0)</f>
        <v>292.78079999999977</v>
      </c>
      <c r="CV161" s="13">
        <f t="shared" si="173"/>
        <v>69.660903052386217</v>
      </c>
      <c r="CW161" s="20">
        <f t="shared" si="174"/>
        <v>631.25263281623893</v>
      </c>
      <c r="CX161" s="59">
        <f t="shared" si="122"/>
        <v>919.26638028565367</v>
      </c>
      <c r="CY161" s="59">
        <f ca="1">AVERAGE(OFFSET($CX$3,0,0,'Données projet'!$E$13+1,1))-AVERAGE(OFFSET($H$3,0,0,'Données projet'!$E$13+1,1))</f>
        <v>427.42918901489531</v>
      </c>
      <c r="CZ161" s="59">
        <f t="shared" si="150"/>
        <v>410.68601510655412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13.150560685496899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13.150560685496899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19.8100000000004</v>
      </c>
      <c r="DP161" s="17">
        <f>DO161*VLOOKUP('Données projet'!$B$14,Paramètres!$A$1:$I$89,3,0)*VLOOKUP('Données projet'!$B$14,Paramètres!$A$1:$I$89,5,0)</f>
        <v>19.160232000000388</v>
      </c>
      <c r="DQ161" s="13">
        <f t="shared" si="176"/>
        <v>6.2615431735370342</v>
      </c>
      <c r="DR161" s="20">
        <f t="shared" si="177"/>
        <v>44.27625842724435</v>
      </c>
      <c r="DS161" s="59">
        <f t="shared" si="125"/>
        <v>332.29000589665912</v>
      </c>
      <c r="DT161" s="59">
        <f ca="1">AVERAGE(OFFSET($DS$3,0,0,'Données projet'!$E$14+1,1))-AVERAGE(OFFSET($H$3,0,0,'Données projet'!$E$14+1,1))</f>
        <v>598.03945725240396</v>
      </c>
      <c r="DU161" s="59">
        <f t="shared" si="152"/>
        <v>313.9014686755695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173.52027170919641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173.52027170919641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19.8100000000004</v>
      </c>
      <c r="EK161" s="17">
        <f>EJ161*VLOOKUP('Données projet'!$B$15,Paramètres!$A$1:$I$89,3,0)*VLOOKUP('Données projet'!$B$15,Paramètres!$A$1:$I$89,5,0)</f>
        <v>13.288548000000269</v>
      </c>
      <c r="EL161" s="13">
        <f t="shared" si="179"/>
        <v>4.531654695205642</v>
      </c>
      <c r="EM161" s="20">
        <f t="shared" si="180"/>
        <v>31.036853027483627</v>
      </c>
      <c r="EN161" s="59">
        <f t="shared" si="128"/>
        <v>319.05060049689843</v>
      </c>
      <c r="EO161" s="59">
        <f ca="1">AVERAGE(OFFSET($EN$3,0,0,'Données projet'!$E$15+1,1))-AVERAGE(OFFSET($H$3,0,0,'Données projet'!$E$15+1,1))</f>
        <v>438.27475674276604</v>
      </c>
      <c r="EP161" s="59">
        <f t="shared" si="154"/>
        <v>235.97720136798864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148.33184517076472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148.33184517076472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5.2499999999990337</v>
      </c>
      <c r="FF161" s="17">
        <f>FE161*VLOOKUP('Données projet'!$B$16,Paramètres!$A$1:$I$89,3,0)*VLOOKUP('Données projet'!$B$16,Paramètres!$A$1:$I$89,5,0)</f>
        <v>2.4569999999995478</v>
      </c>
      <c r="FG161" s="13">
        <f t="shared" si="182"/>
        <v>1.0197977774625564</v>
      </c>
      <c r="FH161" s="20">
        <f t="shared" si="183"/>
        <v>6.0554227957464972</v>
      </c>
      <c r="FI161" s="59">
        <f t="shared" si="131"/>
        <v>294.06917026516129</v>
      </c>
      <c r="FJ161" s="59">
        <f ca="1">AVERAGE(OFFSET($FI$3,0,0,'Données projet'!$E$16+1,1))-AVERAGE(OFFSET($H$3,0,0,'Données projet'!$E$16+1,1))</f>
        <v>329.49463758169588</v>
      </c>
      <c r="FK161" s="59">
        <f t="shared" si="156"/>
        <v>207.1447698203379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92.037768662136017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92.037768662136017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763.00000000000057</v>
      </c>
      <c r="GA161" s="17">
        <f>FZ161*VLOOKUP('Données projet'!$B$17,Paramètres!$A$1:$I$89,3,0)*VLOOKUP('Données projet'!$B$17,Paramètres!$A$1:$I$89,5,0)</f>
        <v>456.2740000000004</v>
      </c>
      <c r="GB161" s="13">
        <f t="shared" si="185"/>
        <v>103.09649786611838</v>
      </c>
      <c r="GC161" s="20">
        <f t="shared" si="186"/>
        <v>974.23695045015677</v>
      </c>
      <c r="GD161" s="59">
        <f t="shared" si="134"/>
        <v>1262.2506979195716</v>
      </c>
      <c r="GE161" s="59">
        <f ca="1">AVERAGE(OFFSET($GD$3,0,0,'Données projet'!$E$17+1,1))-AVERAGE(OFFSET($H$3,0,0,'Données projet'!$E$17+1,1))</f>
        <v>577.07444926285291</v>
      </c>
      <c r="GF161" s="59">
        <f t="shared" si="158"/>
        <v>501.3762209070419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22.707189187552576</v>
      </c>
      <c r="GM161" s="21">
        <f>EXP(-LN(2)/25)*GM160+(1-EXP(-LN(2)/25))/(LN(2)/25)*Calculateur!GH161*Calculateur!GJ161*VLOOKUP('Données projet'!$B$17,Paramètres!$A$1:$I$89,3,0)*0.475*44/12</f>
        <v>1.8812481182038348</v>
      </c>
      <c r="GN161" s="21">
        <f>EXP(-LN(2)/2)*GN160+(1-EXP(-LN(2)/2))/(LN(2)/2)*GH161*GK161*VLOOKUP('Données projet'!$B$17,Paramètres!$A$1:$I$89,3,0)*0.475*44/12</f>
        <v>4.2580555996956268E-21</v>
      </c>
      <c r="GO161" s="21">
        <f t="shared" si="187"/>
        <v>24.588437305756411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68.549203855294948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-5.6843418860808015E-14</v>
      </c>
      <c r="GV161" s="17">
        <f>GU161*VLOOKUP('Données projet'!$B$18,Paramètres!$A$1:$I$89,3,0)*VLOOKUP('Données projet'!$B$18,Paramètres!$A$1:$I$89,5,0)</f>
        <v>-3.0061073630349716E-14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212.75657290802619</v>
      </c>
      <c r="HA161" s="59">
        <f t="shared" si="160"/>
        <v>411.47446316045978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6.0931791584934993</v>
      </c>
      <c r="HH161" s="21">
        <f>EXP(-LN(2)/25)*HH160+(1-EXP(-LN(2)/25))/(LN(2)/25)*Calculateur!HC161*Calculateur!HE161*VLOOKUP('Données projet'!$B$18,Paramètres!$A$1:$I$89,3,0)*0.475*44/12</f>
        <v>0.57260247797339092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6.6657816364668907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4.60745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16.893983333333335</v>
      </c>
      <c r="H162" s="66">
        <f t="shared" si="110"/>
        <v>189.09073333333333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329.60526059719638</v>
      </c>
      <c r="S162" s="59">
        <f ca="1">AVERAGE(OFFSET($R$3,0,0,'Données projet'!$E$9+1,1))-AVERAGE(OFFSET($H$3,0,0,'Données projet'!$E$9+1,1))</f>
        <v>564.49981446852132</v>
      </c>
      <c r="T162" s="59">
        <f t="shared" si="142"/>
        <v>297.54722913785406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19.8100000000004</v>
      </c>
      <c r="AJ162" s="13">
        <f>AI162*VLOOKUP('Données projet'!$B$10,Paramètres!$A$1:$I$89,3,0)*VLOOKUP('Données projet'!$B$10,Paramètres!$A$1:$I$89,5,0)</f>
        <v>20.08734000000041</v>
      </c>
      <c r="AK162" s="13">
        <f t="shared" si="164"/>
        <v>6.5285137703520215</v>
      </c>
      <c r="AL162" s="20">
        <f t="shared" si="165"/>
        <v>46.355945316697152</v>
      </c>
      <c r="AM162" s="59">
        <f t="shared" si="113"/>
        <v>334.46197570803861</v>
      </c>
      <c r="AN162" s="59">
        <f ca="1">AVERAGE(OFFSET($AM$3,0,0,'Données projet'!$E$10+1,1))-AVERAGE(OFFSET($H$3,0,0,'Données projet'!$E$10+1,1))</f>
        <v>623.16549611107564</v>
      </c>
      <c r="AO162" s="59">
        <f t="shared" si="144"/>
        <v>326.15178903425885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178.34914397037318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178.34914397037318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266.99999999999983</v>
      </c>
      <c r="BE162" s="13">
        <f>BD162*VLOOKUP('Données projet'!$B$11,Paramètres!$A$1:$I$89,3,0)*VLOOKUP('Données projet'!$B$11,Paramètres!$A$1:$I$89,5,0)</f>
        <v>216.59039999999987</v>
      </c>
      <c r="BF162" s="13">
        <f t="shared" si="167"/>
        <v>53.373153688190904</v>
      </c>
      <c r="BG162" s="20">
        <f t="shared" si="168"/>
        <v>470.18652267359886</v>
      </c>
      <c r="BH162" s="59">
        <f t="shared" si="116"/>
        <v>758.29255306494031</v>
      </c>
      <c r="BI162" s="59">
        <f ca="1">AVERAGE(OFFSET($BH$3,0,0,'Données projet'!$E$11+1,1))-AVERAGE(OFFSET($H$3,0,0,'Données projet'!$E$11+1,1))</f>
        <v>326.2912419133811</v>
      </c>
      <c r="BJ162" s="59">
        <f t="shared" si="146"/>
        <v>315.07976787459938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9.2538584410233344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9.2538584410233344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243</v>
      </c>
      <c r="BZ162" s="13">
        <f>BY162*VLOOKUP('Données projet'!$B$12,Paramètres!$A$1:$I$89,3,0)*VLOOKUP('Données projet'!$B$12,Paramètres!$A$1:$I$89,5,0)</f>
        <v>155.4228</v>
      </c>
      <c r="CA162" s="13">
        <f t="shared" si="170"/>
        <v>39.808377687614154</v>
      </c>
      <c r="CB162" s="20">
        <f t="shared" si="171"/>
        <v>340.02763447259463</v>
      </c>
      <c r="CC162" s="59">
        <f t="shared" si="119"/>
        <v>628.13366486393602</v>
      </c>
      <c r="CD162" s="59">
        <f ca="1">AVERAGE(OFFSET($CC$3,0,0,'Données projet'!$E$12+1,1))-AVERAGE(OFFSET($H$3,0,0,'Données projet'!$E$12+1,1))</f>
        <v>297.03992602744393</v>
      </c>
      <c r="CE162" s="59">
        <f t="shared" si="148"/>
        <v>265.2588848922893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12.776401694885118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12.776401694885118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367.99999999999972</v>
      </c>
      <c r="CU162" s="17">
        <f>CT162*VLOOKUP('Données projet'!$B$13,Paramètres!$A$1:$I$89,3,0)*VLOOKUP('Données projet'!$B$13,Paramètres!$A$1:$I$89,5,0)</f>
        <v>292.78079999999977</v>
      </c>
      <c r="CV162" s="13">
        <f t="shared" si="173"/>
        <v>69.660903052386217</v>
      </c>
      <c r="CW162" s="20">
        <f t="shared" si="174"/>
        <v>631.25263281623893</v>
      </c>
      <c r="CX162" s="59">
        <f t="shared" si="122"/>
        <v>919.35866320758032</v>
      </c>
      <c r="CY162" s="59">
        <f ca="1">AVERAGE(OFFSET($CX$3,0,0,'Données projet'!$E$13+1,1))-AVERAGE(OFFSET($H$3,0,0,'Données projet'!$E$13+1,1))</f>
        <v>427.42918901489531</v>
      </c>
      <c r="CZ162" s="59">
        <f t="shared" si="150"/>
        <v>410.68601510655412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12.89268621150431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12.89268621150431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19.8100000000004</v>
      </c>
      <c r="DP162" s="17">
        <f>DO162*VLOOKUP('Données projet'!$B$14,Paramètres!$A$1:$I$89,3,0)*VLOOKUP('Données projet'!$B$14,Paramètres!$A$1:$I$89,5,0)</f>
        <v>19.160232000000388</v>
      </c>
      <c r="DQ162" s="13">
        <f t="shared" si="176"/>
        <v>6.2615431735370342</v>
      </c>
      <c r="DR162" s="20">
        <f t="shared" si="177"/>
        <v>44.27625842724435</v>
      </c>
      <c r="DS162" s="59">
        <f t="shared" si="125"/>
        <v>332.38228881858578</v>
      </c>
      <c r="DT162" s="59">
        <f ca="1">AVERAGE(OFFSET($DS$3,0,0,'Données projet'!$E$14+1,1))-AVERAGE(OFFSET($H$3,0,0,'Données projet'!$E$14+1,1))</f>
        <v>598.03945725240396</v>
      </c>
      <c r="DU162" s="59">
        <f t="shared" si="152"/>
        <v>313.9014686755695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170.11764501789429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170.11764501789429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19.8100000000004</v>
      </c>
      <c r="EK162" s="17">
        <f>EJ162*VLOOKUP('Données projet'!$B$15,Paramètres!$A$1:$I$89,3,0)*VLOOKUP('Données projet'!$B$15,Paramètres!$A$1:$I$89,5,0)</f>
        <v>13.288548000000269</v>
      </c>
      <c r="EL162" s="13">
        <f t="shared" si="179"/>
        <v>4.531654695205642</v>
      </c>
      <c r="EM162" s="20">
        <f t="shared" si="180"/>
        <v>31.036853027483627</v>
      </c>
      <c r="EN162" s="59">
        <f t="shared" si="128"/>
        <v>319.14288341882508</v>
      </c>
      <c r="EO162" s="59">
        <f ca="1">AVERAGE(OFFSET($EN$3,0,0,'Données projet'!$E$15+1,1))-AVERAGE(OFFSET($H$3,0,0,'Données projet'!$E$15+1,1))</f>
        <v>438.27475674276604</v>
      </c>
      <c r="EP162" s="59">
        <f t="shared" si="154"/>
        <v>235.97720136798864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145.42314816045806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145.42314816045806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5.2499999999990337</v>
      </c>
      <c r="FF162" s="17">
        <f>FE162*VLOOKUP('Données projet'!$B$16,Paramètres!$A$1:$I$89,3,0)*VLOOKUP('Données projet'!$B$16,Paramètres!$A$1:$I$89,5,0)</f>
        <v>2.4569999999995478</v>
      </c>
      <c r="FG162" s="13">
        <f t="shared" si="182"/>
        <v>1.0197977774625564</v>
      </c>
      <c r="FH162" s="20">
        <f t="shared" si="183"/>
        <v>6.0554227957464972</v>
      </c>
      <c r="FI162" s="59">
        <f t="shared" si="131"/>
        <v>294.16145318708794</v>
      </c>
      <c r="FJ162" s="59">
        <f ca="1">AVERAGE(OFFSET($FI$3,0,0,'Données projet'!$E$16+1,1))-AVERAGE(OFFSET($H$3,0,0,'Données projet'!$E$16+1,1))</f>
        <v>329.49463758169588</v>
      </c>
      <c r="FK162" s="59">
        <f t="shared" si="156"/>
        <v>207.1447698203379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90.232964156167299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90.232964156167299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763.00000000000057</v>
      </c>
      <c r="GA162" s="17">
        <f>FZ162*VLOOKUP('Données projet'!$B$17,Paramètres!$A$1:$I$89,3,0)*VLOOKUP('Données projet'!$B$17,Paramètres!$A$1:$I$89,5,0)</f>
        <v>456.2740000000004</v>
      </c>
      <c r="GB162" s="13">
        <f t="shared" si="185"/>
        <v>103.09649786611838</v>
      </c>
      <c r="GC162" s="20">
        <f t="shared" si="186"/>
        <v>974.23695045015677</v>
      </c>
      <c r="GD162" s="59">
        <f t="shared" si="134"/>
        <v>1262.3429808414983</v>
      </c>
      <c r="GE162" s="59">
        <f ca="1">AVERAGE(OFFSET($GD$3,0,0,'Données projet'!$E$17+1,1))-AVERAGE(OFFSET($H$3,0,0,'Données projet'!$E$17+1,1))</f>
        <v>577.07444926285291</v>
      </c>
      <c r="GF162" s="59">
        <f t="shared" si="158"/>
        <v>501.3762209070419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22.261915057602497</v>
      </c>
      <c r="GM162" s="21">
        <f>EXP(-LN(2)/25)*GM161+(1-EXP(-LN(2)/25))/(LN(2)/25)*Calculateur!GH162*Calculateur!GJ162*VLOOKUP('Données projet'!$B$17,Paramètres!$A$1:$I$89,3,0)*0.475*44/12</f>
        <v>1.829805289481012</v>
      </c>
      <c r="GN162" s="21">
        <f>EXP(-LN(2)/2)*GN161+(1-EXP(-LN(2)/2))/(LN(2)/2)*GH162*GK162*VLOOKUP('Données projet'!$B$17,Paramètres!$A$1:$I$89,3,0)*0.475*44/12</f>
        <v>3.010899989214129E-21</v>
      </c>
      <c r="GO162" s="21">
        <f t="shared" si="187"/>
        <v>24.091720347083509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68.574371924911304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-5.6843418860808015E-14</v>
      </c>
      <c r="GV162" s="17">
        <f>GU162*VLOOKUP('Données projet'!$B$18,Paramètres!$A$1:$I$89,3,0)*VLOOKUP('Données projet'!$B$18,Paramètres!$A$1:$I$89,5,0)</f>
        <v>-3.0061073630349716E-14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212.75657290802619</v>
      </c>
      <c r="HA162" s="59">
        <f t="shared" si="160"/>
        <v>411.47446316045978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5.9736956316677574</v>
      </c>
      <c r="HH162" s="21">
        <f>EXP(-LN(2)/25)*HH161+(1-EXP(-LN(2)/25))/(LN(2)/25)*Calculateur!HC162*Calculateur!HE162*VLOOKUP('Données projet'!$B$18,Paramètres!$A$1:$I$89,3,0)*0.475*44/12</f>
        <v>0.55694463310135289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6.5306402647691106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4.60745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16.893983333333335</v>
      </c>
      <c r="H163" s="66">
        <f t="shared" si="110"/>
        <v>189.09073333333333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329.69594261674132</v>
      </c>
      <c r="S163" s="59">
        <f ca="1">AVERAGE(OFFSET($R$3,0,0,'Données projet'!$E$9+1,1))-AVERAGE(OFFSET($H$3,0,0,'Données projet'!$E$9+1,1))</f>
        <v>564.49981446852132</v>
      </c>
      <c r="T163" s="59">
        <f t="shared" si="142"/>
        <v>297.54722913785406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19.8100000000004</v>
      </c>
      <c r="AJ163" s="13">
        <f>AI163*VLOOKUP('Données projet'!$B$10,Paramètres!$A$1:$I$89,3,0)*VLOOKUP('Données projet'!$B$10,Paramètres!$A$1:$I$89,5,0)</f>
        <v>20.08734000000041</v>
      </c>
      <c r="AK163" s="13">
        <f t="shared" si="164"/>
        <v>6.5285137703520215</v>
      </c>
      <c r="AL163" s="20">
        <f t="shared" si="165"/>
        <v>46.355945316697152</v>
      </c>
      <c r="AM163" s="59">
        <f t="shared" si="113"/>
        <v>334.55265772758355</v>
      </c>
      <c r="AN163" s="59">
        <f ca="1">AVERAGE(OFFSET($AM$3,0,0,'Données projet'!$E$10+1,1))-AVERAGE(OFFSET($H$3,0,0,'Données projet'!$E$10+1,1))</f>
        <v>623.16549611107564</v>
      </c>
      <c r="AO163" s="59">
        <f t="shared" si="144"/>
        <v>326.15178903425885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174.85182603935064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174.85182603935064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266.99999999999983</v>
      </c>
      <c r="BE163" s="13">
        <f>BD163*VLOOKUP('Données projet'!$B$11,Paramètres!$A$1:$I$89,3,0)*VLOOKUP('Données projet'!$B$11,Paramètres!$A$1:$I$89,5,0)</f>
        <v>216.59039999999987</v>
      </c>
      <c r="BF163" s="13">
        <f t="shared" si="167"/>
        <v>53.373153688190904</v>
      </c>
      <c r="BG163" s="20">
        <f t="shared" si="168"/>
        <v>470.18652267359886</v>
      </c>
      <c r="BH163" s="59">
        <f t="shared" si="116"/>
        <v>758.38323508448525</v>
      </c>
      <c r="BI163" s="59">
        <f ca="1">AVERAGE(OFFSET($BH$3,0,0,'Données projet'!$E$11+1,1))-AVERAGE(OFFSET($H$3,0,0,'Données projet'!$E$11+1,1))</f>
        <v>326.2912419133811</v>
      </c>
      <c r="BJ163" s="59">
        <f t="shared" si="146"/>
        <v>315.07976787459938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9.0723959212911875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9.0723959212911875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243</v>
      </c>
      <c r="BZ163" s="13">
        <f>BY163*VLOOKUP('Données projet'!$B$12,Paramètres!$A$1:$I$89,3,0)*VLOOKUP('Données projet'!$B$12,Paramètres!$A$1:$I$89,5,0)</f>
        <v>155.4228</v>
      </c>
      <c r="CA163" s="13">
        <f t="shared" si="170"/>
        <v>39.808377687614154</v>
      </c>
      <c r="CB163" s="20">
        <f t="shared" si="171"/>
        <v>340.02763447259463</v>
      </c>
      <c r="CC163" s="59">
        <f t="shared" si="119"/>
        <v>628.22434688348108</v>
      </c>
      <c r="CD163" s="59">
        <f ca="1">AVERAGE(OFFSET($CC$3,0,0,'Données projet'!$E$12+1,1))-AVERAGE(OFFSET($H$3,0,0,'Données projet'!$E$12+1,1))</f>
        <v>297.03992602744393</v>
      </c>
      <c r="CE163" s="59">
        <f t="shared" si="148"/>
        <v>265.2588848922893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12.525864250483977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12.525864250483977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367.99999999999972</v>
      </c>
      <c r="CU163" s="17">
        <f>CT163*VLOOKUP('Données projet'!$B$13,Paramètres!$A$1:$I$89,3,0)*VLOOKUP('Données projet'!$B$13,Paramètres!$A$1:$I$89,5,0)</f>
        <v>292.78079999999977</v>
      </c>
      <c r="CV163" s="13">
        <f t="shared" si="173"/>
        <v>69.660903052386217</v>
      </c>
      <c r="CW163" s="20">
        <f t="shared" si="174"/>
        <v>631.25263281623893</v>
      </c>
      <c r="CX163" s="59">
        <f t="shared" si="122"/>
        <v>919.44934522712538</v>
      </c>
      <c r="CY163" s="59">
        <f ca="1">AVERAGE(OFFSET($CX$3,0,0,'Données projet'!$E$13+1,1))-AVERAGE(OFFSET($H$3,0,0,'Données projet'!$E$13+1,1))</f>
        <v>427.42918901489531</v>
      </c>
      <c r="CZ163" s="59">
        <f t="shared" si="150"/>
        <v>410.68601510655412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12.639868498658817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12.639868498658817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19.8100000000004</v>
      </c>
      <c r="DP163" s="17">
        <f>DO163*VLOOKUP('Données projet'!$B$14,Paramètres!$A$1:$I$89,3,0)*VLOOKUP('Données projet'!$B$14,Paramètres!$A$1:$I$89,5,0)</f>
        <v>19.160232000000388</v>
      </c>
      <c r="DQ163" s="13">
        <f t="shared" si="176"/>
        <v>6.2615431735370342</v>
      </c>
      <c r="DR163" s="20">
        <f t="shared" si="177"/>
        <v>44.27625842724435</v>
      </c>
      <c r="DS163" s="59">
        <f t="shared" si="125"/>
        <v>332.47297083813072</v>
      </c>
      <c r="DT163" s="59">
        <f ca="1">AVERAGE(OFFSET($DS$3,0,0,'Données projet'!$E$14+1,1))-AVERAGE(OFFSET($H$3,0,0,'Données projet'!$E$14+1,1))</f>
        <v>598.03945725240396</v>
      </c>
      <c r="DU163" s="59">
        <f t="shared" si="152"/>
        <v>313.9014686755695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166.78174176061125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166.78174176061125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19.8100000000004</v>
      </c>
      <c r="EK163" s="17">
        <f>EJ163*VLOOKUP('Données projet'!$B$15,Paramètres!$A$1:$I$89,3,0)*VLOOKUP('Données projet'!$B$15,Paramètres!$A$1:$I$89,5,0)</f>
        <v>13.288548000000269</v>
      </c>
      <c r="EL163" s="13">
        <f t="shared" si="179"/>
        <v>4.531654695205642</v>
      </c>
      <c r="EM163" s="20">
        <f t="shared" si="180"/>
        <v>31.036853027483627</v>
      </c>
      <c r="EN163" s="59">
        <f t="shared" si="128"/>
        <v>319.23356543837002</v>
      </c>
      <c r="EO163" s="59">
        <f ca="1">AVERAGE(OFFSET($EN$3,0,0,'Données projet'!$E$15+1,1))-AVERAGE(OFFSET($H$3,0,0,'Données projet'!$E$15+1,1))</f>
        <v>438.27475674276604</v>
      </c>
      <c r="EP163" s="59">
        <f t="shared" si="154"/>
        <v>235.97720136798864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142.57148892439352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142.57148892439352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5.2499999999990337</v>
      </c>
      <c r="FF163" s="17">
        <f>FE163*VLOOKUP('Données projet'!$B$16,Paramètres!$A$1:$I$89,3,0)*VLOOKUP('Données projet'!$B$16,Paramètres!$A$1:$I$89,5,0)</f>
        <v>2.4569999999995478</v>
      </c>
      <c r="FG163" s="13">
        <f t="shared" si="182"/>
        <v>1.0197977774625564</v>
      </c>
      <c r="FH163" s="20">
        <f t="shared" si="183"/>
        <v>6.0554227957464972</v>
      </c>
      <c r="FI163" s="59">
        <f t="shared" si="131"/>
        <v>294.25213520663289</v>
      </c>
      <c r="FJ163" s="59">
        <f ca="1">AVERAGE(OFFSET($FI$3,0,0,'Données projet'!$E$16+1,1))-AVERAGE(OFFSET($H$3,0,0,'Données projet'!$E$16+1,1))</f>
        <v>329.49463758169588</v>
      </c>
      <c r="FK163" s="59">
        <f t="shared" si="156"/>
        <v>207.1447698203379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88.463550765738574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88.463550765738574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763.00000000000057</v>
      </c>
      <c r="GA163" s="17">
        <f>FZ163*VLOOKUP('Données projet'!$B$17,Paramètres!$A$1:$I$89,3,0)*VLOOKUP('Données projet'!$B$17,Paramètres!$A$1:$I$89,5,0)</f>
        <v>456.2740000000004</v>
      </c>
      <c r="GB163" s="13">
        <f t="shared" si="185"/>
        <v>103.09649786611838</v>
      </c>
      <c r="GC163" s="20">
        <f t="shared" si="186"/>
        <v>974.23695045015677</v>
      </c>
      <c r="GD163" s="59">
        <f t="shared" si="134"/>
        <v>1262.4336628610431</v>
      </c>
      <c r="GE163" s="59">
        <f ca="1">AVERAGE(OFFSET($GD$3,0,0,'Données projet'!$E$17+1,1))-AVERAGE(OFFSET($H$3,0,0,'Données projet'!$E$17+1,1))</f>
        <v>577.07444926285291</v>
      </c>
      <c r="GF163" s="59">
        <f t="shared" si="158"/>
        <v>501.3762209070419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21.825372481750339</v>
      </c>
      <c r="GM163" s="21">
        <f>EXP(-LN(2)/25)*GM162+(1-EXP(-LN(2)/25))/(LN(2)/25)*Calculateur!GH163*Calculateur!GJ163*VLOOKUP('Données projet'!$B$17,Paramètres!$A$1:$I$89,3,0)*0.475*44/12</f>
        <v>1.7797691676148757</v>
      </c>
      <c r="GN163" s="21">
        <f>EXP(-LN(2)/2)*GN162+(1-EXP(-LN(2)/2))/(LN(2)/2)*GH163*GK163*VLOOKUP('Données projet'!$B$17,Paramètres!$A$1:$I$89,3,0)*0.475*44/12</f>
        <v>2.1290277998478134E-21</v>
      </c>
      <c r="GO163" s="21">
        <f t="shared" si="187"/>
        <v>23.605141649365216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68.599103384787199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-5.6843418860808015E-14</v>
      </c>
      <c r="GV163" s="17">
        <f>GU163*VLOOKUP('Données projet'!$B$18,Paramètres!$A$1:$I$89,3,0)*VLOOKUP('Données projet'!$B$18,Paramètres!$A$1:$I$89,5,0)</f>
        <v>-3.0061073630349716E-14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212.75657290802619</v>
      </c>
      <c r="HA163" s="59">
        <f t="shared" si="160"/>
        <v>411.47446316045978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5.856555103925313</v>
      </c>
      <c r="HH163" s="21">
        <f>EXP(-LN(2)/25)*HH162+(1-EXP(-LN(2)/25))/(LN(2)/25)*Calculateur!HC163*Calculateur!HE163*VLOOKUP('Données projet'!$B$18,Paramètres!$A$1:$I$89,3,0)*0.475*44/12</f>
        <v>0.54171495282075111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6.398270056746064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4.60745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16.893983333333335</v>
      </c>
      <c r="H164" s="66">
        <f t="shared" si="110"/>
        <v>189.09073333333333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329.78505150598176</v>
      </c>
      <c r="S164" s="59">
        <f ca="1">AVERAGE(OFFSET($R$3,0,0,'Données projet'!$E$9+1,1))-AVERAGE(OFFSET($H$3,0,0,'Données projet'!$E$9+1,1))</f>
        <v>564.49981446852132</v>
      </c>
      <c r="T164" s="59">
        <f t="shared" si="142"/>
        <v>297.54722913785406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19.8100000000004</v>
      </c>
      <c r="AJ164" s="13">
        <f>AI164*VLOOKUP('Données projet'!$B$10,Paramètres!$A$1:$I$89,3,0)*VLOOKUP('Données projet'!$B$10,Paramètres!$A$1:$I$89,5,0)</f>
        <v>20.08734000000041</v>
      </c>
      <c r="AK164" s="13">
        <f t="shared" si="164"/>
        <v>6.5285137703520215</v>
      </c>
      <c r="AL164" s="20">
        <f t="shared" si="165"/>
        <v>46.355945316697152</v>
      </c>
      <c r="AM164" s="59">
        <f t="shared" si="113"/>
        <v>334.64176661682399</v>
      </c>
      <c r="AN164" s="59">
        <f ca="1">AVERAGE(OFFSET($AM$3,0,0,'Données projet'!$E$10+1,1))-AVERAGE(OFFSET($H$3,0,0,'Données projet'!$E$10+1,1))</f>
        <v>623.16549611107564</v>
      </c>
      <c r="AO164" s="59">
        <f t="shared" si="144"/>
        <v>326.15178903425885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171.42308837980212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171.42308837980212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266.99999999999983</v>
      </c>
      <c r="BE164" s="13">
        <f>BD164*VLOOKUP('Données projet'!$B$11,Paramètres!$A$1:$I$89,3,0)*VLOOKUP('Données projet'!$B$11,Paramètres!$A$1:$I$89,5,0)</f>
        <v>216.59039999999987</v>
      </c>
      <c r="BF164" s="13">
        <f t="shared" si="167"/>
        <v>53.373153688190904</v>
      </c>
      <c r="BG164" s="20">
        <f t="shared" si="168"/>
        <v>470.18652267359886</v>
      </c>
      <c r="BH164" s="59">
        <f t="shared" si="116"/>
        <v>758.47234397372563</v>
      </c>
      <c r="BI164" s="59">
        <f ca="1">AVERAGE(OFFSET($BH$3,0,0,'Données projet'!$E$11+1,1))-AVERAGE(OFFSET($H$3,0,0,'Données projet'!$E$11+1,1))</f>
        <v>326.2912419133811</v>
      </c>
      <c r="BJ164" s="59">
        <f t="shared" si="146"/>
        <v>315.07976787459938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8.8944917708897808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8.8944917708897808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243</v>
      </c>
      <c r="BZ164" s="13">
        <f>BY164*VLOOKUP('Données projet'!$B$12,Paramètres!$A$1:$I$89,3,0)*VLOOKUP('Données projet'!$B$12,Paramètres!$A$1:$I$89,5,0)</f>
        <v>155.4228</v>
      </c>
      <c r="CA164" s="13">
        <f t="shared" si="170"/>
        <v>39.808377687614154</v>
      </c>
      <c r="CB164" s="20">
        <f t="shared" si="171"/>
        <v>340.02763447259463</v>
      </c>
      <c r="CC164" s="59">
        <f t="shared" si="119"/>
        <v>628.31345577272145</v>
      </c>
      <c r="CD164" s="59">
        <f ca="1">AVERAGE(OFFSET($CC$3,0,0,'Données projet'!$E$12+1,1))-AVERAGE(OFFSET($H$3,0,0,'Données projet'!$E$12+1,1))</f>
        <v>297.03992602744393</v>
      </c>
      <c r="CE164" s="59">
        <f t="shared" si="148"/>
        <v>265.2588848922893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12.280239692554789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12.280239692554789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367.99999999999972</v>
      </c>
      <c r="CU164" s="17">
        <f>CT164*VLOOKUP('Données projet'!$B$13,Paramètres!$A$1:$I$89,3,0)*VLOOKUP('Données projet'!$B$13,Paramètres!$A$1:$I$89,5,0)</f>
        <v>292.78079999999977</v>
      </c>
      <c r="CV164" s="13">
        <f t="shared" si="173"/>
        <v>69.660903052386217</v>
      </c>
      <c r="CW164" s="20">
        <f t="shared" si="174"/>
        <v>631.25263281623893</v>
      </c>
      <c r="CX164" s="59">
        <f t="shared" si="122"/>
        <v>919.53845411636576</v>
      </c>
      <c r="CY164" s="59">
        <f ca="1">AVERAGE(OFFSET($CX$3,0,0,'Données projet'!$E$13+1,1))-AVERAGE(OFFSET($H$3,0,0,'Données projet'!$E$13+1,1))</f>
        <v>427.42918901489531</v>
      </c>
      <c r="CZ164" s="59">
        <f t="shared" si="150"/>
        <v>410.68601510655412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12.392008386958647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12.392008386958647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19.8100000000004</v>
      </c>
      <c r="DP164" s="17">
        <f>DO164*VLOOKUP('Données projet'!$B$14,Paramètres!$A$1:$I$89,3,0)*VLOOKUP('Données projet'!$B$14,Paramètres!$A$1:$I$89,5,0)</f>
        <v>19.160232000000388</v>
      </c>
      <c r="DQ164" s="13">
        <f t="shared" si="176"/>
        <v>6.2615431735370342</v>
      </c>
      <c r="DR164" s="20">
        <f t="shared" si="177"/>
        <v>44.27625842724435</v>
      </c>
      <c r="DS164" s="59">
        <f t="shared" si="125"/>
        <v>332.56207972737116</v>
      </c>
      <c r="DT164" s="59">
        <f ca="1">AVERAGE(OFFSET($DS$3,0,0,'Données projet'!$E$14+1,1))-AVERAGE(OFFSET($H$3,0,0,'Données projet'!$E$14+1,1))</f>
        <v>598.03945725240396</v>
      </c>
      <c r="DU164" s="59">
        <f t="shared" si="152"/>
        <v>313.9014686755695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163.51125353150346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163.51125353150346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19.8100000000004</v>
      </c>
      <c r="EK164" s="17">
        <f>EJ164*VLOOKUP('Données projet'!$B$15,Paramètres!$A$1:$I$89,3,0)*VLOOKUP('Données projet'!$B$15,Paramètres!$A$1:$I$89,5,0)</f>
        <v>13.288548000000269</v>
      </c>
      <c r="EL164" s="13">
        <f t="shared" si="179"/>
        <v>4.531654695205642</v>
      </c>
      <c r="EM164" s="20">
        <f t="shared" si="180"/>
        <v>31.036853027483627</v>
      </c>
      <c r="EN164" s="59">
        <f t="shared" si="128"/>
        <v>319.32267432761046</v>
      </c>
      <c r="EO164" s="59">
        <f ca="1">AVERAGE(OFFSET($EN$3,0,0,'Données projet'!$E$15+1,1))-AVERAGE(OFFSET($H$3,0,0,'Données projet'!$E$15+1,1))</f>
        <v>438.27475674276604</v>
      </c>
      <c r="EP164" s="59">
        <f t="shared" si="154"/>
        <v>235.97720136798864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139.77574898660782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139.77574898660782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5.2499999999990337</v>
      </c>
      <c r="FF164" s="17">
        <f>FE164*VLOOKUP('Données projet'!$B$16,Paramètres!$A$1:$I$89,3,0)*VLOOKUP('Données projet'!$B$16,Paramètres!$A$1:$I$89,5,0)</f>
        <v>2.4569999999995478</v>
      </c>
      <c r="FG164" s="13">
        <f t="shared" si="182"/>
        <v>1.0197977774625564</v>
      </c>
      <c r="FH164" s="20">
        <f t="shared" si="183"/>
        <v>6.0554227957464972</v>
      </c>
      <c r="FI164" s="59">
        <f t="shared" si="131"/>
        <v>294.34124409587332</v>
      </c>
      <c r="FJ164" s="59">
        <f ca="1">AVERAGE(OFFSET($FI$3,0,0,'Données projet'!$E$16+1,1))-AVERAGE(OFFSET($H$3,0,0,'Données projet'!$E$16+1,1))</f>
        <v>329.49463758169588</v>
      </c>
      <c r="FK164" s="59">
        <f t="shared" si="156"/>
        <v>207.1447698203379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86.728834492660553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86.728834492660553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763.00000000000057</v>
      </c>
      <c r="GA164" s="17">
        <f>FZ164*VLOOKUP('Données projet'!$B$17,Paramètres!$A$1:$I$89,3,0)*VLOOKUP('Données projet'!$B$17,Paramètres!$A$1:$I$89,5,0)</f>
        <v>456.2740000000004</v>
      </c>
      <c r="GB164" s="13">
        <f t="shared" si="185"/>
        <v>103.09649786611838</v>
      </c>
      <c r="GC164" s="20">
        <f t="shared" si="186"/>
        <v>974.23695045015677</v>
      </c>
      <c r="GD164" s="59">
        <f t="shared" si="134"/>
        <v>1262.5227717502835</v>
      </c>
      <c r="GE164" s="59">
        <f ca="1">AVERAGE(OFFSET($GD$3,0,0,'Données projet'!$E$17+1,1))-AVERAGE(OFFSET($H$3,0,0,'Données projet'!$E$17+1,1))</f>
        <v>577.07444926285291</v>
      </c>
      <c r="GF164" s="59">
        <f t="shared" si="158"/>
        <v>501.3762209070419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21.397390239545963</v>
      </c>
      <c r="GM164" s="21">
        <f>EXP(-LN(2)/25)*GM163+(1-EXP(-LN(2)/25))/(LN(2)/25)*Calculateur!GH164*Calculateur!GJ164*VLOOKUP('Données projet'!$B$17,Paramètres!$A$1:$I$89,3,0)*0.475*44/12</f>
        <v>1.7311012861324542</v>
      </c>
      <c r="GN164" s="21">
        <f>EXP(-LN(2)/2)*GN163+(1-EXP(-LN(2)/2))/(LN(2)/2)*GH164*GK164*VLOOKUP('Données projet'!$B$17,Paramètres!$A$1:$I$89,3,0)*0.475*44/12</f>
        <v>1.5054499946070645E-21</v>
      </c>
      <c r="GO164" s="21">
        <f t="shared" si="187"/>
        <v>23.128491525678417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68.623405809125501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-5.6843418860808015E-14</v>
      </c>
      <c r="GV164" s="17">
        <f>GU164*VLOOKUP('Données projet'!$B$18,Paramètres!$A$1:$I$89,3,0)*VLOOKUP('Données projet'!$B$18,Paramètres!$A$1:$I$89,5,0)</f>
        <v>-3.0061073630349716E-14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212.75657290802619</v>
      </c>
      <c r="HA164" s="59">
        <f t="shared" si="160"/>
        <v>411.47446316045978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5.7417116304832305</v>
      </c>
      <c r="HH164" s="21">
        <f>EXP(-LN(2)/25)*HH163+(1-EXP(-LN(2)/25))/(LN(2)/25)*Calculateur!HC164*Calculateur!HE164*VLOOKUP('Données projet'!$B$18,Paramètres!$A$1:$I$89,3,0)*0.475*44/12</f>
        <v>0.52690172894831644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6.268613359431547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4.60745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16.893983333333335</v>
      </c>
      <c r="H165" s="66">
        <f t="shared" si="110"/>
        <v>189.09073333333333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329.87261455521156</v>
      </c>
      <c r="S165" s="59">
        <f ca="1">AVERAGE(OFFSET($R$3,0,0,'Données projet'!$E$9+1,1))-AVERAGE(OFFSET($H$3,0,0,'Données projet'!$E$9+1,1))</f>
        <v>564.49981446852132</v>
      </c>
      <c r="T165" s="59">
        <f t="shared" si="142"/>
        <v>297.54722913785406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19.8100000000004</v>
      </c>
      <c r="AJ165" s="13">
        <f>AI165*VLOOKUP('Données projet'!$B$10,Paramètres!$A$1:$I$89,3,0)*VLOOKUP('Données projet'!$B$10,Paramètres!$A$1:$I$89,5,0)</f>
        <v>20.08734000000041</v>
      </c>
      <c r="AK165" s="13">
        <f t="shared" si="164"/>
        <v>6.5285137703520215</v>
      </c>
      <c r="AL165" s="20">
        <f t="shared" si="165"/>
        <v>46.355945316697152</v>
      </c>
      <c r="AM165" s="59">
        <f t="shared" si="113"/>
        <v>334.72932966605379</v>
      </c>
      <c r="AN165" s="59">
        <f ca="1">AVERAGE(OFFSET($AM$3,0,0,'Données projet'!$E$10+1,1))-AVERAGE(OFFSET($H$3,0,0,'Données projet'!$E$10+1,1))</f>
        <v>623.16549611107564</v>
      </c>
      <c r="AO165" s="59">
        <f t="shared" si="144"/>
        <v>326.15178903425885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168.0615861744339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168.0615861744339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266.99999999999983</v>
      </c>
      <c r="BE165" s="13">
        <f>BD165*VLOOKUP('Données projet'!$B$11,Paramètres!$A$1:$I$89,3,0)*VLOOKUP('Données projet'!$B$11,Paramètres!$A$1:$I$89,5,0)</f>
        <v>216.59039999999987</v>
      </c>
      <c r="BF165" s="13">
        <f t="shared" si="167"/>
        <v>53.373153688190904</v>
      </c>
      <c r="BG165" s="20">
        <f t="shared" si="168"/>
        <v>470.18652267359886</v>
      </c>
      <c r="BH165" s="59">
        <f t="shared" si="116"/>
        <v>758.55990702295549</v>
      </c>
      <c r="BI165" s="59">
        <f ca="1">AVERAGE(OFFSET($BH$3,0,0,'Données projet'!$E$11+1,1))-AVERAGE(OFFSET($H$3,0,0,'Données projet'!$E$11+1,1))</f>
        <v>326.2912419133811</v>
      </c>
      <c r="BJ165" s="59">
        <f t="shared" si="146"/>
        <v>315.07976787459938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8.7200762123669282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8.7200762123669282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243</v>
      </c>
      <c r="BZ165" s="13">
        <f>BY165*VLOOKUP('Données projet'!$B$12,Paramètres!$A$1:$I$89,3,0)*VLOOKUP('Données projet'!$B$12,Paramètres!$A$1:$I$89,5,0)</f>
        <v>155.4228</v>
      </c>
      <c r="CA165" s="13">
        <f t="shared" si="170"/>
        <v>39.808377687614154</v>
      </c>
      <c r="CB165" s="20">
        <f t="shared" si="171"/>
        <v>340.02763447259463</v>
      </c>
      <c r="CC165" s="59">
        <f t="shared" si="119"/>
        <v>628.40101882195131</v>
      </c>
      <c r="CD165" s="59">
        <f ca="1">AVERAGE(OFFSET($CC$3,0,0,'Données projet'!$E$12+1,1))-AVERAGE(OFFSET($H$3,0,0,'Données projet'!$E$12+1,1))</f>
        <v>297.03992602744393</v>
      </c>
      <c r="CE165" s="59">
        <f t="shared" si="148"/>
        <v>265.2588848922893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12.039431682390406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12.039431682390406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367.99999999999972</v>
      </c>
      <c r="CU165" s="17">
        <f>CT165*VLOOKUP('Données projet'!$B$13,Paramètres!$A$1:$I$89,3,0)*VLOOKUP('Données projet'!$B$13,Paramètres!$A$1:$I$89,5,0)</f>
        <v>292.78079999999977</v>
      </c>
      <c r="CV165" s="13">
        <f t="shared" si="173"/>
        <v>69.660903052386217</v>
      </c>
      <c r="CW165" s="20">
        <f t="shared" si="174"/>
        <v>631.25263281623893</v>
      </c>
      <c r="CX165" s="59">
        <f t="shared" si="122"/>
        <v>919.62601716559561</v>
      </c>
      <c r="CY165" s="59">
        <f ca="1">AVERAGE(OFFSET($CX$3,0,0,'Données projet'!$E$13+1,1))-AVERAGE(OFFSET($H$3,0,0,'Données projet'!$E$13+1,1))</f>
        <v>427.42918901489531</v>
      </c>
      <c r="CZ165" s="59">
        <f t="shared" si="150"/>
        <v>410.68601510655412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12.149008660869177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12.149008660869177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19.8100000000004</v>
      </c>
      <c r="DP165" s="17">
        <f>DO165*VLOOKUP('Données projet'!$B$14,Paramètres!$A$1:$I$89,3,0)*VLOOKUP('Données projet'!$B$14,Paramètres!$A$1:$I$89,5,0)</f>
        <v>19.160232000000388</v>
      </c>
      <c r="DQ165" s="13">
        <f t="shared" si="176"/>
        <v>6.2615431735370342</v>
      </c>
      <c r="DR165" s="20">
        <f t="shared" si="177"/>
        <v>44.27625842724435</v>
      </c>
      <c r="DS165" s="59">
        <f t="shared" si="125"/>
        <v>332.64964277660096</v>
      </c>
      <c r="DT165" s="59">
        <f ca="1">AVERAGE(OFFSET($DS$3,0,0,'Données projet'!$E$14+1,1))-AVERAGE(OFFSET($H$3,0,0,'Données projet'!$E$14+1,1))</f>
        <v>598.03945725240396</v>
      </c>
      <c r="DU165" s="59">
        <f t="shared" si="152"/>
        <v>313.9014686755695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160.30489758176762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160.30489758176762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19.8100000000004</v>
      </c>
      <c r="EK165" s="17">
        <f>EJ165*VLOOKUP('Données projet'!$B$15,Paramètres!$A$1:$I$89,3,0)*VLOOKUP('Données projet'!$B$15,Paramètres!$A$1:$I$89,5,0)</f>
        <v>13.288548000000269</v>
      </c>
      <c r="EL165" s="13">
        <f t="shared" si="179"/>
        <v>4.531654695205642</v>
      </c>
      <c r="EM165" s="20">
        <f t="shared" si="180"/>
        <v>31.036853027483627</v>
      </c>
      <c r="EN165" s="59">
        <f t="shared" si="128"/>
        <v>319.41023737684026</v>
      </c>
      <c r="EO165" s="59">
        <f ca="1">AVERAGE(OFFSET($EN$3,0,0,'Données projet'!$E$15+1,1))-AVERAGE(OFFSET($H$3,0,0,'Données projet'!$E$15+1,1))</f>
        <v>438.27475674276604</v>
      </c>
      <c r="EP165" s="59">
        <f t="shared" si="154"/>
        <v>235.97720136798864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137.03483180376912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137.03483180376912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5.2499999999990337</v>
      </c>
      <c r="FF165" s="17">
        <f>FE165*VLOOKUP('Données projet'!$B$16,Paramètres!$A$1:$I$89,3,0)*VLOOKUP('Données projet'!$B$16,Paramètres!$A$1:$I$89,5,0)</f>
        <v>2.4569999999995478</v>
      </c>
      <c r="FG165" s="13">
        <f t="shared" si="182"/>
        <v>1.0197977774625564</v>
      </c>
      <c r="FH165" s="20">
        <f t="shared" si="183"/>
        <v>6.0554227957464972</v>
      </c>
      <c r="FI165" s="59">
        <f t="shared" si="131"/>
        <v>294.42880714510312</v>
      </c>
      <c r="FJ165" s="59">
        <f ca="1">AVERAGE(OFFSET($FI$3,0,0,'Données projet'!$E$16+1,1))-AVERAGE(OFFSET($H$3,0,0,'Données projet'!$E$16+1,1))</f>
        <v>329.49463758169588</v>
      </c>
      <c r="FK165" s="59">
        <f t="shared" si="156"/>
        <v>207.1447698203379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85.028134947625148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85.028134947625148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763.00000000000057</v>
      </c>
      <c r="GA165" s="17">
        <f>FZ165*VLOOKUP('Données projet'!$B$17,Paramètres!$A$1:$I$89,3,0)*VLOOKUP('Données projet'!$B$17,Paramètres!$A$1:$I$89,5,0)</f>
        <v>456.2740000000004</v>
      </c>
      <c r="GB165" s="13">
        <f t="shared" si="185"/>
        <v>103.09649786611838</v>
      </c>
      <c r="GC165" s="20">
        <f t="shared" si="186"/>
        <v>974.23695045015677</v>
      </c>
      <c r="GD165" s="59">
        <f t="shared" si="134"/>
        <v>1262.6103347995133</v>
      </c>
      <c r="GE165" s="59">
        <f ca="1">AVERAGE(OFFSET($GD$3,0,0,'Données projet'!$E$17+1,1))-AVERAGE(OFFSET($H$3,0,0,'Données projet'!$E$17+1,1))</f>
        <v>577.07444926285291</v>
      </c>
      <c r="GF165" s="59">
        <f t="shared" si="158"/>
        <v>501.3762209070419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20.977800468067823</v>
      </c>
      <c r="GM165" s="21">
        <f>EXP(-LN(2)/25)*GM164+(1-EXP(-LN(2)/25))/(LN(2)/25)*Calculateur!GH165*Calculateur!GJ165*VLOOKUP('Données projet'!$B$17,Paramètres!$A$1:$I$89,3,0)*0.475*44/12</f>
        <v>1.6837642304285021</v>
      </c>
      <c r="GN165" s="21">
        <f>EXP(-LN(2)/2)*GN164+(1-EXP(-LN(2)/2))/(LN(2)/2)*GH165*GK165*VLOOKUP('Données projet'!$B$17,Paramètres!$A$1:$I$89,3,0)*0.475*44/12</f>
        <v>1.0645138999239067E-21</v>
      </c>
      <c r="GO165" s="21">
        <f t="shared" si="187"/>
        <v>22.661564698496324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68.647286640733626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-5.6843418860808015E-14</v>
      </c>
      <c r="GV165" s="17">
        <f>GU165*VLOOKUP('Données projet'!$B$18,Paramètres!$A$1:$I$89,3,0)*VLOOKUP('Données projet'!$B$18,Paramètres!$A$1:$I$89,5,0)</f>
        <v>-3.0061073630349716E-14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212.75657290802619</v>
      </c>
      <c r="HA165" s="59">
        <f t="shared" si="160"/>
        <v>411.47446316045978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5.6291201675077458</v>
      </c>
      <c r="HH165" s="21">
        <f>EXP(-LN(2)/25)*HH164+(1-EXP(-LN(2)/25))/(LN(2)/25)*Calculateur!HC165*Calculateur!HE165*VLOOKUP('Données projet'!$B$18,Paramètres!$A$1:$I$89,3,0)*0.475*44/12</f>
        <v>0.51249357346166702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6.1416137409694125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4.60745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16.893983333333335</v>
      </c>
      <c r="H166" s="66">
        <f t="shared" si="110"/>
        <v>189.09073333333333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329.95865858129883</v>
      </c>
      <c r="S166" s="59">
        <f ca="1">AVERAGE(OFFSET($R$3,0,0,'Données projet'!$E$9+1,1))-AVERAGE(OFFSET($H$3,0,0,'Données projet'!$E$9+1,1))</f>
        <v>564.49981446852132</v>
      </c>
      <c r="T166" s="59">
        <f t="shared" si="142"/>
        <v>297.54722913785406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19.8100000000004</v>
      </c>
      <c r="AJ166" s="13">
        <f>AI166*VLOOKUP('Données projet'!$B$10,Paramètres!$A$1:$I$89,3,0)*VLOOKUP('Données projet'!$B$10,Paramètres!$A$1:$I$89,5,0)</f>
        <v>20.08734000000041</v>
      </c>
      <c r="AK166" s="13">
        <f t="shared" si="164"/>
        <v>6.5285137703520215</v>
      </c>
      <c r="AL166" s="20">
        <f t="shared" si="165"/>
        <v>46.355945316697152</v>
      </c>
      <c r="AM166" s="59">
        <f t="shared" si="113"/>
        <v>334.81537369214107</v>
      </c>
      <c r="AN166" s="59">
        <f ca="1">AVERAGE(OFFSET($AM$3,0,0,'Données projet'!$E$10+1,1))-AVERAGE(OFFSET($H$3,0,0,'Données projet'!$E$10+1,1))</f>
        <v>623.16549611107564</v>
      </c>
      <c r="AO166" s="59">
        <f t="shared" si="144"/>
        <v>326.15178903425885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164.76600097699904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164.76600097699904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266.99999999999983</v>
      </c>
      <c r="BE166" s="13">
        <f>BD166*VLOOKUP('Données projet'!$B$11,Paramètres!$A$1:$I$89,3,0)*VLOOKUP('Données projet'!$B$11,Paramètres!$A$1:$I$89,5,0)</f>
        <v>216.59039999999987</v>
      </c>
      <c r="BF166" s="13">
        <f t="shared" si="167"/>
        <v>53.373153688190904</v>
      </c>
      <c r="BG166" s="20">
        <f t="shared" si="168"/>
        <v>470.18652267359886</v>
      </c>
      <c r="BH166" s="59">
        <f t="shared" si="116"/>
        <v>758.64595104904276</v>
      </c>
      <c r="BI166" s="59">
        <f ca="1">AVERAGE(OFFSET($BH$3,0,0,'Données projet'!$E$11+1,1))-AVERAGE(OFFSET($H$3,0,0,'Données projet'!$E$11+1,1))</f>
        <v>326.2912419133811</v>
      </c>
      <c r="BJ166" s="59">
        <f t="shared" si="146"/>
        <v>315.07976787459938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8.5490808365637214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8.5490808365637214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243</v>
      </c>
      <c r="BZ166" s="13">
        <f>BY166*VLOOKUP('Données projet'!$B$12,Paramètres!$A$1:$I$89,3,0)*VLOOKUP('Données projet'!$B$12,Paramètres!$A$1:$I$89,5,0)</f>
        <v>155.4228</v>
      </c>
      <c r="CA166" s="13">
        <f t="shared" si="170"/>
        <v>39.808377687614154</v>
      </c>
      <c r="CB166" s="20">
        <f t="shared" si="171"/>
        <v>340.02763447259463</v>
      </c>
      <c r="CC166" s="59">
        <f t="shared" si="119"/>
        <v>628.48706284803848</v>
      </c>
      <c r="CD166" s="59">
        <f ca="1">AVERAGE(OFFSET($CC$3,0,0,'Données projet'!$E$12+1,1))-AVERAGE(OFFSET($H$3,0,0,'Données projet'!$E$12+1,1))</f>
        <v>297.03992602744393</v>
      </c>
      <c r="CE166" s="59">
        <f t="shared" si="148"/>
        <v>265.2588848922893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11.803345770426963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11.803345770426963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367.99999999999972</v>
      </c>
      <c r="CU166" s="17">
        <f>CT166*VLOOKUP('Données projet'!$B$13,Paramètres!$A$1:$I$89,3,0)*VLOOKUP('Données projet'!$B$13,Paramètres!$A$1:$I$89,5,0)</f>
        <v>292.78079999999977</v>
      </c>
      <c r="CV166" s="13">
        <f t="shared" si="173"/>
        <v>69.660903052386217</v>
      </c>
      <c r="CW166" s="20">
        <f t="shared" si="174"/>
        <v>631.25263281623893</v>
      </c>
      <c r="CX166" s="59">
        <f t="shared" si="122"/>
        <v>919.71206119168278</v>
      </c>
      <c r="CY166" s="59">
        <f ca="1">AVERAGE(OFFSET($CX$3,0,0,'Données projet'!$E$13+1,1))-AVERAGE(OFFSET($H$3,0,0,'Données projet'!$E$13+1,1))</f>
        <v>427.42918901489531</v>
      </c>
      <c r="CZ166" s="59">
        <f t="shared" si="150"/>
        <v>410.68601510655412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11.910774011193123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11.910774011193123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19.8100000000004</v>
      </c>
      <c r="DP166" s="17">
        <f>DO166*VLOOKUP('Données projet'!$B$14,Paramètres!$A$1:$I$89,3,0)*VLOOKUP('Données projet'!$B$14,Paramètres!$A$1:$I$89,5,0)</f>
        <v>19.160232000000388</v>
      </c>
      <c r="DQ166" s="13">
        <f t="shared" si="176"/>
        <v>6.2615431735370342</v>
      </c>
      <c r="DR166" s="20">
        <f t="shared" si="177"/>
        <v>44.27625842724435</v>
      </c>
      <c r="DS166" s="59">
        <f t="shared" si="125"/>
        <v>332.73568680268824</v>
      </c>
      <c r="DT166" s="59">
        <f ca="1">AVERAGE(OFFSET($DS$3,0,0,'Données projet'!$E$14+1,1))-AVERAGE(OFFSET($H$3,0,0,'Données projet'!$E$14+1,1))</f>
        <v>598.03945725240396</v>
      </c>
      <c r="DU166" s="59">
        <f t="shared" si="152"/>
        <v>313.9014686755695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157.16141631652206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157.16141631652206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19.8100000000004</v>
      </c>
      <c r="EK166" s="17">
        <f>EJ166*VLOOKUP('Données projet'!$B$15,Paramètres!$A$1:$I$89,3,0)*VLOOKUP('Données projet'!$B$15,Paramètres!$A$1:$I$89,5,0)</f>
        <v>13.288548000000269</v>
      </c>
      <c r="EL166" s="13">
        <f t="shared" si="179"/>
        <v>4.531654695205642</v>
      </c>
      <c r="EM166" s="20">
        <f t="shared" si="180"/>
        <v>31.036853027483627</v>
      </c>
      <c r="EN166" s="59">
        <f t="shared" si="128"/>
        <v>319.49628140292754</v>
      </c>
      <c r="EO166" s="59">
        <f ca="1">AVERAGE(OFFSET($EN$3,0,0,'Données projet'!$E$15+1,1))-AVERAGE(OFFSET($H$3,0,0,'Données projet'!$E$15+1,1))</f>
        <v>438.27475674276604</v>
      </c>
      <c r="EP166" s="59">
        <f t="shared" si="154"/>
        <v>235.97720136798864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134.34766233509148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134.34766233509148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5.2499999999990337</v>
      </c>
      <c r="FF166" s="17">
        <f>FE166*VLOOKUP('Données projet'!$B$16,Paramètres!$A$1:$I$89,3,0)*VLOOKUP('Données projet'!$B$16,Paramètres!$A$1:$I$89,5,0)</f>
        <v>2.4569999999995478</v>
      </c>
      <c r="FG166" s="13">
        <f t="shared" si="182"/>
        <v>1.0197977774625564</v>
      </c>
      <c r="FH166" s="20">
        <f t="shared" si="183"/>
        <v>6.0554227957464972</v>
      </c>
      <c r="FI166" s="59">
        <f t="shared" si="131"/>
        <v>294.5148511711904</v>
      </c>
      <c r="FJ166" s="59">
        <f ca="1">AVERAGE(OFFSET($FI$3,0,0,'Données projet'!$E$16+1,1))-AVERAGE(OFFSET($H$3,0,0,'Données projet'!$E$16+1,1))</f>
        <v>329.49463758169588</v>
      </c>
      <c r="FK166" s="59">
        <f t="shared" si="156"/>
        <v>207.1447698203379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83.360785083343586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83.360785083343586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763.00000000000057</v>
      </c>
      <c r="GA166" s="17">
        <f>FZ166*VLOOKUP('Données projet'!$B$17,Paramètres!$A$1:$I$89,3,0)*VLOOKUP('Données projet'!$B$17,Paramètres!$A$1:$I$89,5,0)</f>
        <v>456.2740000000004</v>
      </c>
      <c r="GB166" s="13">
        <f t="shared" si="185"/>
        <v>103.09649786611838</v>
      </c>
      <c r="GC166" s="20">
        <f t="shared" si="186"/>
        <v>974.23695045015677</v>
      </c>
      <c r="GD166" s="59">
        <f t="shared" si="134"/>
        <v>1262.6963788256007</v>
      </c>
      <c r="GE166" s="59">
        <f ca="1">AVERAGE(OFFSET($GD$3,0,0,'Données projet'!$E$17+1,1))-AVERAGE(OFFSET($H$3,0,0,'Données projet'!$E$17+1,1))</f>
        <v>577.07444926285291</v>
      </c>
      <c r="GF166" s="59">
        <f t="shared" si="158"/>
        <v>501.3762209070419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20.566438596083877</v>
      </c>
      <c r="GM166" s="21">
        <f>EXP(-LN(2)/25)*GM165+(1-EXP(-LN(2)/25))/(LN(2)/25)*Calculateur!GH166*Calculateur!GJ166*VLOOKUP('Données projet'!$B$17,Paramètres!$A$1:$I$89,3,0)*0.475*44/12</f>
        <v>1.637721609002122</v>
      </c>
      <c r="GN166" s="21">
        <f>EXP(-LN(2)/2)*GN165+(1-EXP(-LN(2)/2))/(LN(2)/2)*GH166*GK166*VLOOKUP('Données projet'!$B$17,Paramètres!$A$1:$I$89,3,0)*0.475*44/12</f>
        <v>7.5272499730353225E-22</v>
      </c>
      <c r="GO166" s="21">
        <f t="shared" si="187"/>
        <v>22.204160205085998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68.670753193302886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-5.6843418860808015E-14</v>
      </c>
      <c r="GV166" s="17">
        <f>GU166*VLOOKUP('Données projet'!$B$18,Paramètres!$A$1:$I$89,3,0)*VLOOKUP('Données projet'!$B$18,Paramètres!$A$1:$I$89,5,0)</f>
        <v>-3.0061073630349716E-14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212.75657290802619</v>
      </c>
      <c r="HA166" s="59">
        <f t="shared" si="160"/>
        <v>411.47446316045978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5.5187365544471989</v>
      </c>
      <c r="HH166" s="21">
        <f>EXP(-LN(2)/25)*HH165+(1-EXP(-LN(2)/25))/(LN(2)/25)*Calculateur!HC166*Calculateur!HE166*VLOOKUP('Données projet'!$B$18,Paramètres!$A$1:$I$89,3,0)*0.475*44/12</f>
        <v>0.49847940974449201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6.0172159641916911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4.60745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16.893983333333335</v>
      </c>
      <c r="H167" s="66">
        <f t="shared" si="110"/>
        <v>189.09073333333333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330.04320993589914</v>
      </c>
      <c r="S167" s="59">
        <f ca="1">AVERAGE(OFFSET($R$3,0,0,'Données projet'!$E$9+1,1))-AVERAGE(OFFSET($H$3,0,0,'Données projet'!$E$9+1,1))</f>
        <v>564.49981446852132</v>
      </c>
      <c r="T167" s="59">
        <f t="shared" si="142"/>
        <v>297.54722913785406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19.8100000000004</v>
      </c>
      <c r="AJ167" s="13">
        <f>AI167*VLOOKUP('Données projet'!$B$10,Paramètres!$A$1:$I$89,3,0)*VLOOKUP('Données projet'!$B$10,Paramètres!$A$1:$I$89,5,0)</f>
        <v>20.08734000000041</v>
      </c>
      <c r="AK167" s="13">
        <f t="shared" si="164"/>
        <v>6.5285137703520215</v>
      </c>
      <c r="AL167" s="20">
        <f t="shared" si="165"/>
        <v>46.355945316697152</v>
      </c>
      <c r="AM167" s="59">
        <f t="shared" si="113"/>
        <v>334.89992504674137</v>
      </c>
      <c r="AN167" s="59">
        <f ca="1">AVERAGE(OFFSET($AM$3,0,0,'Données projet'!$E$10+1,1))-AVERAGE(OFFSET($H$3,0,0,'Données projet'!$E$10+1,1))</f>
        <v>623.16549611107564</v>
      </c>
      <c r="AO167" s="59">
        <f t="shared" si="144"/>
        <v>326.15178903425885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161.5350401951774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161.5350401951774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266.99999999999983</v>
      </c>
      <c r="BE167" s="13">
        <f>BD167*VLOOKUP('Données projet'!$B$11,Paramètres!$A$1:$I$89,3,0)*VLOOKUP('Données projet'!$B$11,Paramètres!$A$1:$I$89,5,0)</f>
        <v>216.59039999999987</v>
      </c>
      <c r="BF167" s="13">
        <f t="shared" si="167"/>
        <v>53.373153688190904</v>
      </c>
      <c r="BG167" s="20">
        <f t="shared" si="168"/>
        <v>470.18652267359886</v>
      </c>
      <c r="BH167" s="59">
        <f t="shared" si="116"/>
        <v>758.73050240364307</v>
      </c>
      <c r="BI167" s="59">
        <f ca="1">AVERAGE(OFFSET($BH$3,0,0,'Données projet'!$E$11+1,1))-AVERAGE(OFFSET($H$3,0,0,'Données projet'!$E$11+1,1))</f>
        <v>326.2912419133811</v>
      </c>
      <c r="BJ167" s="59">
        <f t="shared" si="146"/>
        <v>315.07976787459938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8.381438575783136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8.381438575783136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243</v>
      </c>
      <c r="BZ167" s="13">
        <f>BY167*VLOOKUP('Données projet'!$B$12,Paramètres!$A$1:$I$89,3,0)*VLOOKUP('Données projet'!$B$12,Paramètres!$A$1:$I$89,5,0)</f>
        <v>155.4228</v>
      </c>
      <c r="CA167" s="13">
        <f t="shared" si="170"/>
        <v>39.808377687614154</v>
      </c>
      <c r="CB167" s="20">
        <f t="shared" si="171"/>
        <v>340.02763447259463</v>
      </c>
      <c r="CC167" s="59">
        <f t="shared" si="119"/>
        <v>628.57161420263878</v>
      </c>
      <c r="CD167" s="59">
        <f ca="1">AVERAGE(OFFSET($CC$3,0,0,'Données projet'!$E$12+1,1))-AVERAGE(OFFSET($H$3,0,0,'Données projet'!$E$12+1,1))</f>
        <v>297.03992602744393</v>
      </c>
      <c r="CE167" s="59">
        <f t="shared" si="148"/>
        <v>265.2588848922893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11.571889359198936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11.571889359198936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367.99999999999972</v>
      </c>
      <c r="CU167" s="17">
        <f>CT167*VLOOKUP('Données projet'!$B$13,Paramètres!$A$1:$I$89,3,0)*VLOOKUP('Données projet'!$B$13,Paramètres!$A$1:$I$89,5,0)</f>
        <v>292.78079999999977</v>
      </c>
      <c r="CV167" s="13">
        <f t="shared" si="173"/>
        <v>69.660903052386217</v>
      </c>
      <c r="CW167" s="20">
        <f t="shared" si="174"/>
        <v>631.25263281623893</v>
      </c>
      <c r="CX167" s="59">
        <f t="shared" si="122"/>
        <v>919.79661254628309</v>
      </c>
      <c r="CY167" s="59">
        <f ca="1">AVERAGE(OFFSET($CX$3,0,0,'Données projet'!$E$13+1,1))-AVERAGE(OFFSET($H$3,0,0,'Données projet'!$E$13+1,1))</f>
        <v>427.42918901489531</v>
      </c>
      <c r="CZ167" s="59">
        <f t="shared" si="150"/>
        <v>410.68601510655412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11.677210997688428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11.677210997688428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19.8100000000004</v>
      </c>
      <c r="DP167" s="17">
        <f>DO167*VLOOKUP('Données projet'!$B$14,Paramètres!$A$1:$I$89,3,0)*VLOOKUP('Données projet'!$B$14,Paramètres!$A$1:$I$89,5,0)</f>
        <v>19.160232000000388</v>
      </c>
      <c r="DQ167" s="13">
        <f t="shared" si="176"/>
        <v>6.2615431735370342</v>
      </c>
      <c r="DR167" s="20">
        <f t="shared" si="177"/>
        <v>44.27625842724435</v>
      </c>
      <c r="DS167" s="59">
        <f t="shared" si="125"/>
        <v>332.82023815728854</v>
      </c>
      <c r="DT167" s="59">
        <f ca="1">AVERAGE(OFFSET($DS$3,0,0,'Données projet'!$E$14+1,1))-AVERAGE(OFFSET($H$3,0,0,'Données projet'!$E$14+1,1))</f>
        <v>598.03945725240396</v>
      </c>
      <c r="DU167" s="59">
        <f t="shared" si="152"/>
        <v>313.9014686755695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154.07957680155374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154.07957680155374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19.8100000000004</v>
      </c>
      <c r="EK167" s="17">
        <f>EJ167*VLOOKUP('Données projet'!$B$15,Paramètres!$A$1:$I$89,3,0)*VLOOKUP('Données projet'!$B$15,Paramètres!$A$1:$I$89,5,0)</f>
        <v>13.288548000000269</v>
      </c>
      <c r="EL167" s="13">
        <f t="shared" si="179"/>
        <v>4.531654695205642</v>
      </c>
      <c r="EM167" s="20">
        <f t="shared" si="180"/>
        <v>31.036853027483627</v>
      </c>
      <c r="EN167" s="59">
        <f t="shared" si="128"/>
        <v>319.58083275752784</v>
      </c>
      <c r="EO167" s="59">
        <f ca="1">AVERAGE(OFFSET($EN$3,0,0,'Données projet'!$E$15+1,1))-AVERAGE(OFFSET($H$3,0,0,'Données projet'!$E$15+1,1))</f>
        <v>438.27475674276604</v>
      </c>
      <c r="EP167" s="59">
        <f t="shared" si="154"/>
        <v>235.97720136798864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131.71318662068308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131.71318662068308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5.2499999999990337</v>
      </c>
      <c r="FF167" s="17">
        <f>FE167*VLOOKUP('Données projet'!$B$16,Paramètres!$A$1:$I$89,3,0)*VLOOKUP('Données projet'!$B$16,Paramètres!$A$1:$I$89,5,0)</f>
        <v>2.4569999999995478</v>
      </c>
      <c r="FG167" s="13">
        <f t="shared" si="182"/>
        <v>1.0197977774625564</v>
      </c>
      <c r="FH167" s="20">
        <f t="shared" si="183"/>
        <v>6.0554227957464972</v>
      </c>
      <c r="FI167" s="59">
        <f t="shared" si="131"/>
        <v>294.59940252579071</v>
      </c>
      <c r="FJ167" s="59">
        <f ca="1">AVERAGE(OFFSET($FI$3,0,0,'Données projet'!$E$16+1,1))-AVERAGE(OFFSET($H$3,0,0,'Données projet'!$E$16+1,1))</f>
        <v>329.49463758169588</v>
      </c>
      <c r="FK167" s="59">
        <f t="shared" si="156"/>
        <v>207.1447698203379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81.726130932917584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81.726130932917584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763.00000000000057</v>
      </c>
      <c r="GA167" s="17">
        <f>FZ167*VLOOKUP('Données projet'!$B$17,Paramètres!$A$1:$I$89,3,0)*VLOOKUP('Données projet'!$B$17,Paramètres!$A$1:$I$89,5,0)</f>
        <v>456.2740000000004</v>
      </c>
      <c r="GB167" s="13">
        <f t="shared" si="185"/>
        <v>103.09649786611838</v>
      </c>
      <c r="GC167" s="20">
        <f t="shared" si="186"/>
        <v>974.23695045015677</v>
      </c>
      <c r="GD167" s="59">
        <f t="shared" si="134"/>
        <v>1262.780930180201</v>
      </c>
      <c r="GE167" s="59">
        <f ca="1">AVERAGE(OFFSET($GD$3,0,0,'Données projet'!$E$17+1,1))-AVERAGE(OFFSET($H$3,0,0,'Données projet'!$E$17+1,1))</f>
        <v>577.07444926285291</v>
      </c>
      <c r="GF167" s="59">
        <f t="shared" si="158"/>
        <v>501.3762209070419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20.163143279503569</v>
      </c>
      <c r="GM167" s="21">
        <f>EXP(-LN(2)/25)*GM166+(1-EXP(-LN(2)/25))/(LN(2)/25)*Calculateur!GH167*Calculateur!GJ167*VLOOKUP('Données projet'!$B$17,Paramètres!$A$1:$I$89,3,0)*0.475*44/12</f>
        <v>1.5929380254799226</v>
      </c>
      <c r="GN167" s="21">
        <f>EXP(-LN(2)/2)*GN166+(1-EXP(-LN(2)/2))/(LN(2)/2)*GH167*GK167*VLOOKUP('Données projet'!$B$17,Paramètres!$A$1:$I$89,3,0)*0.475*44/12</f>
        <v>5.3225694996195335E-22</v>
      </c>
      <c r="GO167" s="21">
        <f t="shared" si="187"/>
        <v>21.756081304983493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68.693812653648422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-5.6843418860808015E-14</v>
      </c>
      <c r="GV167" s="17">
        <f>GU167*VLOOKUP('Données projet'!$B$18,Paramètres!$A$1:$I$89,3,0)*VLOOKUP('Données projet'!$B$18,Paramètres!$A$1:$I$89,5,0)</f>
        <v>-3.0061073630349716E-14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212.75657290802619</v>
      </c>
      <c r="HA167" s="59">
        <f t="shared" si="160"/>
        <v>411.47446316045978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5.4105174967114129</v>
      </c>
      <c r="HH167" s="21">
        <f>EXP(-LN(2)/25)*HH166+(1-EXP(-LN(2)/25))/(LN(2)/25)*Calculateur!HC167*Calculateur!HE167*VLOOKUP('Données projet'!$B$18,Paramètres!$A$1:$I$89,3,0)*0.475*44/12</f>
        <v>0.48484846407113602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5.8953659607825486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4.60745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16.893983333333335</v>
      </c>
      <c r="H168" s="66">
        <f t="shared" si="110"/>
        <v>189.09073333333333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330.12629451352564</v>
      </c>
      <c r="S168" s="59">
        <f ca="1">AVERAGE(OFFSET($R$3,0,0,'Données projet'!$E$9+1,1))-AVERAGE(OFFSET($H$3,0,0,'Données projet'!$E$9+1,1))</f>
        <v>564.49981446852132</v>
      </c>
      <c r="T168" s="59">
        <f t="shared" si="142"/>
        <v>297.54722913785406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19.8100000000004</v>
      </c>
      <c r="AJ168" s="13">
        <f>AI168*VLOOKUP('Données projet'!$B$10,Paramètres!$A$1:$I$89,3,0)*VLOOKUP('Données projet'!$B$10,Paramètres!$A$1:$I$89,5,0)</f>
        <v>20.08734000000041</v>
      </c>
      <c r="AK168" s="13">
        <f t="shared" si="164"/>
        <v>6.5285137703520215</v>
      </c>
      <c r="AL168" s="20">
        <f t="shared" si="165"/>
        <v>46.355945316697152</v>
      </c>
      <c r="AM168" s="59">
        <f t="shared" si="113"/>
        <v>334.98300962436787</v>
      </c>
      <c r="AN168" s="59">
        <f ca="1">AVERAGE(OFFSET($AM$3,0,0,'Données projet'!$E$10+1,1))-AVERAGE(OFFSET($H$3,0,0,'Données projet'!$E$10+1,1))</f>
        <v>623.16549611107564</v>
      </c>
      <c r="AO168" s="59">
        <f t="shared" si="144"/>
        <v>326.15178903425885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158.3674365835958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158.3674365835958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266.99999999999983</v>
      </c>
      <c r="BE168" s="13">
        <f>BD168*VLOOKUP('Données projet'!$B$11,Paramètres!$A$1:$I$89,3,0)*VLOOKUP('Données projet'!$B$11,Paramètres!$A$1:$I$89,5,0)</f>
        <v>216.59039999999987</v>
      </c>
      <c r="BF168" s="13">
        <f t="shared" si="167"/>
        <v>53.373153688190904</v>
      </c>
      <c r="BG168" s="20">
        <f t="shared" si="168"/>
        <v>470.18652267359886</v>
      </c>
      <c r="BH168" s="59">
        <f t="shared" si="116"/>
        <v>758.81358698126951</v>
      </c>
      <c r="BI168" s="59">
        <f ca="1">AVERAGE(OFFSET($BH$3,0,0,'Données projet'!$E$11+1,1))-AVERAGE(OFFSET($H$3,0,0,'Données projet'!$E$11+1,1))</f>
        <v>326.2912419133811</v>
      </c>
      <c r="BJ168" s="59">
        <f t="shared" si="146"/>
        <v>315.07976787459938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8.2170836774847746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8.2170836774847746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243</v>
      </c>
      <c r="BZ168" s="13">
        <f>BY168*VLOOKUP('Données projet'!$B$12,Paramètres!$A$1:$I$89,3,0)*VLOOKUP('Données projet'!$B$12,Paramètres!$A$1:$I$89,5,0)</f>
        <v>155.4228</v>
      </c>
      <c r="CA168" s="13">
        <f t="shared" si="170"/>
        <v>39.808377687614154</v>
      </c>
      <c r="CB168" s="20">
        <f t="shared" si="171"/>
        <v>340.02763447259463</v>
      </c>
      <c r="CC168" s="59">
        <f t="shared" si="119"/>
        <v>628.65469878026533</v>
      </c>
      <c r="CD168" s="59">
        <f ca="1">AVERAGE(OFFSET($CC$3,0,0,'Données projet'!$E$12+1,1))-AVERAGE(OFFSET($H$3,0,0,'Données projet'!$E$12+1,1))</f>
        <v>297.03992602744393</v>
      </c>
      <c r="CE168" s="59">
        <f t="shared" si="148"/>
        <v>265.2588848922893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11.344971667020619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11.344971667020619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367.99999999999972</v>
      </c>
      <c r="CU168" s="17">
        <f>CT168*VLOOKUP('Données projet'!$B$13,Paramètres!$A$1:$I$89,3,0)*VLOOKUP('Données projet'!$B$13,Paramètres!$A$1:$I$89,5,0)</f>
        <v>292.78079999999977</v>
      </c>
      <c r="CV168" s="13">
        <f t="shared" si="173"/>
        <v>69.660903052386217</v>
      </c>
      <c r="CW168" s="20">
        <f t="shared" si="174"/>
        <v>631.25263281623893</v>
      </c>
      <c r="CX168" s="59">
        <f t="shared" si="122"/>
        <v>919.87969712390964</v>
      </c>
      <c r="CY168" s="59">
        <f ca="1">AVERAGE(OFFSET($CX$3,0,0,'Données projet'!$E$13+1,1))-AVERAGE(OFFSET($H$3,0,0,'Données projet'!$E$13+1,1))</f>
        <v>427.42918901489531</v>
      </c>
      <c r="CZ168" s="59">
        <f t="shared" si="150"/>
        <v>410.68601510655412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11.44822801241919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11.44822801241919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19.8100000000004</v>
      </c>
      <c r="DP168" s="17">
        <f>DO168*VLOOKUP('Données projet'!$B$14,Paramètres!$A$1:$I$89,3,0)*VLOOKUP('Données projet'!$B$14,Paramètres!$A$1:$I$89,5,0)</f>
        <v>19.160232000000388</v>
      </c>
      <c r="DQ168" s="13">
        <f t="shared" si="176"/>
        <v>6.2615431735370342</v>
      </c>
      <c r="DR168" s="20">
        <f t="shared" si="177"/>
        <v>44.27625842724435</v>
      </c>
      <c r="DS168" s="59">
        <f t="shared" si="125"/>
        <v>332.90332273491504</v>
      </c>
      <c r="DT168" s="59">
        <f ca="1">AVERAGE(OFFSET($DS$3,0,0,'Données projet'!$E$14+1,1))-AVERAGE(OFFSET($H$3,0,0,'Données projet'!$E$14+1,1))</f>
        <v>598.03945725240396</v>
      </c>
      <c r="DU168" s="59">
        <f t="shared" si="152"/>
        <v>313.9014686755695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151.05817027973745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151.05817027973745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19.8100000000004</v>
      </c>
      <c r="EK168" s="17">
        <f>EJ168*VLOOKUP('Données projet'!$B$15,Paramètres!$A$1:$I$89,3,0)*VLOOKUP('Données projet'!$B$15,Paramètres!$A$1:$I$89,5,0)</f>
        <v>13.288548000000269</v>
      </c>
      <c r="EL168" s="13">
        <f t="shared" si="179"/>
        <v>4.531654695205642</v>
      </c>
      <c r="EM168" s="20">
        <f t="shared" si="180"/>
        <v>31.036853027483627</v>
      </c>
      <c r="EN168" s="59">
        <f t="shared" si="128"/>
        <v>319.66391733515434</v>
      </c>
      <c r="EO168" s="59">
        <f ca="1">AVERAGE(OFFSET($EN$3,0,0,'Données projet'!$E$15+1,1))-AVERAGE(OFFSET($H$3,0,0,'Données projet'!$E$15+1,1))</f>
        <v>438.27475674276604</v>
      </c>
      <c r="EP168" s="59">
        <f t="shared" si="154"/>
        <v>235.97720136798864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129.13037136816268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129.13037136816268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5.2499999999990337</v>
      </c>
      <c r="FF168" s="17">
        <f>FE168*VLOOKUP('Données projet'!$B$16,Paramètres!$A$1:$I$89,3,0)*VLOOKUP('Données projet'!$B$16,Paramètres!$A$1:$I$89,5,0)</f>
        <v>2.4569999999995478</v>
      </c>
      <c r="FG168" s="13">
        <f t="shared" si="182"/>
        <v>1.0197977774625564</v>
      </c>
      <c r="FH168" s="20">
        <f t="shared" si="183"/>
        <v>6.0554227957464972</v>
      </c>
      <c r="FI168" s="59">
        <f t="shared" si="131"/>
        <v>294.6824871034172</v>
      </c>
      <c r="FJ168" s="59">
        <f ca="1">AVERAGE(OFFSET($FI$3,0,0,'Données projet'!$E$16+1,1))-AVERAGE(OFFSET($H$3,0,0,'Données projet'!$E$16+1,1))</f>
        <v>329.49463758169588</v>
      </c>
      <c r="FK168" s="59">
        <f t="shared" si="156"/>
        <v>207.1447698203379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80.123531353340852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80.123531353340852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763.00000000000057</v>
      </c>
      <c r="GA168" s="17">
        <f>FZ168*VLOOKUP('Données projet'!$B$17,Paramètres!$A$1:$I$89,3,0)*VLOOKUP('Données projet'!$B$17,Paramètres!$A$1:$I$89,5,0)</f>
        <v>456.2740000000004</v>
      </c>
      <c r="GB168" s="13">
        <f t="shared" si="185"/>
        <v>103.09649786611838</v>
      </c>
      <c r="GC168" s="20">
        <f t="shared" si="186"/>
        <v>974.23695045015677</v>
      </c>
      <c r="GD168" s="59">
        <f t="shared" si="134"/>
        <v>1262.8640147578276</v>
      </c>
      <c r="GE168" s="59">
        <f ca="1">AVERAGE(OFFSET($GD$3,0,0,'Données projet'!$E$17+1,1))-AVERAGE(OFFSET($H$3,0,0,'Données projet'!$E$17+1,1))</f>
        <v>577.07444926285291</v>
      </c>
      <c r="GF168" s="59">
        <f t="shared" si="158"/>
        <v>501.3762209070419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19.767756338095548</v>
      </c>
      <c r="GM168" s="21">
        <f>EXP(-LN(2)/25)*GM167+(1-EXP(-LN(2)/25))/(LN(2)/25)*Calculateur!GH168*Calculateur!GJ168*VLOOKUP('Données projet'!$B$17,Paramètres!$A$1:$I$89,3,0)*0.475*44/12</f>
        <v>1.5493790514042041</v>
      </c>
      <c r="GN168" s="21">
        <f>EXP(-LN(2)/2)*GN167+(1-EXP(-LN(2)/2))/(LN(2)/2)*GH168*GK168*VLOOKUP('Données projet'!$B$17,Paramètres!$A$1:$I$89,3,0)*0.475*44/12</f>
        <v>3.7636249865176612E-22</v>
      </c>
      <c r="GO168" s="21">
        <f t="shared" si="187"/>
        <v>21.317135389499754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68.71647208391019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-5.6843418860808015E-14</v>
      </c>
      <c r="GV168" s="17">
        <f>GU168*VLOOKUP('Données projet'!$B$18,Paramètres!$A$1:$I$89,3,0)*VLOOKUP('Données projet'!$B$18,Paramètres!$A$1:$I$89,5,0)</f>
        <v>-3.0061073630349716E-14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212.75657290802619</v>
      </c>
      <c r="HA168" s="59">
        <f t="shared" si="160"/>
        <v>411.47446316045978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5.3044205486907181</v>
      </c>
      <c r="HH168" s="21">
        <f>EXP(-LN(2)/25)*HH167+(1-EXP(-LN(2)/25))/(LN(2)/25)*Calculateur!HC168*Calculateur!HE168*VLOOKUP('Données projet'!$B$18,Paramètres!$A$1:$I$89,3,0)*0.475*44/12</f>
        <v>0.4715902573240382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5.7760108060147566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4.60745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16.893983333333335</v>
      </c>
      <c r="H169" s="66">
        <f t="shared" si="110"/>
        <v>189.09073333333333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330.20793775947965</v>
      </c>
      <c r="S169" s="59">
        <f ca="1">AVERAGE(OFFSET($R$3,0,0,'Données projet'!$E$9+1,1))-AVERAGE(OFFSET($H$3,0,0,'Données projet'!$E$9+1,1))</f>
        <v>564.49981446852132</v>
      </c>
      <c r="T169" s="59">
        <f t="shared" si="142"/>
        <v>297.54722913785406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19.8100000000004</v>
      </c>
      <c r="AJ169" s="13">
        <f>AI169*VLOOKUP('Données projet'!$B$10,Paramètres!$A$1:$I$89,3,0)*VLOOKUP('Données projet'!$B$10,Paramètres!$A$1:$I$89,5,0)</f>
        <v>20.08734000000041</v>
      </c>
      <c r="AK169" s="13">
        <f t="shared" si="164"/>
        <v>6.5285137703520215</v>
      </c>
      <c r="AL169" s="20">
        <f t="shared" si="165"/>
        <v>46.355945316697152</v>
      </c>
      <c r="AM169" s="59">
        <f t="shared" si="113"/>
        <v>335.06465287032188</v>
      </c>
      <c r="AN169" s="59">
        <f ca="1">AVERAGE(OFFSET($AM$3,0,0,'Données projet'!$E$10+1,1))-AVERAGE(OFFSET($H$3,0,0,'Données projet'!$E$10+1,1))</f>
        <v>623.16549611107564</v>
      </c>
      <c r="AO169" s="59">
        <f t="shared" si="144"/>
        <v>326.15178903425885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155.26194774678987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155.26194774678987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266.99999999999983</v>
      </c>
      <c r="BE169" s="13">
        <f>BD169*VLOOKUP('Données projet'!$B$11,Paramètres!$A$1:$I$89,3,0)*VLOOKUP('Données projet'!$B$11,Paramètres!$A$1:$I$89,5,0)</f>
        <v>216.59039999999987</v>
      </c>
      <c r="BF169" s="13">
        <f t="shared" si="167"/>
        <v>53.373153688190904</v>
      </c>
      <c r="BG169" s="20">
        <f t="shared" si="168"/>
        <v>470.18652267359886</v>
      </c>
      <c r="BH169" s="59">
        <f t="shared" si="116"/>
        <v>758.89523022722358</v>
      </c>
      <c r="BI169" s="59">
        <f ca="1">AVERAGE(OFFSET($BH$3,0,0,'Données projet'!$E$11+1,1))-AVERAGE(OFFSET($H$3,0,0,'Données projet'!$E$11+1,1))</f>
        <v>326.2912419133811</v>
      </c>
      <c r="BJ169" s="59">
        <f t="shared" si="146"/>
        <v>315.07976787459938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8.0559516784954557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8.0559516784954557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243</v>
      </c>
      <c r="BZ169" s="13">
        <f>BY169*VLOOKUP('Données projet'!$B$12,Paramètres!$A$1:$I$89,3,0)*VLOOKUP('Données projet'!$B$12,Paramètres!$A$1:$I$89,5,0)</f>
        <v>155.4228</v>
      </c>
      <c r="CA169" s="13">
        <f t="shared" si="170"/>
        <v>39.808377687614154</v>
      </c>
      <c r="CB169" s="20">
        <f t="shared" si="171"/>
        <v>340.02763447259463</v>
      </c>
      <c r="CC169" s="59">
        <f t="shared" si="119"/>
        <v>628.73634202621929</v>
      </c>
      <c r="CD169" s="59">
        <f ca="1">AVERAGE(OFFSET($CC$3,0,0,'Données projet'!$E$12+1,1))-AVERAGE(OFFSET($H$3,0,0,'Données projet'!$E$12+1,1))</f>
        <v>297.03992602744393</v>
      </c>
      <c r="CE169" s="59">
        <f t="shared" si="148"/>
        <v>265.2588848922893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11.122503692379793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11.122503692379793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367.99999999999972</v>
      </c>
      <c r="CU169" s="17">
        <f>CT169*VLOOKUP('Données projet'!$B$13,Paramètres!$A$1:$I$89,3,0)*VLOOKUP('Données projet'!$B$13,Paramètres!$A$1:$I$89,5,0)</f>
        <v>292.78079999999977</v>
      </c>
      <c r="CV169" s="13">
        <f t="shared" si="173"/>
        <v>69.660903052386217</v>
      </c>
      <c r="CW169" s="20">
        <f t="shared" si="174"/>
        <v>631.25263281623893</v>
      </c>
      <c r="CX169" s="59">
        <f t="shared" si="122"/>
        <v>919.96134036986359</v>
      </c>
      <c r="CY169" s="59">
        <f ca="1">AVERAGE(OFFSET($CX$3,0,0,'Données projet'!$E$13+1,1))-AVERAGE(OFFSET($H$3,0,0,'Données projet'!$E$13+1,1))</f>
        <v>427.42918901489531</v>
      </c>
      <c r="CZ169" s="59">
        <f t="shared" si="150"/>
        <v>410.68601510655412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11.223735243825249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11.223735243825249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19.8100000000004</v>
      </c>
      <c r="DP169" s="17">
        <f>DO169*VLOOKUP('Données projet'!$B$14,Paramètres!$A$1:$I$89,3,0)*VLOOKUP('Données projet'!$B$14,Paramètres!$A$1:$I$89,5,0)</f>
        <v>19.160232000000388</v>
      </c>
      <c r="DQ169" s="13">
        <f t="shared" si="176"/>
        <v>6.2615431735370342</v>
      </c>
      <c r="DR169" s="20">
        <f t="shared" si="177"/>
        <v>44.27625842724435</v>
      </c>
      <c r="DS169" s="59">
        <f t="shared" si="125"/>
        <v>332.98496598086905</v>
      </c>
      <c r="DT169" s="59">
        <f ca="1">AVERAGE(OFFSET($DS$3,0,0,'Données projet'!$E$14+1,1))-AVERAGE(OFFSET($H$3,0,0,'Données projet'!$E$14+1,1))</f>
        <v>598.03945725240396</v>
      </c>
      <c r="DU169" s="59">
        <f t="shared" si="152"/>
        <v>313.9014686755695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148.09601169693795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148.09601169693795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19.8100000000004</v>
      </c>
      <c r="EK169" s="17">
        <f>EJ169*VLOOKUP('Données projet'!$B$15,Paramètres!$A$1:$I$89,3,0)*VLOOKUP('Données projet'!$B$15,Paramètres!$A$1:$I$89,5,0)</f>
        <v>13.288548000000269</v>
      </c>
      <c r="EL169" s="13">
        <f t="shared" si="179"/>
        <v>4.531654695205642</v>
      </c>
      <c r="EM169" s="20">
        <f t="shared" si="180"/>
        <v>31.036853027483627</v>
      </c>
      <c r="EN169" s="59">
        <f t="shared" si="128"/>
        <v>319.74556058110835</v>
      </c>
      <c r="EO169" s="59">
        <f ca="1">AVERAGE(OFFSET($EN$3,0,0,'Données projet'!$E$15+1,1))-AVERAGE(OFFSET($H$3,0,0,'Données projet'!$E$15+1,1))</f>
        <v>438.27475674276604</v>
      </c>
      <c r="EP169" s="59">
        <f t="shared" si="154"/>
        <v>235.97720136798864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126.59820354738247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126.59820354738247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5.2499999999990337</v>
      </c>
      <c r="FF169" s="17">
        <f>FE169*VLOOKUP('Données projet'!$B$16,Paramètres!$A$1:$I$89,3,0)*VLOOKUP('Données projet'!$B$16,Paramètres!$A$1:$I$89,5,0)</f>
        <v>2.4569999999995478</v>
      </c>
      <c r="FG169" s="13">
        <f t="shared" si="182"/>
        <v>1.0197977774625564</v>
      </c>
      <c r="FH169" s="20">
        <f t="shared" si="183"/>
        <v>6.0554227957464972</v>
      </c>
      <c r="FI169" s="59">
        <f t="shared" si="131"/>
        <v>294.76413034937121</v>
      </c>
      <c r="FJ169" s="59">
        <f ca="1">AVERAGE(OFFSET($FI$3,0,0,'Données projet'!$E$16+1,1))-AVERAGE(OFFSET($H$3,0,0,'Données projet'!$E$16+1,1))</f>
        <v>329.49463758169588</v>
      </c>
      <c r="FK169" s="59">
        <f t="shared" si="156"/>
        <v>207.1447698203379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78.552357774030398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78.552357774030398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763.00000000000057</v>
      </c>
      <c r="GA169" s="17">
        <f>FZ169*VLOOKUP('Données projet'!$B$17,Paramètres!$A$1:$I$89,3,0)*VLOOKUP('Données projet'!$B$17,Paramètres!$A$1:$I$89,5,0)</f>
        <v>456.2740000000004</v>
      </c>
      <c r="GB169" s="13">
        <f t="shared" si="185"/>
        <v>103.09649786611838</v>
      </c>
      <c r="GC169" s="20">
        <f t="shared" si="186"/>
        <v>974.23695045015677</v>
      </c>
      <c r="GD169" s="59">
        <f t="shared" si="134"/>
        <v>1262.9456580037815</v>
      </c>
      <c r="GE169" s="59">
        <f ca="1">AVERAGE(OFFSET($GD$3,0,0,'Données projet'!$E$17+1,1))-AVERAGE(OFFSET($H$3,0,0,'Données projet'!$E$17+1,1))</f>
        <v>577.07444926285291</v>
      </c>
      <c r="GF169" s="59">
        <f t="shared" si="158"/>
        <v>501.3762209070419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19.380122693446317</v>
      </c>
      <c r="GM169" s="21">
        <f>EXP(-LN(2)/25)*GM168+(1-EXP(-LN(2)/25))/(LN(2)/25)*Calculateur!GH169*Calculateur!GJ169*VLOOKUP('Données projet'!$B$17,Paramètres!$A$1:$I$89,3,0)*0.475*44/12</f>
        <v>1.5070111997652529</v>
      </c>
      <c r="GN169" s="21">
        <f>EXP(-LN(2)/2)*GN168+(1-EXP(-LN(2)/2))/(LN(2)/2)*GH169*GK169*VLOOKUP('Données projet'!$B$17,Paramètres!$A$1:$I$89,3,0)*0.475*44/12</f>
        <v>2.6612847498097667E-22</v>
      </c>
      <c r="GO169" s="21">
        <f t="shared" si="187"/>
        <v>20.887133893211569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68.73873842371583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-5.6843418860808015E-14</v>
      </c>
      <c r="GV169" s="17">
        <f>GU169*VLOOKUP('Données projet'!$B$18,Paramètres!$A$1:$I$89,3,0)*VLOOKUP('Données projet'!$B$18,Paramètres!$A$1:$I$89,5,0)</f>
        <v>-3.0061073630349716E-14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212.75657290802619</v>
      </c>
      <c r="HA169" s="59">
        <f t="shared" si="160"/>
        <v>411.47446316045978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5.2004040971079606</v>
      </c>
      <c r="HH169" s="21">
        <f>EXP(-LN(2)/25)*HH168+(1-EXP(-LN(2)/25))/(LN(2)/25)*Calculateur!HC169*Calculateur!HE169*VLOOKUP('Données projet'!$B$18,Paramètres!$A$1:$I$89,3,0)*0.475*44/12</f>
        <v>0.45869459693765857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5.6590986940456194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4.60745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16.893983333333335</v>
      </c>
      <c r="H170" s="66">
        <f t="shared" si="110"/>
        <v>189.09073333333333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330.28816467764324</v>
      </c>
      <c r="S170" s="59">
        <f ca="1">AVERAGE(OFFSET($R$3,0,0,'Données projet'!$E$9+1,1))-AVERAGE(OFFSET($H$3,0,0,'Données projet'!$E$9+1,1))</f>
        <v>564.49981446852132</v>
      </c>
      <c r="T170" s="59">
        <f t="shared" si="142"/>
        <v>297.54722913785406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19.8100000000004</v>
      </c>
      <c r="AJ170" s="13">
        <f>AI170*VLOOKUP('Données projet'!$B$10,Paramètres!$A$1:$I$89,3,0)*VLOOKUP('Données projet'!$B$10,Paramètres!$A$1:$I$89,5,0)</f>
        <v>20.08734000000041</v>
      </c>
      <c r="AK170" s="13">
        <f t="shared" si="164"/>
        <v>6.5285137703520215</v>
      </c>
      <c r="AL170" s="20">
        <f t="shared" si="165"/>
        <v>46.355945316697152</v>
      </c>
      <c r="AM170" s="59">
        <f t="shared" si="113"/>
        <v>335.14487978848547</v>
      </c>
      <c r="AN170" s="59">
        <f ca="1">AVERAGE(OFFSET($AM$3,0,0,'Données projet'!$E$10+1,1))-AVERAGE(OFFSET($H$3,0,0,'Données projet'!$E$10+1,1))</f>
        <v>623.16549611107564</v>
      </c>
      <c r="AO170" s="59">
        <f t="shared" si="144"/>
        <v>326.15178903425885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152.21735565191256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152.21735565191256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266.99999999999983</v>
      </c>
      <c r="BE170" s="13">
        <f>BD170*VLOOKUP('Données projet'!$B$11,Paramètres!$A$1:$I$89,3,0)*VLOOKUP('Données projet'!$B$11,Paramètres!$A$1:$I$89,5,0)</f>
        <v>216.59039999999987</v>
      </c>
      <c r="BF170" s="13">
        <f t="shared" si="167"/>
        <v>53.373153688190904</v>
      </c>
      <c r="BG170" s="20">
        <f t="shared" si="168"/>
        <v>470.18652267359886</v>
      </c>
      <c r="BH170" s="59">
        <f t="shared" si="116"/>
        <v>758.97545714538717</v>
      </c>
      <c r="BI170" s="59">
        <f ca="1">AVERAGE(OFFSET($BH$3,0,0,'Données projet'!$E$11+1,1))-AVERAGE(OFFSET($H$3,0,0,'Données projet'!$E$11+1,1))</f>
        <v>326.2912419133811</v>
      </c>
      <c r="BJ170" s="59">
        <f t="shared" si="146"/>
        <v>315.07976787459938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7.8979793797255011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7.8979793797255011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243</v>
      </c>
      <c r="BZ170" s="13">
        <f>BY170*VLOOKUP('Données projet'!$B$12,Paramètres!$A$1:$I$89,3,0)*VLOOKUP('Données projet'!$B$12,Paramètres!$A$1:$I$89,5,0)</f>
        <v>155.4228</v>
      </c>
      <c r="CA170" s="13">
        <f t="shared" si="170"/>
        <v>39.808377687614154</v>
      </c>
      <c r="CB170" s="20">
        <f t="shared" si="171"/>
        <v>340.02763447259463</v>
      </c>
      <c r="CC170" s="59">
        <f t="shared" si="119"/>
        <v>628.81656894438288</v>
      </c>
      <c r="CD170" s="59">
        <f ca="1">AVERAGE(OFFSET($CC$3,0,0,'Données projet'!$E$12+1,1))-AVERAGE(OFFSET($H$3,0,0,'Données projet'!$E$12+1,1))</f>
        <v>297.03992602744393</v>
      </c>
      <c r="CE170" s="59">
        <f t="shared" si="148"/>
        <v>265.2588848922893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10.904398179029608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10.904398179029608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367.99999999999972</v>
      </c>
      <c r="CU170" s="17">
        <f>CT170*VLOOKUP('Données projet'!$B$13,Paramètres!$A$1:$I$89,3,0)*VLOOKUP('Données projet'!$B$13,Paramètres!$A$1:$I$89,5,0)</f>
        <v>292.78079999999977</v>
      </c>
      <c r="CV170" s="13">
        <f t="shared" si="173"/>
        <v>69.660903052386217</v>
      </c>
      <c r="CW170" s="20">
        <f t="shared" si="174"/>
        <v>631.25263281623893</v>
      </c>
      <c r="CX170" s="59">
        <f t="shared" si="122"/>
        <v>920.04156728802718</v>
      </c>
      <c r="CY170" s="59">
        <f ca="1">AVERAGE(OFFSET($CX$3,0,0,'Données projet'!$E$13+1,1))-AVERAGE(OFFSET($H$3,0,0,'Données projet'!$E$13+1,1))</f>
        <v>427.42918901489531</v>
      </c>
      <c r="CZ170" s="59">
        <f t="shared" si="150"/>
        <v>410.68601510655412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11.003644641496368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11.003644641496368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19.8100000000004</v>
      </c>
      <c r="DP170" s="17">
        <f>DO170*VLOOKUP('Données projet'!$B$14,Paramètres!$A$1:$I$89,3,0)*VLOOKUP('Données projet'!$B$14,Paramètres!$A$1:$I$89,5,0)</f>
        <v>19.160232000000388</v>
      </c>
      <c r="DQ170" s="13">
        <f t="shared" si="176"/>
        <v>6.2615431735370342</v>
      </c>
      <c r="DR170" s="20">
        <f t="shared" si="177"/>
        <v>44.27625842724435</v>
      </c>
      <c r="DS170" s="59">
        <f t="shared" si="125"/>
        <v>333.06519289903264</v>
      </c>
      <c r="DT170" s="59">
        <f ca="1">AVERAGE(OFFSET($DS$3,0,0,'Données projet'!$E$14+1,1))-AVERAGE(OFFSET($H$3,0,0,'Données projet'!$E$14+1,1))</f>
        <v>598.03945725240396</v>
      </c>
      <c r="DU170" s="59">
        <f t="shared" si="152"/>
        <v>313.9014686755695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145.19193923720883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145.19193923720883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19.8100000000004</v>
      </c>
      <c r="EK170" s="17">
        <f>EJ170*VLOOKUP('Données projet'!$B$15,Paramètres!$A$1:$I$89,3,0)*VLOOKUP('Données projet'!$B$15,Paramètres!$A$1:$I$89,5,0)</f>
        <v>13.288548000000269</v>
      </c>
      <c r="EL170" s="13">
        <f t="shared" si="179"/>
        <v>4.531654695205642</v>
      </c>
      <c r="EM170" s="20">
        <f t="shared" si="180"/>
        <v>31.036853027483627</v>
      </c>
      <c r="EN170" s="59">
        <f t="shared" si="128"/>
        <v>319.82578749927194</v>
      </c>
      <c r="EO170" s="59">
        <f ca="1">AVERAGE(OFFSET($EN$3,0,0,'Données projet'!$E$15+1,1))-AVERAGE(OFFSET($H$3,0,0,'Données projet'!$E$15+1,1))</f>
        <v>438.27475674276604</v>
      </c>
      <c r="EP170" s="59">
        <f t="shared" si="154"/>
        <v>235.97720136798864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124.11568999309789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124.11568999309789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5.2499999999990337</v>
      </c>
      <c r="FF170" s="17">
        <f>FE170*VLOOKUP('Données projet'!$B$16,Paramètres!$A$1:$I$89,3,0)*VLOOKUP('Données projet'!$B$16,Paramètres!$A$1:$I$89,5,0)</f>
        <v>2.4569999999995478</v>
      </c>
      <c r="FG170" s="13">
        <f t="shared" si="182"/>
        <v>1.0197977774625564</v>
      </c>
      <c r="FH170" s="20">
        <f t="shared" si="183"/>
        <v>6.0554227957464972</v>
      </c>
      <c r="FI170" s="59">
        <f t="shared" si="131"/>
        <v>294.8443572675348</v>
      </c>
      <c r="FJ170" s="59">
        <f ca="1">AVERAGE(OFFSET($FI$3,0,0,'Données projet'!$E$16+1,1))-AVERAGE(OFFSET($H$3,0,0,'Données projet'!$E$16+1,1))</f>
        <v>329.49463758169588</v>
      </c>
      <c r="FK170" s="59">
        <f t="shared" si="156"/>
        <v>207.1447698203379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77.011993950288968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77.011993950288968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763.00000000000057</v>
      </c>
      <c r="GA170" s="17">
        <f>FZ170*VLOOKUP('Données projet'!$B$17,Paramètres!$A$1:$I$89,3,0)*VLOOKUP('Données projet'!$B$17,Paramètres!$A$1:$I$89,5,0)</f>
        <v>456.2740000000004</v>
      </c>
      <c r="GB170" s="13">
        <f t="shared" si="185"/>
        <v>103.09649786611838</v>
      </c>
      <c r="GC170" s="20">
        <f t="shared" si="186"/>
        <v>974.23695045015677</v>
      </c>
      <c r="GD170" s="59">
        <f t="shared" si="134"/>
        <v>1263.0258849219451</v>
      </c>
      <c r="GE170" s="59">
        <f ca="1">AVERAGE(OFFSET($GD$3,0,0,'Données projet'!$E$17+1,1))-AVERAGE(OFFSET($H$3,0,0,'Données projet'!$E$17+1,1))</f>
        <v>577.07444926285291</v>
      </c>
      <c r="GF170" s="59">
        <f t="shared" si="158"/>
        <v>501.3762209070419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19.00009030813548</v>
      </c>
      <c r="GM170" s="21">
        <f>EXP(-LN(2)/25)*GM169+(1-EXP(-LN(2)/25))/(LN(2)/25)*Calculateur!GH170*Calculateur!GJ170*VLOOKUP('Données projet'!$B$17,Paramètres!$A$1:$I$89,3,0)*0.475*44/12</f>
        <v>1.4658018992573973</v>
      </c>
      <c r="GN170" s="21">
        <f>EXP(-LN(2)/2)*GN169+(1-EXP(-LN(2)/2))/(LN(2)/2)*GH170*GK170*VLOOKUP('Données projet'!$B$17,Paramètres!$A$1:$I$89,3,0)*0.475*44/12</f>
        <v>1.8818124932588306E-22</v>
      </c>
      <c r="GO170" s="21">
        <f t="shared" si="187"/>
        <v>20.465892207392876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68.760618492305895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-5.6843418860808015E-14</v>
      </c>
      <c r="GV170" s="17">
        <f>GU170*VLOOKUP('Données projet'!$B$18,Paramètres!$A$1:$I$89,3,0)*VLOOKUP('Données projet'!$B$18,Paramètres!$A$1:$I$89,5,0)</f>
        <v>-3.0061073630349716E-14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212.75657290802619</v>
      </c>
      <c r="HA170" s="59">
        <f t="shared" si="160"/>
        <v>411.47446316045978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5.0984273446969706</v>
      </c>
      <c r="HH170" s="21">
        <f>EXP(-LN(2)/25)*HH169+(1-EXP(-LN(2)/25))/(LN(2)/25)*Calculateur!HC170*Calculateur!HE170*VLOOKUP('Données projet'!$B$18,Paramètres!$A$1:$I$89,3,0)*0.475*44/12</f>
        <v>0.44615156906269782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5.5445789137596684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4.60745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16.893983333333335</v>
      </c>
      <c r="H171" s="66">
        <f t="shared" si="110"/>
        <v>189.09073333333333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330.36699983813719</v>
      </c>
      <c r="S171" s="59">
        <f ca="1">AVERAGE(OFFSET($R$3,0,0,'Données projet'!$E$9+1,1))-AVERAGE(OFFSET($H$3,0,0,'Données projet'!$E$9+1,1))</f>
        <v>564.49981446852132</v>
      </c>
      <c r="T171" s="59">
        <f t="shared" si="142"/>
        <v>297.54722913785406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19.8100000000004</v>
      </c>
      <c r="AJ171" s="13">
        <f>AI171*VLOOKUP('Données projet'!$B$10,Paramètres!$A$1:$I$89,3,0)*VLOOKUP('Données projet'!$B$10,Paramètres!$A$1:$I$89,5,0)</f>
        <v>20.08734000000041</v>
      </c>
      <c r="AK171" s="13">
        <f t="shared" si="164"/>
        <v>6.5285137703520215</v>
      </c>
      <c r="AL171" s="20">
        <f t="shared" si="165"/>
        <v>46.355945316697152</v>
      </c>
      <c r="AM171" s="59">
        <f t="shared" si="113"/>
        <v>335.22371494897942</v>
      </c>
      <c r="AN171" s="59">
        <f ca="1">AVERAGE(OFFSET($AM$3,0,0,'Données projet'!$E$10+1,1))-AVERAGE(OFFSET($H$3,0,0,'Données projet'!$E$10+1,1))</f>
        <v>623.16549611107564</v>
      </c>
      <c r="AO171" s="59">
        <f t="shared" si="144"/>
        <v>326.15178903425885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149.23246615099796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149.23246615099796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266.99999999999983</v>
      </c>
      <c r="BE171" s="13">
        <f>BD171*VLOOKUP('Données projet'!$B$11,Paramètres!$A$1:$I$89,3,0)*VLOOKUP('Données projet'!$B$11,Paramètres!$A$1:$I$89,5,0)</f>
        <v>216.59039999999987</v>
      </c>
      <c r="BF171" s="13">
        <f t="shared" si="167"/>
        <v>53.373153688190904</v>
      </c>
      <c r="BG171" s="20">
        <f t="shared" si="168"/>
        <v>470.18652267359886</v>
      </c>
      <c r="BH171" s="59">
        <f t="shared" si="116"/>
        <v>759.05429230588106</v>
      </c>
      <c r="BI171" s="59">
        <f ca="1">AVERAGE(OFFSET($BH$3,0,0,'Données projet'!$E$11+1,1))-AVERAGE(OFFSET($H$3,0,0,'Données projet'!$E$11+1,1))</f>
        <v>326.2912419133811</v>
      </c>
      <c r="BJ171" s="59">
        <f t="shared" si="146"/>
        <v>315.07976787459938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7.7431048213808378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7.7431048213808378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243</v>
      </c>
      <c r="BZ171" s="13">
        <f>BY171*VLOOKUP('Données projet'!$B$12,Paramètres!$A$1:$I$89,3,0)*VLOOKUP('Données projet'!$B$12,Paramètres!$A$1:$I$89,5,0)</f>
        <v>155.4228</v>
      </c>
      <c r="CA171" s="13">
        <f t="shared" si="170"/>
        <v>39.808377687614154</v>
      </c>
      <c r="CB171" s="20">
        <f t="shared" si="171"/>
        <v>340.02763447259463</v>
      </c>
      <c r="CC171" s="59">
        <f t="shared" si="119"/>
        <v>628.89540410487689</v>
      </c>
      <c r="CD171" s="59">
        <f ca="1">AVERAGE(OFFSET($CC$3,0,0,'Données projet'!$E$12+1,1))-AVERAGE(OFFSET($H$3,0,0,'Données projet'!$E$12+1,1))</f>
        <v>297.03992602744393</v>
      </c>
      <c r="CE171" s="59">
        <f t="shared" si="148"/>
        <v>265.2588848922893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10.690569581764992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10.690569581764992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367.99999999999972</v>
      </c>
      <c r="CU171" s="17">
        <f>CT171*VLOOKUP('Données projet'!$B$13,Paramètres!$A$1:$I$89,3,0)*VLOOKUP('Données projet'!$B$13,Paramètres!$A$1:$I$89,5,0)</f>
        <v>292.78079999999977</v>
      </c>
      <c r="CV171" s="13">
        <f t="shared" si="173"/>
        <v>69.660903052386217</v>
      </c>
      <c r="CW171" s="20">
        <f t="shared" si="174"/>
        <v>631.25263281623893</v>
      </c>
      <c r="CX171" s="59">
        <f t="shared" si="122"/>
        <v>920.12040244852119</v>
      </c>
      <c r="CY171" s="59">
        <f ca="1">AVERAGE(OFFSET($CX$3,0,0,'Données projet'!$E$13+1,1))-AVERAGE(OFFSET($H$3,0,0,'Données projet'!$E$13+1,1))</f>
        <v>427.42918901489531</v>
      </c>
      <c r="CZ171" s="59">
        <f t="shared" si="150"/>
        <v>410.68601510655412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10.787869881637144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10.787869881637144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19.8100000000004</v>
      </c>
      <c r="DP171" s="17">
        <f>DO171*VLOOKUP('Données projet'!$B$14,Paramètres!$A$1:$I$89,3,0)*VLOOKUP('Données projet'!$B$14,Paramètres!$A$1:$I$89,5,0)</f>
        <v>19.160232000000388</v>
      </c>
      <c r="DQ171" s="13">
        <f t="shared" si="176"/>
        <v>6.2615431735370342</v>
      </c>
      <c r="DR171" s="20">
        <f t="shared" si="177"/>
        <v>44.27625842724435</v>
      </c>
      <c r="DS171" s="59">
        <f t="shared" si="125"/>
        <v>333.14402805952659</v>
      </c>
      <c r="DT171" s="59">
        <f ca="1">AVERAGE(OFFSET($DS$3,0,0,'Données projet'!$E$14+1,1))-AVERAGE(OFFSET($H$3,0,0,'Données projet'!$E$14+1,1))</f>
        <v>598.03945725240396</v>
      </c>
      <c r="DU171" s="59">
        <f t="shared" si="152"/>
        <v>313.9014686755695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142.3448138671057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142.3448138671057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19.8100000000004</v>
      </c>
      <c r="EK171" s="17">
        <f>EJ171*VLOOKUP('Données projet'!$B$15,Paramètres!$A$1:$I$89,3,0)*VLOOKUP('Données projet'!$B$15,Paramètres!$A$1:$I$89,5,0)</f>
        <v>13.288548000000269</v>
      </c>
      <c r="EL171" s="13">
        <f t="shared" si="179"/>
        <v>4.531654695205642</v>
      </c>
      <c r="EM171" s="20">
        <f t="shared" si="180"/>
        <v>31.036853027483627</v>
      </c>
      <c r="EN171" s="59">
        <f t="shared" si="128"/>
        <v>319.90462265976589</v>
      </c>
      <c r="EO171" s="59">
        <f ca="1">AVERAGE(OFFSET($EN$3,0,0,'Données projet'!$E$15+1,1))-AVERAGE(OFFSET($H$3,0,0,'Données projet'!$E$15+1,1))</f>
        <v>438.27475674276604</v>
      </c>
      <c r="EP171" s="59">
        <f t="shared" si="154"/>
        <v>235.97720136798864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121.68185701542907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121.68185701542907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5.2499999999990337</v>
      </c>
      <c r="FF171" s="17">
        <f>FE171*VLOOKUP('Données projet'!$B$16,Paramètres!$A$1:$I$89,3,0)*VLOOKUP('Données projet'!$B$16,Paramètres!$A$1:$I$89,5,0)</f>
        <v>2.4569999999995478</v>
      </c>
      <c r="FG171" s="13">
        <f t="shared" si="182"/>
        <v>1.0197977774625564</v>
      </c>
      <c r="FH171" s="20">
        <f t="shared" si="183"/>
        <v>6.0554227957464972</v>
      </c>
      <c r="FI171" s="59">
        <f t="shared" si="131"/>
        <v>294.92319242802876</v>
      </c>
      <c r="FJ171" s="59">
        <f ca="1">AVERAGE(OFFSET($FI$3,0,0,'Données projet'!$E$16+1,1))-AVERAGE(OFFSET($H$3,0,0,'Données projet'!$E$16+1,1))</f>
        <v>329.49463758169588</v>
      </c>
      <c r="FK171" s="59">
        <f t="shared" si="156"/>
        <v>207.1447698203379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75.50183572160195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75.50183572160195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763.00000000000057</v>
      </c>
      <c r="GA171" s="17">
        <f>FZ171*VLOOKUP('Données projet'!$B$17,Paramètres!$A$1:$I$89,3,0)*VLOOKUP('Données projet'!$B$17,Paramètres!$A$1:$I$89,5,0)</f>
        <v>456.2740000000004</v>
      </c>
      <c r="GB171" s="13">
        <f t="shared" si="185"/>
        <v>103.09649786611838</v>
      </c>
      <c r="GC171" s="20">
        <f t="shared" si="186"/>
        <v>974.23695045015677</v>
      </c>
      <c r="GD171" s="59">
        <f t="shared" si="134"/>
        <v>1263.1047200824391</v>
      </c>
      <c r="GE171" s="59">
        <f ca="1">AVERAGE(OFFSET($GD$3,0,0,'Données projet'!$E$17+1,1))-AVERAGE(OFFSET($H$3,0,0,'Données projet'!$E$17+1,1))</f>
        <v>577.07444926285291</v>
      </c>
      <c r="GF171" s="59">
        <f t="shared" si="158"/>
        <v>501.3762209070419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18.627510126103722</v>
      </c>
      <c r="GM171" s="21">
        <f>EXP(-LN(2)/25)*GM170+(1-EXP(-LN(2)/25))/(LN(2)/25)*Calculateur!GH171*Calculateur!GJ171*VLOOKUP('Données projet'!$B$17,Paramètres!$A$1:$I$89,3,0)*0.475*44/12</f>
        <v>1.425719469239032</v>
      </c>
      <c r="GN171" s="21">
        <f>EXP(-LN(2)/2)*GN170+(1-EXP(-LN(2)/2))/(LN(2)/2)*GH171*GK171*VLOOKUP('Données projet'!$B$17,Paramètres!$A$1:$I$89,3,0)*0.475*44/12</f>
        <v>1.3306423749048834E-22</v>
      </c>
      <c r="GO171" s="21">
        <f t="shared" si="187"/>
        <v>20.053229595342753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68.782118990622436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-5.6843418860808015E-14</v>
      </c>
      <c r="GV171" s="17">
        <f>GU171*VLOOKUP('Données projet'!$B$18,Paramètres!$A$1:$I$89,3,0)*VLOOKUP('Données projet'!$B$18,Paramètres!$A$1:$I$89,5,0)</f>
        <v>-3.0061073630349716E-14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212.75657290802619</v>
      </c>
      <c r="HA171" s="59">
        <f t="shared" si="160"/>
        <v>411.47446316045978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4.9984502942010822</v>
      </c>
      <c r="HH171" s="21">
        <f>EXP(-LN(2)/25)*HH170+(1-EXP(-LN(2)/25))/(LN(2)/25)*Calculateur!HC171*Calculateur!HE171*VLOOKUP('Données projet'!$B$18,Paramètres!$A$1:$I$89,3,0)*0.475*44/12</f>
        <v>0.43395153094458699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5.4324018251456696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4.60745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16.893983333333335</v>
      </c>
      <c r="H172" s="66">
        <f t="shared" si="110"/>
        <v>189.09073333333333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330.44446738484567</v>
      </c>
      <c r="S172" s="59">
        <f ca="1">AVERAGE(OFFSET($R$3,0,0,'Données projet'!$E$9+1,1))-AVERAGE(OFFSET($H$3,0,0,'Données projet'!$E$9+1,1))</f>
        <v>564.49981446852132</v>
      </c>
      <c r="T172" s="59">
        <f t="shared" si="142"/>
        <v>297.54722913785406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19.8100000000004</v>
      </c>
      <c r="AJ172" s="13">
        <f>AI172*VLOOKUP('Données projet'!$B$10,Paramètres!$A$1:$I$89,3,0)*VLOOKUP('Données projet'!$B$10,Paramètres!$A$1:$I$89,5,0)</f>
        <v>20.08734000000041</v>
      </c>
      <c r="AK172" s="13">
        <f t="shared" si="164"/>
        <v>6.5285137703520215</v>
      </c>
      <c r="AL172" s="20">
        <f t="shared" si="165"/>
        <v>46.355945316697152</v>
      </c>
      <c r="AM172" s="59">
        <f t="shared" si="113"/>
        <v>335.3011824956879</v>
      </c>
      <c r="AN172" s="59">
        <f ca="1">AVERAGE(OFFSET($AM$3,0,0,'Données projet'!$E$10+1,1))-AVERAGE(OFFSET($H$3,0,0,'Données projet'!$E$10+1,1))</f>
        <v>623.16549611107564</v>
      </c>
      <c r="AO172" s="59">
        <f t="shared" si="144"/>
        <v>326.15178903425885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146.30610851259348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146.30610851259348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266.99999999999983</v>
      </c>
      <c r="BE172" s="13">
        <f>BD172*VLOOKUP('Données projet'!$B$11,Paramètres!$A$1:$I$89,3,0)*VLOOKUP('Données projet'!$B$11,Paramètres!$A$1:$I$89,5,0)</f>
        <v>216.59039999999987</v>
      </c>
      <c r="BF172" s="13">
        <f t="shared" si="167"/>
        <v>53.373153688190904</v>
      </c>
      <c r="BG172" s="20">
        <f t="shared" si="168"/>
        <v>470.18652267359886</v>
      </c>
      <c r="BH172" s="59">
        <f t="shared" si="116"/>
        <v>759.13175985258954</v>
      </c>
      <c r="BI172" s="59">
        <f ca="1">AVERAGE(OFFSET($BH$3,0,0,'Données projet'!$E$11+1,1))-AVERAGE(OFFSET($H$3,0,0,'Données projet'!$E$11+1,1))</f>
        <v>326.2912419133811</v>
      </c>
      <c r="BJ172" s="59">
        <f t="shared" si="146"/>
        <v>315.07976787459938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7.5912672586611603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7.5912672586611603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243</v>
      </c>
      <c r="BZ172" s="13">
        <f>BY172*VLOOKUP('Données projet'!$B$12,Paramètres!$A$1:$I$89,3,0)*VLOOKUP('Données projet'!$B$12,Paramètres!$A$1:$I$89,5,0)</f>
        <v>155.4228</v>
      </c>
      <c r="CA172" s="13">
        <f t="shared" si="170"/>
        <v>39.808377687614154</v>
      </c>
      <c r="CB172" s="20">
        <f t="shared" si="171"/>
        <v>340.02763447259463</v>
      </c>
      <c r="CC172" s="59">
        <f t="shared" si="119"/>
        <v>628.97287165158536</v>
      </c>
      <c r="CD172" s="59">
        <f ca="1">AVERAGE(OFFSET($CC$3,0,0,'Données projet'!$E$12+1,1))-AVERAGE(OFFSET($H$3,0,0,'Données projet'!$E$12+1,1))</f>
        <v>297.03992602744393</v>
      </c>
      <c r="CE172" s="59">
        <f t="shared" si="148"/>
        <v>265.2588848922893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10.480934032870168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10.480934032870168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367.99999999999972</v>
      </c>
      <c r="CU172" s="17">
        <f>CT172*VLOOKUP('Données projet'!$B$13,Paramètres!$A$1:$I$89,3,0)*VLOOKUP('Données projet'!$B$13,Paramètres!$A$1:$I$89,5,0)</f>
        <v>292.78079999999977</v>
      </c>
      <c r="CV172" s="13">
        <f t="shared" si="173"/>
        <v>69.660903052386217</v>
      </c>
      <c r="CW172" s="20">
        <f t="shared" si="174"/>
        <v>631.25263281623893</v>
      </c>
      <c r="CX172" s="59">
        <f t="shared" si="122"/>
        <v>920.19786999522967</v>
      </c>
      <c r="CY172" s="59">
        <f ca="1">AVERAGE(OFFSET($CX$3,0,0,'Données projet'!$E$13+1,1))-AVERAGE(OFFSET($H$3,0,0,'Données projet'!$E$13+1,1))</f>
        <v>427.42918901489531</v>
      </c>
      <c r="CZ172" s="59">
        <f t="shared" si="150"/>
        <v>410.68601510655412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10.576326333209151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10.576326333209151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19.8100000000004</v>
      </c>
      <c r="DP172" s="17">
        <f>DO172*VLOOKUP('Données projet'!$B$14,Paramètres!$A$1:$I$89,3,0)*VLOOKUP('Données projet'!$B$14,Paramètres!$A$1:$I$89,5,0)</f>
        <v>19.160232000000388</v>
      </c>
      <c r="DQ172" s="13">
        <f t="shared" si="176"/>
        <v>6.2615431735370342</v>
      </c>
      <c r="DR172" s="20">
        <f t="shared" si="177"/>
        <v>44.27625842724435</v>
      </c>
      <c r="DS172" s="59">
        <f t="shared" si="125"/>
        <v>333.22149560623507</v>
      </c>
      <c r="DT172" s="59">
        <f ca="1">AVERAGE(OFFSET($DS$3,0,0,'Données projet'!$E$14+1,1))-AVERAGE(OFFSET($H$3,0,0,'Données projet'!$E$14+1,1))</f>
        <v>598.03945725240396</v>
      </c>
      <c r="DU172" s="59">
        <f t="shared" si="152"/>
        <v>313.9014686755695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139.55351888893529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139.55351888893529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19.8100000000004</v>
      </c>
      <c r="EK172" s="17">
        <f>EJ172*VLOOKUP('Données projet'!$B$15,Paramètres!$A$1:$I$89,3,0)*VLOOKUP('Données projet'!$B$15,Paramètres!$A$1:$I$89,5,0)</f>
        <v>13.288548000000269</v>
      </c>
      <c r="EL172" s="13">
        <f t="shared" si="179"/>
        <v>4.531654695205642</v>
      </c>
      <c r="EM172" s="20">
        <f t="shared" si="180"/>
        <v>31.036853027483627</v>
      </c>
      <c r="EN172" s="59">
        <f t="shared" si="128"/>
        <v>319.98209020647437</v>
      </c>
      <c r="EO172" s="59">
        <f ca="1">AVERAGE(OFFSET($EN$3,0,0,'Données projet'!$E$15+1,1))-AVERAGE(OFFSET($H$3,0,0,'Données projet'!$E$15+1,1))</f>
        <v>438.27475674276604</v>
      </c>
      <c r="EP172" s="59">
        <f t="shared" si="154"/>
        <v>235.97720136798864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119.29575001796081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119.29575001796081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5.2499999999990337</v>
      </c>
      <c r="FF172" s="17">
        <f>FE172*VLOOKUP('Données projet'!$B$16,Paramètres!$A$1:$I$89,3,0)*VLOOKUP('Données projet'!$B$16,Paramètres!$A$1:$I$89,5,0)</f>
        <v>2.4569999999995478</v>
      </c>
      <c r="FG172" s="13">
        <f t="shared" si="182"/>
        <v>1.0197977774625564</v>
      </c>
      <c r="FH172" s="20">
        <f t="shared" si="183"/>
        <v>6.0554227957464972</v>
      </c>
      <c r="FI172" s="59">
        <f t="shared" si="131"/>
        <v>295.00065997473723</v>
      </c>
      <c r="FJ172" s="59">
        <f ca="1">AVERAGE(OFFSET($FI$3,0,0,'Données projet'!$E$16+1,1))-AVERAGE(OFFSET($H$3,0,0,'Données projet'!$E$16+1,1))</f>
        <v>329.49463758169588</v>
      </c>
      <c r="FK172" s="59">
        <f t="shared" si="156"/>
        <v>207.1447698203379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74.021290774673915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74.021290774673915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763.00000000000057</v>
      </c>
      <c r="GA172" s="17">
        <f>FZ172*VLOOKUP('Données projet'!$B$17,Paramètres!$A$1:$I$89,3,0)*VLOOKUP('Données projet'!$B$17,Paramètres!$A$1:$I$89,5,0)</f>
        <v>456.2740000000004</v>
      </c>
      <c r="GB172" s="13">
        <f t="shared" si="185"/>
        <v>103.09649786611838</v>
      </c>
      <c r="GC172" s="20">
        <f t="shared" si="186"/>
        <v>974.23695045015677</v>
      </c>
      <c r="GD172" s="59">
        <f t="shared" si="134"/>
        <v>1263.1821876291474</v>
      </c>
      <c r="GE172" s="59">
        <f ca="1">AVERAGE(OFFSET($GD$3,0,0,'Données projet'!$E$17+1,1))-AVERAGE(OFFSET($H$3,0,0,'Données projet'!$E$17+1,1))</f>
        <v>577.07444926285291</v>
      </c>
      <c r="GF172" s="59">
        <f t="shared" si="158"/>
        <v>501.3762209070419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18.262236014190133</v>
      </c>
      <c r="GM172" s="21">
        <f>EXP(-LN(2)/25)*GM171+(1-EXP(-LN(2)/25))/(LN(2)/25)*Calculateur!GH172*Calculateur!GJ172*VLOOKUP('Données projet'!$B$17,Paramètres!$A$1:$I$89,3,0)*0.475*44/12</f>
        <v>1.3867330953773624</v>
      </c>
      <c r="GN172" s="21">
        <f>EXP(-LN(2)/2)*GN171+(1-EXP(-LN(2)/2))/(LN(2)/2)*GH172*GK172*VLOOKUP('Données projet'!$B$17,Paramètres!$A$1:$I$89,3,0)*0.475*44/12</f>
        <v>9.4090624662941531E-23</v>
      </c>
      <c r="GO172" s="21">
        <f t="shared" si="187"/>
        <v>19.648969109567496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68.803246503361109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-5.6843418860808015E-14</v>
      </c>
      <c r="GV172" s="17">
        <f>GU172*VLOOKUP('Données projet'!$B$18,Paramètres!$A$1:$I$89,3,0)*VLOOKUP('Données projet'!$B$18,Paramètres!$A$1:$I$89,5,0)</f>
        <v>-3.0061073630349716E-14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212.75657290802619</v>
      </c>
      <c r="HA172" s="59">
        <f t="shared" si="160"/>
        <v>411.47446316045978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4.900433732685439</v>
      </c>
      <c r="HH172" s="21">
        <f>EXP(-LN(2)/25)*HH171+(1-EXP(-LN(2)/25))/(LN(2)/25)*Calculateur!HC172*Calculateur!HE172*VLOOKUP('Données projet'!$B$18,Paramètres!$A$1:$I$89,3,0)*0.475*44/12</f>
        <v>0.42208510351038808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5.3225188361958269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4.60745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16.893983333333335</v>
      </c>
      <c r="H173" s="66">
        <f t="shared" si="110"/>
        <v>189.09073333333333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330.52059104281017</v>
      </c>
      <c r="S173" s="59">
        <f ca="1">AVERAGE(OFFSET($R$3,0,0,'Données projet'!$E$9+1,1))-AVERAGE(OFFSET($H$3,0,0,'Données projet'!$E$9+1,1))</f>
        <v>564.49981446852132</v>
      </c>
      <c r="T173" s="59">
        <f t="shared" si="142"/>
        <v>297.54722913785406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19.8100000000004</v>
      </c>
      <c r="AJ173" s="13">
        <f>AI173*VLOOKUP('Données projet'!$B$10,Paramètres!$A$1:$I$89,3,0)*VLOOKUP('Données projet'!$B$10,Paramètres!$A$1:$I$89,5,0)</f>
        <v>20.08734000000041</v>
      </c>
      <c r="AK173" s="13">
        <f t="shared" si="164"/>
        <v>6.5285137703520215</v>
      </c>
      <c r="AL173" s="20">
        <f t="shared" si="165"/>
        <v>46.355945316697152</v>
      </c>
      <c r="AM173" s="59">
        <f t="shared" si="113"/>
        <v>335.3773061536524</v>
      </c>
      <c r="AN173" s="59">
        <f ca="1">AVERAGE(OFFSET($AM$3,0,0,'Données projet'!$E$10+1,1))-AVERAGE(OFFSET($H$3,0,0,'Données projet'!$E$10+1,1))</f>
        <v>623.16549611107564</v>
      </c>
      <c r="AO173" s="59">
        <f t="shared" si="144"/>
        <v>326.15178903425885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143.43713496257621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143.43713496257621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266.99999999999983</v>
      </c>
      <c r="BE173" s="13">
        <f>BD173*VLOOKUP('Données projet'!$B$11,Paramètres!$A$1:$I$89,3,0)*VLOOKUP('Données projet'!$B$11,Paramètres!$A$1:$I$89,5,0)</f>
        <v>216.59039999999987</v>
      </c>
      <c r="BF173" s="13">
        <f t="shared" si="167"/>
        <v>53.373153688190904</v>
      </c>
      <c r="BG173" s="20">
        <f t="shared" si="168"/>
        <v>470.18652267359886</v>
      </c>
      <c r="BH173" s="59">
        <f t="shared" si="116"/>
        <v>759.2078835105541</v>
      </c>
      <c r="BI173" s="59">
        <f ca="1">AVERAGE(OFFSET($BH$3,0,0,'Données projet'!$E$11+1,1))-AVERAGE(OFFSET($H$3,0,0,'Données projet'!$E$11+1,1))</f>
        <v>326.2912419133811</v>
      </c>
      <c r="BJ173" s="59">
        <f t="shared" si="146"/>
        <v>315.07976787459938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7.442407137934647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7.442407137934647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243</v>
      </c>
      <c r="BZ173" s="13">
        <f>BY173*VLOOKUP('Données projet'!$B$12,Paramètres!$A$1:$I$89,3,0)*VLOOKUP('Données projet'!$B$12,Paramètres!$A$1:$I$89,5,0)</f>
        <v>155.4228</v>
      </c>
      <c r="CA173" s="13">
        <f t="shared" si="170"/>
        <v>39.808377687614154</v>
      </c>
      <c r="CB173" s="20">
        <f t="shared" si="171"/>
        <v>340.02763447259463</v>
      </c>
      <c r="CC173" s="59">
        <f t="shared" si="119"/>
        <v>629.04899530954981</v>
      </c>
      <c r="CD173" s="59">
        <f ca="1">AVERAGE(OFFSET($CC$3,0,0,'Données projet'!$E$12+1,1))-AVERAGE(OFFSET($H$3,0,0,'Données projet'!$E$12+1,1))</f>
        <v>297.03992602744393</v>
      </c>
      <c r="CE173" s="59">
        <f t="shared" si="148"/>
        <v>265.2588848922893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10.275409309224115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10.275409309224115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367.99999999999972</v>
      </c>
      <c r="CU173" s="17">
        <f>CT173*VLOOKUP('Données projet'!$B$13,Paramètres!$A$1:$I$89,3,0)*VLOOKUP('Données projet'!$B$13,Paramètres!$A$1:$I$89,5,0)</f>
        <v>292.78079999999977</v>
      </c>
      <c r="CV173" s="13">
        <f t="shared" si="173"/>
        <v>69.660903052386217</v>
      </c>
      <c r="CW173" s="20">
        <f t="shared" si="174"/>
        <v>631.25263281623893</v>
      </c>
      <c r="CX173" s="59">
        <f t="shared" si="122"/>
        <v>920.27399365319411</v>
      </c>
      <c r="CY173" s="59">
        <f ca="1">AVERAGE(OFFSET($CX$3,0,0,'Données projet'!$E$13+1,1))-AVERAGE(OFFSET($H$3,0,0,'Données projet'!$E$13+1,1))</f>
        <v>427.42918901489531</v>
      </c>
      <c r="CZ173" s="59">
        <f t="shared" si="150"/>
        <v>410.68601510655412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10.368931024737007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10.368931024737007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19.8100000000004</v>
      </c>
      <c r="DP173" s="17">
        <f>DO173*VLOOKUP('Données projet'!$B$14,Paramètres!$A$1:$I$89,3,0)*VLOOKUP('Données projet'!$B$14,Paramètres!$A$1:$I$89,5,0)</f>
        <v>19.160232000000388</v>
      </c>
      <c r="DQ173" s="13">
        <f t="shared" si="176"/>
        <v>6.2615431735370342</v>
      </c>
      <c r="DR173" s="20">
        <f t="shared" si="177"/>
        <v>44.27625842724435</v>
      </c>
      <c r="DS173" s="59">
        <f t="shared" si="125"/>
        <v>333.29761926419957</v>
      </c>
      <c r="DT173" s="59">
        <f ca="1">AVERAGE(OFFSET($DS$3,0,0,'Données projet'!$E$14+1,1))-AVERAGE(OFFSET($H$3,0,0,'Données projet'!$E$14+1,1))</f>
        <v>598.03945725240396</v>
      </c>
      <c r="DU173" s="59">
        <f t="shared" si="152"/>
        <v>313.9014686755695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136.81695950276497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136.81695950276497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19.8100000000004</v>
      </c>
      <c r="EK173" s="17">
        <f>EJ173*VLOOKUP('Données projet'!$B$15,Paramètres!$A$1:$I$89,3,0)*VLOOKUP('Données projet'!$B$15,Paramètres!$A$1:$I$89,5,0)</f>
        <v>13.288548000000269</v>
      </c>
      <c r="EL173" s="13">
        <f t="shared" si="179"/>
        <v>4.531654695205642</v>
      </c>
      <c r="EM173" s="20">
        <f t="shared" si="180"/>
        <v>31.036853027483627</v>
      </c>
      <c r="EN173" s="59">
        <f t="shared" si="128"/>
        <v>320.05821386443887</v>
      </c>
      <c r="EO173" s="59">
        <f ca="1">AVERAGE(OFFSET($EN$3,0,0,'Données projet'!$E$15+1,1))-AVERAGE(OFFSET($H$3,0,0,'Données projet'!$E$15+1,1))</f>
        <v>438.27475674276604</v>
      </c>
      <c r="EP173" s="59">
        <f t="shared" si="154"/>
        <v>235.97720136798864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116.95643312333134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116.95643312333134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5.2499999999990337</v>
      </c>
      <c r="FF173" s="17">
        <f>FE173*VLOOKUP('Données projet'!$B$16,Paramètres!$A$1:$I$89,3,0)*VLOOKUP('Données projet'!$B$16,Paramètres!$A$1:$I$89,5,0)</f>
        <v>2.4569999999995478</v>
      </c>
      <c r="FG173" s="13">
        <f t="shared" si="182"/>
        <v>1.0197977774625564</v>
      </c>
      <c r="FH173" s="20">
        <f t="shared" si="183"/>
        <v>6.0554227957464972</v>
      </c>
      <c r="FI173" s="59">
        <f t="shared" si="131"/>
        <v>295.07678363270173</v>
      </c>
      <c r="FJ173" s="59">
        <f ca="1">AVERAGE(OFFSET($FI$3,0,0,'Données projet'!$E$16+1,1))-AVERAGE(OFFSET($H$3,0,0,'Données projet'!$E$16+1,1))</f>
        <v>329.49463758169588</v>
      </c>
      <c r="FK173" s="59">
        <f t="shared" si="156"/>
        <v>207.1447698203379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72.569778411111884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72.569778411111884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763.00000000000057</v>
      </c>
      <c r="GA173" s="17">
        <f>FZ173*VLOOKUP('Données projet'!$B$17,Paramètres!$A$1:$I$89,3,0)*VLOOKUP('Données projet'!$B$17,Paramètres!$A$1:$I$89,5,0)</f>
        <v>456.2740000000004</v>
      </c>
      <c r="GB173" s="13">
        <f t="shared" si="185"/>
        <v>103.09649786611838</v>
      </c>
      <c r="GC173" s="20">
        <f t="shared" si="186"/>
        <v>974.23695045015677</v>
      </c>
      <c r="GD173" s="59">
        <f t="shared" si="134"/>
        <v>1263.2583112871121</v>
      </c>
      <c r="GE173" s="59">
        <f ca="1">AVERAGE(OFFSET($GD$3,0,0,'Données projet'!$E$17+1,1))-AVERAGE(OFFSET($H$3,0,0,'Données projet'!$E$17+1,1))</f>
        <v>577.07444926285291</v>
      </c>
      <c r="GF173" s="59">
        <f t="shared" si="158"/>
        <v>501.3762209070419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17.904124704815963</v>
      </c>
      <c r="GM173" s="21">
        <f>EXP(-LN(2)/25)*GM172+(1-EXP(-LN(2)/25))/(LN(2)/25)*Calculateur!GH173*Calculateur!GJ173*VLOOKUP('Données projet'!$B$17,Paramètres!$A$1:$I$89,3,0)*0.475*44/12</f>
        <v>1.3488128059591444</v>
      </c>
      <c r="GN173" s="21">
        <f>EXP(-LN(2)/2)*GN172+(1-EXP(-LN(2)/2))/(LN(2)/2)*GH173*GK173*VLOOKUP('Données projet'!$B$17,Paramètres!$A$1:$I$89,3,0)*0.475*44/12</f>
        <v>6.6532118745244168E-23</v>
      </c>
      <c r="GO173" s="21">
        <f t="shared" si="187"/>
        <v>19.252937510775109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68.82400750098779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-5.6843418860808015E-14</v>
      </c>
      <c r="GV173" s="17">
        <f>GU173*VLOOKUP('Données projet'!$B$18,Paramètres!$A$1:$I$89,3,0)*VLOOKUP('Données projet'!$B$18,Paramètres!$A$1:$I$89,5,0)</f>
        <v>-3.0061073630349716E-14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212.75657290802619</v>
      </c>
      <c r="HA173" s="59">
        <f t="shared" si="160"/>
        <v>411.47446316045978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4.8043392161569187</v>
      </c>
      <c r="HH173" s="21">
        <f>EXP(-LN(2)/25)*HH172+(1-EXP(-LN(2)/25))/(LN(2)/25)*Calculateur!HC173*Calculateur!HE173*VLOOKUP('Données projet'!$B$18,Paramètres!$A$1:$I$89,3,0)*0.475*44/12</f>
        <v>0.41054316415840564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5.2148823803153244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4.60745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16.893983333333335</v>
      </c>
      <c r="H174" s="66">
        <f t="shared" si="110"/>
        <v>189.09073333333333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330.59539412549606</v>
      </c>
      <c r="S174" s="59">
        <f ca="1">AVERAGE(OFFSET($R$3,0,0,'Données projet'!$E$9+1,1))-AVERAGE(OFFSET($H$3,0,0,'Données projet'!$E$9+1,1))</f>
        <v>564.49981446852132</v>
      </c>
      <c r="T174" s="59">
        <f t="shared" si="142"/>
        <v>297.54722913785406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19.8100000000004</v>
      </c>
      <c r="AJ174" s="13">
        <f>AI174*VLOOKUP('Données projet'!$B$10,Paramètres!$A$1:$I$89,3,0)*VLOOKUP('Données projet'!$B$10,Paramètres!$A$1:$I$89,5,0)</f>
        <v>20.08734000000041</v>
      </c>
      <c r="AK174" s="13">
        <f t="shared" si="164"/>
        <v>6.5285137703520215</v>
      </c>
      <c r="AL174" s="20">
        <f t="shared" si="165"/>
        <v>46.355945316697152</v>
      </c>
      <c r="AM174" s="59">
        <f t="shared" si="113"/>
        <v>335.45210923633829</v>
      </c>
      <c r="AN174" s="59">
        <f ca="1">AVERAGE(OFFSET($AM$3,0,0,'Données projet'!$E$10+1,1))-AVERAGE(OFFSET($H$3,0,0,'Données projet'!$E$10+1,1))</f>
        <v>623.16549611107564</v>
      </c>
      <c r="AO174" s="59">
        <f t="shared" si="144"/>
        <v>326.15178903425885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140.62442023397369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140.62442023397369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266.99999999999983</v>
      </c>
      <c r="BE174" s="13">
        <f>BD174*VLOOKUP('Données projet'!$B$11,Paramètres!$A$1:$I$89,3,0)*VLOOKUP('Données projet'!$B$11,Paramètres!$A$1:$I$89,5,0)</f>
        <v>216.59039999999987</v>
      </c>
      <c r="BF174" s="13">
        <f t="shared" si="167"/>
        <v>53.373153688190904</v>
      </c>
      <c r="BG174" s="20">
        <f t="shared" si="168"/>
        <v>470.18652267359886</v>
      </c>
      <c r="BH174" s="59">
        <f t="shared" si="116"/>
        <v>759.28268659323999</v>
      </c>
      <c r="BI174" s="59">
        <f ca="1">AVERAGE(OFFSET($BH$3,0,0,'Données projet'!$E$11+1,1))-AVERAGE(OFFSET($H$3,0,0,'Données projet'!$E$11+1,1))</f>
        <v>326.2912419133811</v>
      </c>
      <c r="BJ174" s="59">
        <f t="shared" si="146"/>
        <v>315.07976787459938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7.2964660733798725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7.2964660733798725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243</v>
      </c>
      <c r="BZ174" s="13">
        <f>BY174*VLOOKUP('Données projet'!$B$12,Paramètres!$A$1:$I$89,3,0)*VLOOKUP('Données projet'!$B$12,Paramètres!$A$1:$I$89,5,0)</f>
        <v>155.4228</v>
      </c>
      <c r="CA174" s="13">
        <f t="shared" si="170"/>
        <v>39.808377687614154</v>
      </c>
      <c r="CB174" s="20">
        <f t="shared" si="171"/>
        <v>340.02763447259463</v>
      </c>
      <c r="CC174" s="59">
        <f t="shared" si="119"/>
        <v>629.12379839223581</v>
      </c>
      <c r="CD174" s="59">
        <f ca="1">AVERAGE(OFFSET($CC$3,0,0,'Données projet'!$E$12+1,1))-AVERAGE(OFFSET($H$3,0,0,'Données projet'!$E$12+1,1))</f>
        <v>297.03992602744393</v>
      </c>
      <c r="CE174" s="59">
        <f t="shared" si="148"/>
        <v>265.2588848922893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10.073914800051055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10.073914800051055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367.99999999999972</v>
      </c>
      <c r="CU174" s="17">
        <f>CT174*VLOOKUP('Données projet'!$B$13,Paramètres!$A$1:$I$89,3,0)*VLOOKUP('Données projet'!$B$13,Paramètres!$A$1:$I$89,5,0)</f>
        <v>292.78079999999977</v>
      </c>
      <c r="CV174" s="13">
        <f t="shared" si="173"/>
        <v>69.660903052386217</v>
      </c>
      <c r="CW174" s="20">
        <f t="shared" si="174"/>
        <v>631.25263281623893</v>
      </c>
      <c r="CX174" s="59">
        <f t="shared" si="122"/>
        <v>920.34879673588011</v>
      </c>
      <c r="CY174" s="59">
        <f ca="1">AVERAGE(OFFSET($CX$3,0,0,'Données projet'!$E$13+1,1))-AVERAGE(OFFSET($H$3,0,0,'Données projet'!$E$13+1,1))</f>
        <v>427.42918901489531</v>
      </c>
      <c r="CZ174" s="59">
        <f t="shared" si="150"/>
        <v>410.68601510655412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10.165602611765355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10.165602611765355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19.8100000000004</v>
      </c>
      <c r="DP174" s="17">
        <f>DO174*VLOOKUP('Données projet'!$B$14,Paramètres!$A$1:$I$89,3,0)*VLOOKUP('Données projet'!$B$14,Paramètres!$A$1:$I$89,5,0)</f>
        <v>19.160232000000388</v>
      </c>
      <c r="DQ174" s="13">
        <f t="shared" si="176"/>
        <v>6.2615431735370342</v>
      </c>
      <c r="DR174" s="20">
        <f t="shared" si="177"/>
        <v>44.27625842724435</v>
      </c>
      <c r="DS174" s="59">
        <f t="shared" si="125"/>
        <v>333.37242234688546</v>
      </c>
      <c r="DT174" s="59">
        <f ca="1">AVERAGE(OFFSET($DS$3,0,0,'Données projet'!$E$14+1,1))-AVERAGE(OFFSET($H$3,0,0,'Données projet'!$E$14+1,1))</f>
        <v>598.03945725240396</v>
      </c>
      <c r="DU174" s="59">
        <f t="shared" si="152"/>
        <v>313.9014686755695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134.13406237702102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134.13406237702102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19.8100000000004</v>
      </c>
      <c r="EK174" s="17">
        <f>EJ174*VLOOKUP('Données projet'!$B$15,Paramètres!$A$1:$I$89,3,0)*VLOOKUP('Données projet'!$B$15,Paramètres!$A$1:$I$89,5,0)</f>
        <v>13.288548000000269</v>
      </c>
      <c r="EL174" s="13">
        <f t="shared" si="179"/>
        <v>4.531654695205642</v>
      </c>
      <c r="EM174" s="20">
        <f t="shared" si="180"/>
        <v>31.036853027483627</v>
      </c>
      <c r="EN174" s="59">
        <f t="shared" si="128"/>
        <v>320.13301694712476</v>
      </c>
      <c r="EO174" s="59">
        <f ca="1">AVERAGE(OFFSET($EN$3,0,0,'Données projet'!$E$15+1,1))-AVERAGE(OFFSET($H$3,0,0,'Données projet'!$E$15+1,1))</f>
        <v>438.27475674276604</v>
      </c>
      <c r="EP174" s="59">
        <f t="shared" si="154"/>
        <v>235.97720136798864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114.66298880616313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114.66298880616313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5.2499999999990337</v>
      </c>
      <c r="FF174" s="17">
        <f>FE174*VLOOKUP('Données projet'!$B$16,Paramètres!$A$1:$I$89,3,0)*VLOOKUP('Données projet'!$B$16,Paramètres!$A$1:$I$89,5,0)</f>
        <v>2.4569999999995478</v>
      </c>
      <c r="FG174" s="13">
        <f t="shared" si="182"/>
        <v>1.0197977774625564</v>
      </c>
      <c r="FH174" s="20">
        <f t="shared" si="183"/>
        <v>6.0554227957464972</v>
      </c>
      <c r="FI174" s="59">
        <f t="shared" si="131"/>
        <v>295.15158671538762</v>
      </c>
      <c r="FJ174" s="59">
        <f ca="1">AVERAGE(OFFSET($FI$3,0,0,'Données projet'!$E$16+1,1))-AVERAGE(OFFSET($H$3,0,0,'Données projet'!$E$16+1,1))</f>
        <v>329.49463758169588</v>
      </c>
      <c r="FK174" s="59">
        <f t="shared" si="156"/>
        <v>207.1447698203379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71.146729319664189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71.146729319664189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763.00000000000057</v>
      </c>
      <c r="GA174" s="17">
        <f>FZ174*VLOOKUP('Données projet'!$B$17,Paramètres!$A$1:$I$89,3,0)*VLOOKUP('Données projet'!$B$17,Paramètres!$A$1:$I$89,5,0)</f>
        <v>456.2740000000004</v>
      </c>
      <c r="GB174" s="13">
        <f t="shared" si="185"/>
        <v>103.09649786611838</v>
      </c>
      <c r="GC174" s="20">
        <f t="shared" si="186"/>
        <v>974.23695045015677</v>
      </c>
      <c r="GD174" s="59">
        <f t="shared" si="134"/>
        <v>1263.3331143697978</v>
      </c>
      <c r="GE174" s="59">
        <f ca="1">AVERAGE(OFFSET($GD$3,0,0,'Données projet'!$E$17+1,1))-AVERAGE(OFFSET($H$3,0,0,'Données projet'!$E$17+1,1))</f>
        <v>577.07444926285291</v>
      </c>
      <c r="GF174" s="59">
        <f t="shared" si="158"/>
        <v>501.3762209070419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17.553035739792289</v>
      </c>
      <c r="GM174" s="21">
        <f>EXP(-LN(2)/25)*GM173+(1-EXP(-LN(2)/25))/(LN(2)/25)*Calculateur!GH174*Calculateur!GJ174*VLOOKUP('Données projet'!$B$17,Paramètres!$A$1:$I$89,3,0)*0.475*44/12</f>
        <v>1.3119294488492088</v>
      </c>
      <c r="GN174" s="21">
        <f>EXP(-LN(2)/2)*GN173+(1-EXP(-LN(2)/2))/(LN(2)/2)*GH174*GK174*VLOOKUP('Données projet'!$B$17,Paramètres!$A$1:$I$89,3,0)*0.475*44/12</f>
        <v>4.7045312331470766E-23</v>
      </c>
      <c r="GO174" s="21">
        <f t="shared" si="187"/>
        <v>18.864965188641499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68.84440834172031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-5.6843418860808015E-14</v>
      </c>
      <c r="GV174" s="17">
        <f>GU174*VLOOKUP('Données projet'!$B$18,Paramètres!$A$1:$I$89,3,0)*VLOOKUP('Données projet'!$B$18,Paramètres!$A$1:$I$89,5,0)</f>
        <v>-3.0061073630349716E-14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212.75657290802619</v>
      </c>
      <c r="HA174" s="59">
        <f t="shared" si="160"/>
        <v>411.47446316045978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4.7101290544856544</v>
      </c>
      <c r="HH174" s="21">
        <f>EXP(-LN(2)/25)*HH173+(1-EXP(-LN(2)/25))/(LN(2)/25)*Calculateur!HC174*Calculateur!HE174*VLOOKUP('Données projet'!$B$18,Paramètres!$A$1:$I$89,3,0)*0.475*44/12</f>
        <v>0.39931683974496734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5.109445894230622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4.60745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16.893983333333335</v>
      </c>
      <c r="H175" s="66">
        <f t="shared" si="110"/>
        <v>189.09073333333333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330.66889954193192</v>
      </c>
      <c r="S175" s="59">
        <f ca="1">AVERAGE(OFFSET($R$3,0,0,'Données projet'!$E$9+1,1))-AVERAGE(OFFSET($H$3,0,0,'Données projet'!$E$9+1,1))</f>
        <v>564.49981446852132</v>
      </c>
      <c r="T175" s="59">
        <f t="shared" si="142"/>
        <v>297.54722913785406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19.8100000000004</v>
      </c>
      <c r="AJ175" s="13">
        <f>AI175*VLOOKUP('Données projet'!$B$10,Paramètres!$A$1:$I$89,3,0)*VLOOKUP('Données projet'!$B$10,Paramètres!$A$1:$I$89,5,0)</f>
        <v>20.08734000000041</v>
      </c>
      <c r="AK175" s="13">
        <f t="shared" si="164"/>
        <v>6.5285137703520215</v>
      </c>
      <c r="AL175" s="20">
        <f t="shared" si="165"/>
        <v>46.355945316697152</v>
      </c>
      <c r="AM175" s="59">
        <f t="shared" si="113"/>
        <v>335.52561465277415</v>
      </c>
      <c r="AN175" s="59">
        <f ca="1">AVERAGE(OFFSET($AM$3,0,0,'Données projet'!$E$10+1,1))-AVERAGE(OFFSET($H$3,0,0,'Données projet'!$E$10+1,1))</f>
        <v>623.16549611107564</v>
      </c>
      <c r="AO175" s="59">
        <f t="shared" si="144"/>
        <v>326.15178903425885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137.8668611256125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137.8668611256125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266.99999999999983</v>
      </c>
      <c r="BE175" s="13">
        <f>BD175*VLOOKUP('Données projet'!$B$11,Paramètres!$A$1:$I$89,3,0)*VLOOKUP('Données projet'!$B$11,Paramètres!$A$1:$I$89,5,0)</f>
        <v>216.59039999999987</v>
      </c>
      <c r="BF175" s="13">
        <f t="shared" si="167"/>
        <v>53.373153688190904</v>
      </c>
      <c r="BG175" s="20">
        <f t="shared" si="168"/>
        <v>470.18652267359886</v>
      </c>
      <c r="BH175" s="59">
        <f t="shared" si="116"/>
        <v>759.35619200967585</v>
      </c>
      <c r="BI175" s="59">
        <f ca="1">AVERAGE(OFFSET($BH$3,0,0,'Données projet'!$E$11+1,1))-AVERAGE(OFFSET($H$3,0,0,'Données projet'!$E$11+1,1))</f>
        <v>326.2912419133811</v>
      </c>
      <c r="BJ175" s="59">
        <f t="shared" si="146"/>
        <v>315.07976787459938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7.1533868240857572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7.1533868240857572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243</v>
      </c>
      <c r="BZ175" s="13">
        <f>BY175*VLOOKUP('Données projet'!$B$12,Paramètres!$A$1:$I$89,3,0)*VLOOKUP('Données projet'!$B$12,Paramètres!$A$1:$I$89,5,0)</f>
        <v>155.4228</v>
      </c>
      <c r="CA175" s="13">
        <f t="shared" si="170"/>
        <v>39.808377687614154</v>
      </c>
      <c r="CB175" s="20">
        <f t="shared" si="171"/>
        <v>340.02763447259463</v>
      </c>
      <c r="CC175" s="59">
        <f t="shared" si="119"/>
        <v>629.19730380867168</v>
      </c>
      <c r="CD175" s="59">
        <f ca="1">AVERAGE(OFFSET($CC$3,0,0,'Données projet'!$E$12+1,1))-AVERAGE(OFFSET($H$3,0,0,'Données projet'!$E$12+1,1))</f>
        <v>297.03992602744393</v>
      </c>
      <c r="CE175" s="59">
        <f t="shared" si="148"/>
        <v>265.2588848922893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9.8763714753033653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9.8763714753033653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367.99999999999972</v>
      </c>
      <c r="CU175" s="17">
        <f>CT175*VLOOKUP('Données projet'!$B$13,Paramètres!$A$1:$I$89,3,0)*VLOOKUP('Données projet'!$B$13,Paramètres!$A$1:$I$89,5,0)</f>
        <v>292.78079999999977</v>
      </c>
      <c r="CV175" s="13">
        <f t="shared" si="173"/>
        <v>69.660903052386217</v>
      </c>
      <c r="CW175" s="20">
        <f t="shared" si="174"/>
        <v>631.25263281623893</v>
      </c>
      <c r="CX175" s="59">
        <f t="shared" si="122"/>
        <v>920.42230215231598</v>
      </c>
      <c r="CY175" s="59">
        <f ca="1">AVERAGE(OFFSET($CX$3,0,0,'Données projet'!$E$13+1,1))-AVERAGE(OFFSET($H$3,0,0,'Données projet'!$E$13+1,1))</f>
        <v>427.42918901489531</v>
      </c>
      <c r="CZ175" s="59">
        <f t="shared" si="150"/>
        <v>410.68601510655412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9.9662613449539901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9.9662613449539901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19.8100000000004</v>
      </c>
      <c r="DP175" s="17">
        <f>DO175*VLOOKUP('Données projet'!$B$14,Paramètres!$A$1:$I$89,3,0)*VLOOKUP('Données projet'!$B$14,Paramètres!$A$1:$I$89,5,0)</f>
        <v>19.160232000000388</v>
      </c>
      <c r="DQ175" s="13">
        <f t="shared" si="176"/>
        <v>6.2615431735370342</v>
      </c>
      <c r="DR175" s="20">
        <f t="shared" si="177"/>
        <v>44.27625842724435</v>
      </c>
      <c r="DS175" s="59">
        <f t="shared" si="125"/>
        <v>333.44592776332132</v>
      </c>
      <c r="DT175" s="59">
        <f ca="1">AVERAGE(OFFSET($DS$3,0,0,'Données projet'!$E$14+1,1))-AVERAGE(OFFSET($H$3,0,0,'Données projet'!$E$14+1,1))</f>
        <v>598.03945725240396</v>
      </c>
      <c r="DU175" s="59">
        <f t="shared" si="152"/>
        <v>313.9014686755695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131.50377522750725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131.50377522750725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19.8100000000004</v>
      </c>
      <c r="EK175" s="17">
        <f>EJ175*VLOOKUP('Données projet'!$B$15,Paramètres!$A$1:$I$89,3,0)*VLOOKUP('Données projet'!$B$15,Paramètres!$A$1:$I$89,5,0)</f>
        <v>13.288548000000269</v>
      </c>
      <c r="EL175" s="13">
        <f t="shared" si="179"/>
        <v>4.531654695205642</v>
      </c>
      <c r="EM175" s="20">
        <f t="shared" si="180"/>
        <v>31.036853027483627</v>
      </c>
      <c r="EN175" s="59">
        <f t="shared" si="128"/>
        <v>320.20652236356062</v>
      </c>
      <c r="EO175" s="59">
        <f ca="1">AVERAGE(OFFSET($EN$3,0,0,'Données projet'!$E$15+1,1))-AVERAGE(OFFSET($H$3,0,0,'Données projet'!$E$15+1,1))</f>
        <v>438.27475674276604</v>
      </c>
      <c r="EP175" s="59">
        <f t="shared" si="154"/>
        <v>235.97720136798864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112.41451753319168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112.41451753319168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5.2499999999990337</v>
      </c>
      <c r="FF175" s="17">
        <f>FE175*VLOOKUP('Données projet'!$B$16,Paramètres!$A$1:$I$89,3,0)*VLOOKUP('Données projet'!$B$16,Paramètres!$A$1:$I$89,5,0)</f>
        <v>2.4569999999995478</v>
      </c>
      <c r="FG175" s="13">
        <f t="shared" si="182"/>
        <v>1.0197977774625564</v>
      </c>
      <c r="FH175" s="20">
        <f t="shared" si="183"/>
        <v>6.0554227957464972</v>
      </c>
      <c r="FI175" s="59">
        <f t="shared" si="131"/>
        <v>295.22509213182349</v>
      </c>
      <c r="FJ175" s="59">
        <f ca="1">AVERAGE(OFFSET($FI$3,0,0,'Données projet'!$E$16+1,1))-AVERAGE(OFFSET($H$3,0,0,'Données projet'!$E$16+1,1))</f>
        <v>329.49463758169588</v>
      </c>
      <c r="FK175" s="59">
        <f t="shared" si="156"/>
        <v>207.1447698203379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69.751585352925531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69.751585352925531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763.00000000000057</v>
      </c>
      <c r="GA175" s="17">
        <f>FZ175*VLOOKUP('Données projet'!$B$17,Paramètres!$A$1:$I$89,3,0)*VLOOKUP('Données projet'!$B$17,Paramètres!$A$1:$I$89,5,0)</f>
        <v>456.2740000000004</v>
      </c>
      <c r="GB175" s="13">
        <f t="shared" si="185"/>
        <v>103.09649786611838</v>
      </c>
      <c r="GC175" s="20">
        <f t="shared" si="186"/>
        <v>974.23695045015677</v>
      </c>
      <c r="GD175" s="59">
        <f t="shared" si="134"/>
        <v>1263.4066197862337</v>
      </c>
      <c r="GE175" s="59">
        <f ca="1">AVERAGE(OFFSET($GD$3,0,0,'Données projet'!$E$17+1,1))-AVERAGE(OFFSET($H$3,0,0,'Données projet'!$E$17+1,1))</f>
        <v>577.07444926285291</v>
      </c>
      <c r="GF175" s="59">
        <f t="shared" si="158"/>
        <v>501.3762209070419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17.208831415229604</v>
      </c>
      <c r="GM175" s="21">
        <f>EXP(-LN(2)/25)*GM174+(1-EXP(-LN(2)/25))/(LN(2)/25)*Calculateur!GH175*Calculateur!GJ175*VLOOKUP('Données projet'!$B$17,Paramètres!$A$1:$I$89,3,0)*0.475*44/12</f>
        <v>1.276054669079056</v>
      </c>
      <c r="GN175" s="21">
        <f>EXP(-LN(2)/2)*GN174+(1-EXP(-LN(2)/2))/(LN(2)/2)*GH175*GK175*VLOOKUP('Données projet'!$B$17,Paramètres!$A$1:$I$89,3,0)*0.475*44/12</f>
        <v>3.3266059372622084E-23</v>
      </c>
      <c r="GO175" s="21">
        <f t="shared" si="187"/>
        <v>18.484886084308659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68.864455273475542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-5.6843418860808015E-14</v>
      </c>
      <c r="GV175" s="17">
        <f>GU175*VLOOKUP('Données projet'!$B$18,Paramètres!$A$1:$I$89,3,0)*VLOOKUP('Données projet'!$B$18,Paramètres!$A$1:$I$89,5,0)</f>
        <v>-3.0061073630349716E-14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212.75657290802619</v>
      </c>
      <c r="HA175" s="59">
        <f t="shared" si="160"/>
        <v>411.47446316045978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4.6177662966222393</v>
      </c>
      <c r="HH175" s="21">
        <f>EXP(-LN(2)/25)*HH174+(1-EXP(-LN(2)/25))/(LN(2)/25)*Calculateur!HC175*Calculateur!HE175*VLOOKUP('Données projet'!$B$18,Paramètres!$A$1:$I$89,3,0)*0.475*44/12</f>
        <v>0.38839749976298127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5.0061637963852208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4.60745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16.893983333333335</v>
      </c>
      <c r="H176" s="66">
        <f t="shared" si="110"/>
        <v>189.09073333333333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330.74112980372615</v>
      </c>
      <c r="S176" s="59">
        <f ca="1">AVERAGE(OFFSET($R$3,0,0,'Données projet'!$E$9+1,1))-AVERAGE(OFFSET($H$3,0,0,'Données projet'!$E$9+1,1))</f>
        <v>564.49981446852132</v>
      </c>
      <c r="T176" s="59">
        <f t="shared" si="142"/>
        <v>297.54722913785406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19.8100000000004</v>
      </c>
      <c r="AJ176" s="13">
        <f>AI176*VLOOKUP('Données projet'!$B$10,Paramètres!$A$1:$I$89,3,0)*VLOOKUP('Données projet'!$B$10,Paramètres!$A$1:$I$89,5,0)</f>
        <v>20.08734000000041</v>
      </c>
      <c r="AK176" s="13">
        <f t="shared" si="164"/>
        <v>6.5285137703520215</v>
      </c>
      <c r="AL176" s="20">
        <f t="shared" si="165"/>
        <v>46.355945316697152</v>
      </c>
      <c r="AM176" s="59">
        <f t="shared" si="113"/>
        <v>335.59784491456838</v>
      </c>
      <c r="AN176" s="59">
        <f ca="1">AVERAGE(OFFSET($AM$3,0,0,'Données projet'!$E$10+1,1))-AVERAGE(OFFSET($H$3,0,0,'Données projet'!$E$10+1,1))</f>
        <v>623.16549611107564</v>
      </c>
      <c r="AO176" s="59">
        <f t="shared" si="144"/>
        <v>326.15178903425885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135.16337606942128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135.16337606942128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266.99999999999983</v>
      </c>
      <c r="BE176" s="13">
        <f>BD176*VLOOKUP('Données projet'!$B$11,Paramètres!$A$1:$I$89,3,0)*VLOOKUP('Données projet'!$B$11,Paramètres!$A$1:$I$89,5,0)</f>
        <v>216.59039999999987</v>
      </c>
      <c r="BF176" s="13">
        <f t="shared" si="167"/>
        <v>53.373153688190904</v>
      </c>
      <c r="BG176" s="20">
        <f t="shared" si="168"/>
        <v>470.18652267359886</v>
      </c>
      <c r="BH176" s="59">
        <f t="shared" si="116"/>
        <v>759.42842227147003</v>
      </c>
      <c r="BI176" s="59">
        <f ca="1">AVERAGE(OFFSET($BH$3,0,0,'Données projet'!$E$11+1,1))-AVERAGE(OFFSET($H$3,0,0,'Données projet'!$E$11+1,1))</f>
        <v>326.2912419133811</v>
      </c>
      <c r="BJ176" s="59">
        <f t="shared" si="146"/>
        <v>315.07976787459938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7.0131132716005746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7.0131132716005746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243</v>
      </c>
      <c r="BZ176" s="13">
        <f>BY176*VLOOKUP('Données projet'!$B$12,Paramètres!$A$1:$I$89,3,0)*VLOOKUP('Données projet'!$B$12,Paramètres!$A$1:$I$89,5,0)</f>
        <v>155.4228</v>
      </c>
      <c r="CA176" s="13">
        <f t="shared" si="170"/>
        <v>39.808377687614154</v>
      </c>
      <c r="CB176" s="20">
        <f t="shared" si="171"/>
        <v>340.02763447259463</v>
      </c>
      <c r="CC176" s="59">
        <f t="shared" si="119"/>
        <v>629.26953407046585</v>
      </c>
      <c r="CD176" s="59">
        <f ca="1">AVERAGE(OFFSET($CC$3,0,0,'Données projet'!$E$12+1,1))-AVERAGE(OFFSET($H$3,0,0,'Données projet'!$E$12+1,1))</f>
        <v>297.03992602744393</v>
      </c>
      <c r="CE176" s="59">
        <f t="shared" si="148"/>
        <v>265.2588848922893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9.6827018546644457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9.6827018546644457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367.99999999999972</v>
      </c>
      <c r="CU176" s="17">
        <f>CT176*VLOOKUP('Données projet'!$B$13,Paramètres!$A$1:$I$89,3,0)*VLOOKUP('Données projet'!$B$13,Paramètres!$A$1:$I$89,5,0)</f>
        <v>292.78079999999977</v>
      </c>
      <c r="CV176" s="13">
        <f t="shared" si="173"/>
        <v>69.660903052386217</v>
      </c>
      <c r="CW176" s="20">
        <f t="shared" si="174"/>
        <v>631.25263281623893</v>
      </c>
      <c r="CX176" s="59">
        <f t="shared" si="122"/>
        <v>920.49453241411015</v>
      </c>
      <c r="CY176" s="59">
        <f ca="1">AVERAGE(OFFSET($CX$3,0,0,'Données projet'!$E$13+1,1))-AVERAGE(OFFSET($H$3,0,0,'Données projet'!$E$13+1,1))</f>
        <v>427.42918901489531</v>
      </c>
      <c r="CZ176" s="59">
        <f t="shared" si="150"/>
        <v>410.68601510655412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9.7708290387986292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9.7708290387986292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19.8100000000004</v>
      </c>
      <c r="DP176" s="17">
        <f>DO176*VLOOKUP('Données projet'!$B$14,Paramètres!$A$1:$I$89,3,0)*VLOOKUP('Données projet'!$B$14,Paramètres!$A$1:$I$89,5,0)</f>
        <v>19.160232000000388</v>
      </c>
      <c r="DQ176" s="13">
        <f t="shared" si="176"/>
        <v>6.2615431735370342</v>
      </c>
      <c r="DR176" s="20">
        <f t="shared" si="177"/>
        <v>44.27625842724435</v>
      </c>
      <c r="DS176" s="59">
        <f t="shared" si="125"/>
        <v>333.51815802511555</v>
      </c>
      <c r="DT176" s="59">
        <f ca="1">AVERAGE(OFFSET($DS$3,0,0,'Données projet'!$E$14+1,1))-AVERAGE(OFFSET($H$3,0,0,'Données projet'!$E$14+1,1))</f>
        <v>598.03945725240396</v>
      </c>
      <c r="DU176" s="59">
        <f t="shared" si="152"/>
        <v>313.9014686755695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128.92506640467869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128.92506640467869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19.8100000000004</v>
      </c>
      <c r="EK176" s="17">
        <f>EJ176*VLOOKUP('Données projet'!$B$15,Paramètres!$A$1:$I$89,3,0)*VLOOKUP('Données projet'!$B$15,Paramètres!$A$1:$I$89,5,0)</f>
        <v>13.288548000000269</v>
      </c>
      <c r="EL176" s="13">
        <f t="shared" si="179"/>
        <v>4.531654695205642</v>
      </c>
      <c r="EM176" s="20">
        <f t="shared" si="180"/>
        <v>31.036853027483627</v>
      </c>
      <c r="EN176" s="59">
        <f t="shared" si="128"/>
        <v>320.27875262535485</v>
      </c>
      <c r="EO176" s="59">
        <f ca="1">AVERAGE(OFFSET($EN$3,0,0,'Données projet'!$E$15+1,1))-AVERAGE(OFFSET($H$3,0,0,'Données projet'!$E$15+1,1))</f>
        <v>438.27475674276604</v>
      </c>
      <c r="EP176" s="59">
        <f t="shared" si="154"/>
        <v>235.97720136798864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110.21013741045115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110.21013741045115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5.2499999999990337</v>
      </c>
      <c r="FF176" s="17">
        <f>FE176*VLOOKUP('Données projet'!$B$16,Paramètres!$A$1:$I$89,3,0)*VLOOKUP('Données projet'!$B$16,Paramètres!$A$1:$I$89,5,0)</f>
        <v>2.4569999999995478</v>
      </c>
      <c r="FG176" s="13">
        <f t="shared" si="182"/>
        <v>1.0197977774625564</v>
      </c>
      <c r="FH176" s="20">
        <f t="shared" si="183"/>
        <v>6.0554227957464972</v>
      </c>
      <c r="FI176" s="59">
        <f t="shared" si="131"/>
        <v>295.29732239361772</v>
      </c>
      <c r="FJ176" s="59">
        <f ca="1">AVERAGE(OFFSET($FI$3,0,0,'Données projet'!$E$16+1,1))-AVERAGE(OFFSET($H$3,0,0,'Données projet'!$E$16+1,1))</f>
        <v>329.49463758169588</v>
      </c>
      <c r="FK176" s="59">
        <f t="shared" si="156"/>
        <v>207.1447698203379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68.383799308420834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68.383799308420834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763.00000000000057</v>
      </c>
      <c r="GA176" s="17">
        <f>FZ176*VLOOKUP('Données projet'!$B$17,Paramètres!$A$1:$I$89,3,0)*VLOOKUP('Données projet'!$B$17,Paramètres!$A$1:$I$89,5,0)</f>
        <v>456.2740000000004</v>
      </c>
      <c r="GB176" s="13">
        <f t="shared" si="185"/>
        <v>103.09649786611838</v>
      </c>
      <c r="GC176" s="20">
        <f t="shared" si="186"/>
        <v>974.23695045015677</v>
      </c>
      <c r="GD176" s="59">
        <f t="shared" si="134"/>
        <v>1263.4788500480281</v>
      </c>
      <c r="GE176" s="59">
        <f ca="1">AVERAGE(OFFSET($GD$3,0,0,'Données projet'!$E$17+1,1))-AVERAGE(OFFSET($H$3,0,0,'Données projet'!$E$17+1,1))</f>
        <v>577.07444926285291</v>
      </c>
      <c r="GF176" s="59">
        <f t="shared" si="158"/>
        <v>501.3762209070419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16.871376727527686</v>
      </c>
      <c r="GM176" s="21">
        <f>EXP(-LN(2)/25)*GM175+(1-EXP(-LN(2)/25))/(LN(2)/25)*Calculateur!GH176*Calculateur!GJ176*VLOOKUP('Données projet'!$B$17,Paramètres!$A$1:$I$89,3,0)*0.475*44/12</f>
        <v>1.2411608870482906</v>
      </c>
      <c r="GN176" s="21">
        <f>EXP(-LN(2)/2)*GN175+(1-EXP(-LN(2)/2))/(LN(2)/2)*GH176*GK176*VLOOKUP('Données projet'!$B$17,Paramètres!$A$1:$I$89,3,0)*0.475*44/12</f>
        <v>2.3522656165735383E-23</v>
      </c>
      <c r="GO176" s="21">
        <f t="shared" si="187"/>
        <v>18.112537614575977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68.88415443578306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-5.6843418860808015E-14</v>
      </c>
      <c r="GV176" s="17">
        <f>GU176*VLOOKUP('Données projet'!$B$18,Paramètres!$A$1:$I$89,3,0)*VLOOKUP('Données projet'!$B$18,Paramètres!$A$1:$I$89,5,0)</f>
        <v>-3.0061073630349716E-14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212.75657290802619</v>
      </c>
      <c r="HA176" s="59">
        <f t="shared" si="160"/>
        <v>411.47446316045978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4.5272147161048055</v>
      </c>
      <c r="HH176" s="21">
        <f>EXP(-LN(2)/25)*HH175+(1-EXP(-LN(2)/25))/(LN(2)/25)*Calculateur!HC176*Calculateur!HE176*VLOOKUP('Données projet'!$B$18,Paramètres!$A$1:$I$89,3,0)*0.475*44/12</f>
        <v>0.37777674970702574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4.9049914658118317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4.60745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16.893983333333335</v>
      </c>
      <c r="H177" s="66">
        <f t="shared" si="110"/>
        <v>189.09073333333333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330.81210703196092</v>
      </c>
      <c r="S177" s="59">
        <f ca="1">AVERAGE(OFFSET($R$3,0,0,'Données projet'!$E$9+1,1))-AVERAGE(OFFSET($H$3,0,0,'Données projet'!$E$9+1,1))</f>
        <v>564.49981446852132</v>
      </c>
      <c r="T177" s="59">
        <f t="shared" si="142"/>
        <v>297.54722913785406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19.8100000000004</v>
      </c>
      <c r="AJ177" s="13">
        <f>AI177*VLOOKUP('Données projet'!$B$10,Paramètres!$A$1:$I$89,3,0)*VLOOKUP('Données projet'!$B$10,Paramètres!$A$1:$I$89,5,0)</f>
        <v>20.08734000000041</v>
      </c>
      <c r="AK177" s="13">
        <f t="shared" si="164"/>
        <v>6.5285137703520215</v>
      </c>
      <c r="AL177" s="20">
        <f t="shared" si="165"/>
        <v>46.355945316697152</v>
      </c>
      <c r="AM177" s="59">
        <f t="shared" si="113"/>
        <v>335.66882214280315</v>
      </c>
      <c r="AN177" s="59">
        <f ca="1">AVERAGE(OFFSET($AM$3,0,0,'Données projet'!$E$10+1,1))-AVERAGE(OFFSET($H$3,0,0,'Données projet'!$E$10+1,1))</f>
        <v>623.16549611107564</v>
      </c>
      <c r="AO177" s="59">
        <f t="shared" si="144"/>
        <v>326.15178903425885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132.5129047062189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132.5129047062189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266.99999999999983</v>
      </c>
      <c r="BE177" s="13">
        <f>BD177*VLOOKUP('Données projet'!$B$11,Paramètres!$A$1:$I$89,3,0)*VLOOKUP('Données projet'!$B$11,Paramètres!$A$1:$I$89,5,0)</f>
        <v>216.59039999999987</v>
      </c>
      <c r="BF177" s="13">
        <f t="shared" si="167"/>
        <v>53.373153688190904</v>
      </c>
      <c r="BG177" s="20">
        <f t="shared" si="168"/>
        <v>470.18652267359886</v>
      </c>
      <c r="BH177" s="59">
        <f t="shared" si="116"/>
        <v>759.49939949970485</v>
      </c>
      <c r="BI177" s="59">
        <f ca="1">AVERAGE(OFFSET($BH$3,0,0,'Données projet'!$E$11+1,1))-AVERAGE(OFFSET($H$3,0,0,'Données projet'!$E$11+1,1))</f>
        <v>326.2912419133811</v>
      </c>
      <c r="BJ177" s="59">
        <f t="shared" si="146"/>
        <v>315.07976787459938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6.8755903979212079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6.8755903979212079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243</v>
      </c>
      <c r="BZ177" s="13">
        <f>BY177*VLOOKUP('Données projet'!$B$12,Paramètres!$A$1:$I$89,3,0)*VLOOKUP('Données projet'!$B$12,Paramètres!$A$1:$I$89,5,0)</f>
        <v>155.4228</v>
      </c>
      <c r="CA177" s="13">
        <f t="shared" si="170"/>
        <v>39.808377687614154</v>
      </c>
      <c r="CB177" s="20">
        <f t="shared" si="171"/>
        <v>340.02763447259463</v>
      </c>
      <c r="CC177" s="59">
        <f t="shared" si="119"/>
        <v>629.34051129870068</v>
      </c>
      <c r="CD177" s="59">
        <f ca="1">AVERAGE(OFFSET($CC$3,0,0,'Données projet'!$E$12+1,1))-AVERAGE(OFFSET($H$3,0,0,'Données projet'!$E$12+1,1))</f>
        <v>297.03992602744393</v>
      </c>
      <c r="CE177" s="59">
        <f t="shared" si="148"/>
        <v>265.2588848922893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9.4928299771594506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9.4928299771594506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367.99999999999972</v>
      </c>
      <c r="CU177" s="17">
        <f>CT177*VLOOKUP('Données projet'!$B$13,Paramètres!$A$1:$I$89,3,0)*VLOOKUP('Données projet'!$B$13,Paramètres!$A$1:$I$89,5,0)</f>
        <v>292.78079999999977</v>
      </c>
      <c r="CV177" s="13">
        <f t="shared" si="173"/>
        <v>69.660903052386217</v>
      </c>
      <c r="CW177" s="20">
        <f t="shared" si="174"/>
        <v>631.25263281623893</v>
      </c>
      <c r="CX177" s="59">
        <f t="shared" si="122"/>
        <v>920.56550964234498</v>
      </c>
      <c r="CY177" s="59">
        <f ca="1">AVERAGE(OFFSET($CX$3,0,0,'Données projet'!$E$13+1,1))-AVERAGE(OFFSET($H$3,0,0,'Données projet'!$E$13+1,1))</f>
        <v>427.42918901489531</v>
      </c>
      <c r="CZ177" s="59">
        <f t="shared" si="150"/>
        <v>410.68601510655412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9.5792290409650391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9.5792290409650391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19.8100000000004</v>
      </c>
      <c r="DP177" s="17">
        <f>DO177*VLOOKUP('Données projet'!$B$14,Paramètres!$A$1:$I$89,3,0)*VLOOKUP('Données projet'!$B$14,Paramètres!$A$1:$I$89,5,0)</f>
        <v>19.160232000000388</v>
      </c>
      <c r="DQ177" s="13">
        <f t="shared" si="176"/>
        <v>6.2615431735370342</v>
      </c>
      <c r="DR177" s="20">
        <f t="shared" si="177"/>
        <v>44.27625842724435</v>
      </c>
      <c r="DS177" s="59">
        <f t="shared" si="125"/>
        <v>333.58913525335032</v>
      </c>
      <c r="DT177" s="59">
        <f ca="1">AVERAGE(OFFSET($DS$3,0,0,'Données projet'!$E$14+1,1))-AVERAGE(OFFSET($H$3,0,0,'Données projet'!$E$14+1,1))</f>
        <v>598.03945725240396</v>
      </c>
      <c r="DU177" s="59">
        <f t="shared" si="152"/>
        <v>313.9014686755695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126.39692448900874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126.39692448900874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19.8100000000004</v>
      </c>
      <c r="EK177" s="17">
        <f>EJ177*VLOOKUP('Données projet'!$B$15,Paramètres!$A$1:$I$89,3,0)*VLOOKUP('Données projet'!$B$15,Paramètres!$A$1:$I$89,5,0)</f>
        <v>13.288548000000269</v>
      </c>
      <c r="EL177" s="13">
        <f t="shared" si="179"/>
        <v>4.531654695205642</v>
      </c>
      <c r="EM177" s="20">
        <f t="shared" si="180"/>
        <v>31.036853027483627</v>
      </c>
      <c r="EN177" s="59">
        <f t="shared" si="128"/>
        <v>320.34972985358962</v>
      </c>
      <c r="EO177" s="59">
        <f ca="1">AVERAGE(OFFSET($EN$3,0,0,'Données projet'!$E$15+1,1))-AVERAGE(OFFSET($H$3,0,0,'Données projet'!$E$15+1,1))</f>
        <v>438.27475674276604</v>
      </c>
      <c r="EP177" s="59">
        <f t="shared" si="154"/>
        <v>235.97720136798864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108.04898383737844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108.04898383737844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5.2499999999990337</v>
      </c>
      <c r="FF177" s="17">
        <f>FE177*VLOOKUP('Données projet'!$B$16,Paramètres!$A$1:$I$89,3,0)*VLOOKUP('Données projet'!$B$16,Paramètres!$A$1:$I$89,5,0)</f>
        <v>2.4569999999995478</v>
      </c>
      <c r="FG177" s="13">
        <f t="shared" si="182"/>
        <v>1.0197977774625564</v>
      </c>
      <c r="FH177" s="20">
        <f t="shared" si="183"/>
        <v>6.0554227957464972</v>
      </c>
      <c r="FI177" s="59">
        <f t="shared" si="131"/>
        <v>295.36829962185249</v>
      </c>
      <c r="FJ177" s="59">
        <f ca="1">AVERAGE(OFFSET($FI$3,0,0,'Données projet'!$E$16+1,1))-AVERAGE(OFFSET($H$3,0,0,'Données projet'!$E$16+1,1))</f>
        <v>329.49463758169588</v>
      </c>
      <c r="FK177" s="59">
        <f t="shared" si="156"/>
        <v>207.1447698203379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67.042834713981762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67.042834713981762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763.00000000000057</v>
      </c>
      <c r="GA177" s="17">
        <f>FZ177*VLOOKUP('Données projet'!$B$17,Paramètres!$A$1:$I$89,3,0)*VLOOKUP('Données projet'!$B$17,Paramètres!$A$1:$I$89,5,0)</f>
        <v>456.2740000000004</v>
      </c>
      <c r="GB177" s="13">
        <f t="shared" si="185"/>
        <v>103.09649786611838</v>
      </c>
      <c r="GC177" s="20">
        <f t="shared" si="186"/>
        <v>974.23695045015677</v>
      </c>
      <c r="GD177" s="59">
        <f t="shared" si="134"/>
        <v>1263.5498272762627</v>
      </c>
      <c r="GE177" s="59">
        <f ca="1">AVERAGE(OFFSET($GD$3,0,0,'Données projet'!$E$17+1,1))-AVERAGE(OFFSET($H$3,0,0,'Données projet'!$E$17+1,1))</f>
        <v>577.07444926285291</v>
      </c>
      <c r="GF177" s="59">
        <f t="shared" si="158"/>
        <v>501.3762209070419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16.540539320424568</v>
      </c>
      <c r="GM177" s="21">
        <f>EXP(-LN(2)/25)*GM176+(1-EXP(-LN(2)/25))/(LN(2)/25)*Calculateur!GH177*Calculateur!GJ177*VLOOKUP('Données projet'!$B$17,Paramètres!$A$1:$I$89,3,0)*0.475*44/12</f>
        <v>1.2072212773221407</v>
      </c>
      <c r="GN177" s="21">
        <f>EXP(-LN(2)/2)*GN176+(1-EXP(-LN(2)/2))/(LN(2)/2)*GH177*GK177*VLOOKUP('Données projet'!$B$17,Paramètres!$A$1:$I$89,3,0)*0.475*44/12</f>
        <v>1.6633029686311042E-23</v>
      </c>
      <c r="GO177" s="21">
        <f t="shared" si="187"/>
        <v>17.747760597746709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68.903511861665265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-5.6843418860808015E-14</v>
      </c>
      <c r="GV177" s="17">
        <f>GU177*VLOOKUP('Données projet'!$B$18,Paramètres!$A$1:$I$89,3,0)*VLOOKUP('Données projet'!$B$18,Paramètres!$A$1:$I$89,5,0)</f>
        <v>-3.0061073630349716E-14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212.75657290802619</v>
      </c>
      <c r="HA177" s="59">
        <f t="shared" si="160"/>
        <v>411.47446316045978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4.438438796850309</v>
      </c>
      <c r="HH177" s="21">
        <f>EXP(-LN(2)/25)*HH176+(1-EXP(-LN(2)/25))/(LN(2)/25)*Calculateur!HC177*Calculateur!HE177*VLOOKUP('Données projet'!$B$18,Paramètres!$A$1:$I$89,3,0)*0.475*44/12</f>
        <v>0.36744642461987126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4.8058852214701799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4.60745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16.893983333333335</v>
      </c>
      <c r="H178" s="66">
        <f t="shared" si="110"/>
        <v>189.09073333333333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330.88185296396711</v>
      </c>
      <c r="S178" s="59">
        <f ca="1">AVERAGE(OFFSET($R$3,0,0,'Données projet'!$E$9+1,1))-AVERAGE(OFFSET($H$3,0,0,'Données projet'!$E$9+1,1))</f>
        <v>564.49981446852132</v>
      </c>
      <c r="T178" s="59">
        <f t="shared" si="142"/>
        <v>297.54722913785406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19.8100000000004</v>
      </c>
      <c r="AJ178" s="13">
        <f>AI178*VLOOKUP('Données projet'!$B$10,Paramètres!$A$1:$I$89,3,0)*VLOOKUP('Données projet'!$B$10,Paramètres!$A$1:$I$89,5,0)</f>
        <v>20.08734000000041</v>
      </c>
      <c r="AK178" s="13">
        <f t="shared" si="164"/>
        <v>6.5285137703520215</v>
      </c>
      <c r="AL178" s="20">
        <f t="shared" si="165"/>
        <v>46.355945316697152</v>
      </c>
      <c r="AM178" s="59">
        <f t="shared" si="113"/>
        <v>335.73856807480934</v>
      </c>
      <c r="AN178" s="59">
        <f ca="1">AVERAGE(OFFSET($AM$3,0,0,'Données projet'!$E$10+1,1))-AVERAGE(OFFSET($H$3,0,0,'Données projet'!$E$10+1,1))</f>
        <v>623.16549611107564</v>
      </c>
      <c r="AO178" s="59">
        <f t="shared" si="144"/>
        <v>326.15178903425885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129.91440746982101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129.91440746982101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266.99999999999983</v>
      </c>
      <c r="BE178" s="13">
        <f>BD178*VLOOKUP('Données projet'!$B$11,Paramètres!$A$1:$I$89,3,0)*VLOOKUP('Données projet'!$B$11,Paramètres!$A$1:$I$89,5,0)</f>
        <v>216.59039999999987</v>
      </c>
      <c r="BF178" s="13">
        <f t="shared" si="167"/>
        <v>53.373153688190904</v>
      </c>
      <c r="BG178" s="20">
        <f t="shared" si="168"/>
        <v>470.18652267359886</v>
      </c>
      <c r="BH178" s="59">
        <f t="shared" si="116"/>
        <v>759.56914543171104</v>
      </c>
      <c r="BI178" s="59">
        <f ca="1">AVERAGE(OFFSET($BH$3,0,0,'Données projet'!$E$11+1,1))-AVERAGE(OFFSET($H$3,0,0,'Données projet'!$E$11+1,1))</f>
        <v>326.2912419133811</v>
      </c>
      <c r="BJ178" s="59">
        <f t="shared" si="146"/>
        <v>315.07976787459938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6.7407642639140226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6.7407642639140226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243</v>
      </c>
      <c r="BZ178" s="13">
        <f>BY178*VLOOKUP('Données projet'!$B$12,Paramètres!$A$1:$I$89,3,0)*VLOOKUP('Données projet'!$B$12,Paramètres!$A$1:$I$89,5,0)</f>
        <v>155.4228</v>
      </c>
      <c r="CA178" s="13">
        <f t="shared" si="170"/>
        <v>39.808377687614154</v>
      </c>
      <c r="CB178" s="20">
        <f t="shared" si="171"/>
        <v>340.02763447259463</v>
      </c>
      <c r="CC178" s="59">
        <f t="shared" si="119"/>
        <v>629.41025723070675</v>
      </c>
      <c r="CD178" s="59">
        <f ca="1">AVERAGE(OFFSET($CC$3,0,0,'Données projet'!$E$12+1,1))-AVERAGE(OFFSET($H$3,0,0,'Données projet'!$E$12+1,1))</f>
        <v>297.03992602744393</v>
      </c>
      <c r="CE178" s="59">
        <f t="shared" si="148"/>
        <v>265.2588848922893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9.3066813713619201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9.3066813713619201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367.99999999999972</v>
      </c>
      <c r="CU178" s="17">
        <f>CT178*VLOOKUP('Données projet'!$B$13,Paramètres!$A$1:$I$89,3,0)*VLOOKUP('Données projet'!$B$13,Paramètres!$A$1:$I$89,5,0)</f>
        <v>292.78079999999977</v>
      </c>
      <c r="CV178" s="13">
        <f t="shared" si="173"/>
        <v>69.660903052386217</v>
      </c>
      <c r="CW178" s="20">
        <f t="shared" si="174"/>
        <v>631.25263281623893</v>
      </c>
      <c r="CX178" s="59">
        <f t="shared" si="122"/>
        <v>920.63525557435105</v>
      </c>
      <c r="CY178" s="59">
        <f ca="1">AVERAGE(OFFSET($CX$3,0,0,'Données projet'!$E$13+1,1))-AVERAGE(OFFSET($H$3,0,0,'Données projet'!$E$13+1,1))</f>
        <v>427.42918901489531</v>
      </c>
      <c r="CZ178" s="59">
        <f t="shared" si="150"/>
        <v>410.68601510655412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9.3913862022245063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9.3913862022245063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19.8100000000004</v>
      </c>
      <c r="DP178" s="17">
        <f>DO178*VLOOKUP('Données projet'!$B$14,Paramètres!$A$1:$I$89,3,0)*VLOOKUP('Données projet'!$B$14,Paramètres!$A$1:$I$89,5,0)</f>
        <v>19.160232000000388</v>
      </c>
      <c r="DQ178" s="13">
        <f t="shared" si="176"/>
        <v>6.2615431735370342</v>
      </c>
      <c r="DR178" s="20">
        <f t="shared" si="177"/>
        <v>44.27625842724435</v>
      </c>
      <c r="DS178" s="59">
        <f t="shared" si="125"/>
        <v>333.65888118535651</v>
      </c>
      <c r="DT178" s="59">
        <f ca="1">AVERAGE(OFFSET($DS$3,0,0,'Données projet'!$E$14+1,1))-AVERAGE(OFFSET($H$3,0,0,'Données projet'!$E$14+1,1))</f>
        <v>598.03945725240396</v>
      </c>
      <c r="DU178" s="59">
        <f t="shared" si="152"/>
        <v>313.9014686755695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123.91835789429076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123.91835789429076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19.8100000000004</v>
      </c>
      <c r="EK178" s="17">
        <f>EJ178*VLOOKUP('Données projet'!$B$15,Paramètres!$A$1:$I$89,3,0)*VLOOKUP('Données projet'!$B$15,Paramètres!$A$1:$I$89,5,0)</f>
        <v>13.288548000000269</v>
      </c>
      <c r="EL178" s="13">
        <f t="shared" si="179"/>
        <v>4.531654695205642</v>
      </c>
      <c r="EM178" s="20">
        <f t="shared" si="180"/>
        <v>31.036853027483627</v>
      </c>
      <c r="EN178" s="59">
        <f t="shared" si="128"/>
        <v>320.41947578559581</v>
      </c>
      <c r="EO178" s="59">
        <f ca="1">AVERAGE(OFFSET($EN$3,0,0,'Données projet'!$E$15+1,1))-AVERAGE(OFFSET($H$3,0,0,'Données projet'!$E$15+1,1))</f>
        <v>438.27475674276604</v>
      </c>
      <c r="EP178" s="59">
        <f t="shared" si="154"/>
        <v>235.97720136798864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105.93020916770017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105.93020916770017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5.2499999999990337</v>
      </c>
      <c r="FF178" s="17">
        <f>FE178*VLOOKUP('Données projet'!$B$16,Paramètres!$A$1:$I$89,3,0)*VLOOKUP('Données projet'!$B$16,Paramètres!$A$1:$I$89,5,0)</f>
        <v>2.4569999999995478</v>
      </c>
      <c r="FG178" s="13">
        <f t="shared" si="182"/>
        <v>1.0197977774625564</v>
      </c>
      <c r="FH178" s="20">
        <f t="shared" si="183"/>
        <v>6.0554227957464972</v>
      </c>
      <c r="FI178" s="59">
        <f t="shared" si="131"/>
        <v>295.43804555385867</v>
      </c>
      <c r="FJ178" s="59">
        <f ca="1">AVERAGE(OFFSET($FI$3,0,0,'Données projet'!$E$16+1,1))-AVERAGE(OFFSET($H$3,0,0,'Données projet'!$E$16+1,1))</f>
        <v>329.49463758169588</v>
      </c>
      <c r="FK178" s="59">
        <f t="shared" si="156"/>
        <v>207.1447698203379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65.728165617331996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65.728165617331996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763.00000000000057</v>
      </c>
      <c r="GA178" s="17">
        <f>FZ178*VLOOKUP('Données projet'!$B$17,Paramètres!$A$1:$I$89,3,0)*VLOOKUP('Données projet'!$B$17,Paramètres!$A$1:$I$89,5,0)</f>
        <v>456.2740000000004</v>
      </c>
      <c r="GB178" s="13">
        <f t="shared" si="185"/>
        <v>103.09649786611838</v>
      </c>
      <c r="GC178" s="20">
        <f t="shared" si="186"/>
        <v>974.23695045015677</v>
      </c>
      <c r="GD178" s="59">
        <f t="shared" si="134"/>
        <v>1263.619573208269</v>
      </c>
      <c r="GE178" s="59">
        <f ca="1">AVERAGE(OFFSET($GD$3,0,0,'Données projet'!$E$17+1,1))-AVERAGE(OFFSET($H$3,0,0,'Données projet'!$E$17+1,1))</f>
        <v>577.07444926285291</v>
      </c>
      <c r="GF178" s="59">
        <f t="shared" si="158"/>
        <v>501.3762209070419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16.216189433083848</v>
      </c>
      <c r="GM178" s="21">
        <f>EXP(-LN(2)/25)*GM177+(1-EXP(-LN(2)/25))/(LN(2)/25)*Calculateur!GH178*Calculateur!GJ178*VLOOKUP('Données projet'!$B$17,Paramètres!$A$1:$I$89,3,0)*0.475*44/12</f>
        <v>1.174209748008759</v>
      </c>
      <c r="GN178" s="21">
        <f>EXP(-LN(2)/2)*GN177+(1-EXP(-LN(2)/2))/(LN(2)/2)*GH178*GK178*VLOOKUP('Données projet'!$B$17,Paramètres!$A$1:$I$89,3,0)*0.475*44/12</f>
        <v>1.1761328082867691E-23</v>
      </c>
      <c r="GO178" s="21">
        <f t="shared" si="187"/>
        <v>17.390399181092608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68.922533479485139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-5.6843418860808015E-14</v>
      </c>
      <c r="GV178" s="17">
        <f>GU178*VLOOKUP('Données projet'!$B$18,Paramètres!$A$1:$I$89,3,0)*VLOOKUP('Données projet'!$B$18,Paramètres!$A$1:$I$89,5,0)</f>
        <v>-3.0061073630349716E-14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212.75657290802619</v>
      </c>
      <c r="HA178" s="59">
        <f t="shared" si="160"/>
        <v>411.47446316045978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4.3514037192244288</v>
      </c>
      <c r="HH178" s="21">
        <f>EXP(-LN(2)/25)*HH177+(1-EXP(-LN(2)/25))/(LN(2)/25)*Calculateur!HC178*Calculateur!HE178*VLOOKUP('Données projet'!$B$18,Paramètres!$A$1:$I$89,3,0)*0.475*44/12</f>
        <v>0.35739858281547321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4.7088023020399019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4.60745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16.893983333333335</v>
      </c>
      <c r="H179" s="66">
        <f t="shared" si="110"/>
        <v>189.09073333333333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330.95038895998158</v>
      </c>
      <c r="S179" s="59">
        <f ca="1">AVERAGE(OFFSET($R$3,0,0,'Données projet'!$E$9+1,1))-AVERAGE(OFFSET($H$3,0,0,'Données projet'!$E$9+1,1))</f>
        <v>564.49981446852132</v>
      </c>
      <c r="T179" s="59">
        <f t="shared" si="142"/>
        <v>297.54722913785406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19.8100000000004</v>
      </c>
      <c r="AJ179" s="13">
        <f>AI179*VLOOKUP('Données projet'!$B$10,Paramètres!$A$1:$I$89,3,0)*VLOOKUP('Données projet'!$B$10,Paramètres!$A$1:$I$89,5,0)</f>
        <v>20.08734000000041</v>
      </c>
      <c r="AK179" s="13">
        <f t="shared" si="164"/>
        <v>6.5285137703520215</v>
      </c>
      <c r="AL179" s="20">
        <f t="shared" si="165"/>
        <v>46.355945316697152</v>
      </c>
      <c r="AM179" s="59">
        <f t="shared" si="113"/>
        <v>335.80710407082381</v>
      </c>
      <c r="AN179" s="59">
        <f ca="1">AVERAGE(OFFSET($AM$3,0,0,'Données projet'!$E$10+1,1))-AVERAGE(OFFSET($H$3,0,0,'Données projet'!$E$10+1,1))</f>
        <v>623.16549611107564</v>
      </c>
      <c r="AO179" s="59">
        <f t="shared" si="144"/>
        <v>326.15178903425885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127.36686517930208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127.36686517930208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266.99999999999983</v>
      </c>
      <c r="BE179" s="13">
        <f>BD179*VLOOKUP('Données projet'!$B$11,Paramètres!$A$1:$I$89,3,0)*VLOOKUP('Données projet'!$B$11,Paramètres!$A$1:$I$89,5,0)</f>
        <v>216.59039999999987</v>
      </c>
      <c r="BF179" s="13">
        <f t="shared" si="167"/>
        <v>53.373153688190904</v>
      </c>
      <c r="BG179" s="20">
        <f t="shared" si="168"/>
        <v>470.18652267359886</v>
      </c>
      <c r="BH179" s="59">
        <f t="shared" si="116"/>
        <v>759.63768142772551</v>
      </c>
      <c r="BI179" s="59">
        <f ca="1">AVERAGE(OFFSET($BH$3,0,0,'Données projet'!$E$11+1,1))-AVERAGE(OFFSET($H$3,0,0,'Données projet'!$E$11+1,1))</f>
        <v>326.2912419133811</v>
      </c>
      <c r="BJ179" s="59">
        <f t="shared" si="146"/>
        <v>315.07976787459938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6.608581988158897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6.608581988158897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243</v>
      </c>
      <c r="BZ179" s="13">
        <f>BY179*VLOOKUP('Données projet'!$B$12,Paramètres!$A$1:$I$89,3,0)*VLOOKUP('Données projet'!$B$12,Paramètres!$A$1:$I$89,5,0)</f>
        <v>155.4228</v>
      </c>
      <c r="CA179" s="13">
        <f t="shared" si="170"/>
        <v>39.808377687614154</v>
      </c>
      <c r="CB179" s="20">
        <f t="shared" si="171"/>
        <v>340.02763447259463</v>
      </c>
      <c r="CC179" s="59">
        <f t="shared" si="119"/>
        <v>629.47879322672134</v>
      </c>
      <c r="CD179" s="59">
        <f ca="1">AVERAGE(OFFSET($CC$3,0,0,'Données projet'!$E$12+1,1))-AVERAGE(OFFSET($H$3,0,0,'Données projet'!$E$12+1,1))</f>
        <v>297.03992602744393</v>
      </c>
      <c r="CE179" s="59">
        <f t="shared" si="148"/>
        <v>265.2588848922893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9.1241830261846406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9.1241830261846406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367.99999999999972</v>
      </c>
      <c r="CU179" s="17">
        <f>CT179*VLOOKUP('Données projet'!$B$13,Paramètres!$A$1:$I$89,3,0)*VLOOKUP('Données projet'!$B$13,Paramètres!$A$1:$I$89,5,0)</f>
        <v>292.78079999999977</v>
      </c>
      <c r="CV179" s="13">
        <f t="shared" si="173"/>
        <v>69.660903052386217</v>
      </c>
      <c r="CW179" s="20">
        <f t="shared" si="174"/>
        <v>631.25263281623893</v>
      </c>
      <c r="CX179" s="59">
        <f t="shared" si="122"/>
        <v>920.70379157036564</v>
      </c>
      <c r="CY179" s="59">
        <f ca="1">AVERAGE(OFFSET($CX$3,0,0,'Données projet'!$E$13+1,1))-AVERAGE(OFFSET($H$3,0,0,'Données projet'!$E$13+1,1))</f>
        <v>427.42918901489531</v>
      </c>
      <c r="CZ179" s="59">
        <f t="shared" si="150"/>
        <v>410.68601510655412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9.2072268469788554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9.2072268469788554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19.8100000000004</v>
      </c>
      <c r="DP179" s="17">
        <f>DO179*VLOOKUP('Données projet'!$B$14,Paramètres!$A$1:$I$89,3,0)*VLOOKUP('Données projet'!$B$14,Paramètres!$A$1:$I$89,5,0)</f>
        <v>19.160232000000388</v>
      </c>
      <c r="DQ179" s="13">
        <f t="shared" si="176"/>
        <v>6.2615431735370342</v>
      </c>
      <c r="DR179" s="20">
        <f t="shared" si="177"/>
        <v>44.27625842724435</v>
      </c>
      <c r="DS179" s="59">
        <f t="shared" si="125"/>
        <v>333.72741718137098</v>
      </c>
      <c r="DT179" s="59">
        <f ca="1">AVERAGE(OFFSET($DS$3,0,0,'Données projet'!$E$14+1,1))-AVERAGE(OFFSET($H$3,0,0,'Données projet'!$E$14+1,1))</f>
        <v>598.03945725240396</v>
      </c>
      <c r="DU179" s="59">
        <f t="shared" si="152"/>
        <v>313.9014686755695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121.48839447871886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121.48839447871886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19.8100000000004</v>
      </c>
      <c r="EK179" s="17">
        <f>EJ179*VLOOKUP('Données projet'!$B$15,Paramètres!$A$1:$I$89,3,0)*VLOOKUP('Données projet'!$B$15,Paramètres!$A$1:$I$89,5,0)</f>
        <v>13.288548000000269</v>
      </c>
      <c r="EL179" s="13">
        <f t="shared" si="179"/>
        <v>4.531654695205642</v>
      </c>
      <c r="EM179" s="20">
        <f t="shared" si="180"/>
        <v>31.036853027483627</v>
      </c>
      <c r="EN179" s="59">
        <f t="shared" si="128"/>
        <v>320.48801178161028</v>
      </c>
      <c r="EO179" s="59">
        <f ca="1">AVERAGE(OFFSET($EN$3,0,0,'Données projet'!$E$15+1,1))-AVERAGE(OFFSET($H$3,0,0,'Données projet'!$E$15+1,1))</f>
        <v>438.27475674276604</v>
      </c>
      <c r="EP179" s="59">
        <f t="shared" si="154"/>
        <v>235.97720136798864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103.85298237696935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103.85298237696935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5.2499999999990337</v>
      </c>
      <c r="FF179" s="17">
        <f>FE179*VLOOKUP('Données projet'!$B$16,Paramètres!$A$1:$I$89,3,0)*VLOOKUP('Données projet'!$B$16,Paramètres!$A$1:$I$89,5,0)</f>
        <v>2.4569999999995478</v>
      </c>
      <c r="FG179" s="13">
        <f t="shared" si="182"/>
        <v>1.0197977774625564</v>
      </c>
      <c r="FH179" s="20">
        <f t="shared" si="183"/>
        <v>6.0554227957464972</v>
      </c>
      <c r="FI179" s="59">
        <f t="shared" si="131"/>
        <v>295.50658154987315</v>
      </c>
      <c r="FJ179" s="59">
        <f ca="1">AVERAGE(OFFSET($FI$3,0,0,'Données projet'!$E$16+1,1))-AVERAGE(OFFSET($H$3,0,0,'Données projet'!$E$16+1,1))</f>
        <v>329.49463758169588</v>
      </c>
      <c r="FK179" s="59">
        <f t="shared" si="156"/>
        <v>207.1447698203379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64.439276379798557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64.439276379798557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763.00000000000057</v>
      </c>
      <c r="GA179" s="17">
        <f>FZ179*VLOOKUP('Données projet'!$B$17,Paramètres!$A$1:$I$89,3,0)*VLOOKUP('Données projet'!$B$17,Paramètres!$A$1:$I$89,5,0)</f>
        <v>456.2740000000004</v>
      </c>
      <c r="GB179" s="13">
        <f t="shared" si="185"/>
        <v>103.09649786611838</v>
      </c>
      <c r="GC179" s="20">
        <f t="shared" si="186"/>
        <v>974.23695045015677</v>
      </c>
      <c r="GD179" s="59">
        <f t="shared" si="134"/>
        <v>1263.6881092042834</v>
      </c>
      <c r="GE179" s="59">
        <f ca="1">AVERAGE(OFFSET($GD$3,0,0,'Données projet'!$E$17+1,1))-AVERAGE(OFFSET($H$3,0,0,'Données projet'!$E$17+1,1))</f>
        <v>577.07444926285291</v>
      </c>
      <c r="GF179" s="59">
        <f t="shared" si="158"/>
        <v>501.3762209070419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15.898199849199983</v>
      </c>
      <c r="GM179" s="21">
        <f>EXP(-LN(2)/25)*GM178+(1-EXP(-LN(2)/25))/(LN(2)/25)*Calculateur!GH179*Calculateur!GJ179*VLOOKUP('Données projet'!$B$17,Paramètres!$A$1:$I$89,3,0)*0.475*44/12</f>
        <v>1.1421009207004524</v>
      </c>
      <c r="GN179" s="21">
        <f>EXP(-LN(2)/2)*GN178+(1-EXP(-LN(2)/2))/(LN(2)/2)*GH179*GK179*VLOOKUP('Données projet'!$B$17,Paramètres!$A$1:$I$89,3,0)*0.475*44/12</f>
        <v>8.316514843155521E-24</v>
      </c>
      <c r="GO179" s="21">
        <f t="shared" si="187"/>
        <v>17.040300769900437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68.941225114761806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-5.6843418860808015E-14</v>
      </c>
      <c r="GV179" s="17">
        <f>GU179*VLOOKUP('Données projet'!$B$18,Paramètres!$A$1:$I$89,3,0)*VLOOKUP('Données projet'!$B$18,Paramètres!$A$1:$I$89,5,0)</f>
        <v>-3.0061073630349716E-14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212.75657290802619</v>
      </c>
      <c r="HA179" s="59">
        <f t="shared" si="160"/>
        <v>411.47446316045978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4.2660753463846364</v>
      </c>
      <c r="HH179" s="21">
        <f>EXP(-LN(2)/25)*HH178+(1-EXP(-LN(2)/25))/(LN(2)/25)*Calculateur!HC179*Calculateur!HE179*VLOOKUP('Données projet'!$B$18,Paramètres!$A$1:$I$89,3,0)*0.475*44/12</f>
        <v>0.34762549977360946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4.6137008461582454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4.60745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16.893983333333335</v>
      </c>
      <c r="H180" s="66">
        <f t="shared" si="110"/>
        <v>189.09073333333333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331.01773600968863</v>
      </c>
      <c r="S180" s="59">
        <f ca="1">AVERAGE(OFFSET($R$3,0,0,'Données projet'!$E$9+1,1))-AVERAGE(OFFSET($H$3,0,0,'Données projet'!$E$9+1,1))</f>
        <v>564.49981446852132</v>
      </c>
      <c r="T180" s="59">
        <f t="shared" si="142"/>
        <v>297.54722913785406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19.8100000000004</v>
      </c>
      <c r="AJ180" s="13">
        <f>AI180*VLOOKUP('Données projet'!$B$10,Paramètres!$A$1:$I$89,3,0)*VLOOKUP('Données projet'!$B$10,Paramètres!$A$1:$I$89,5,0)</f>
        <v>20.08734000000041</v>
      </c>
      <c r="AK180" s="13">
        <f t="shared" si="164"/>
        <v>6.5285137703520215</v>
      </c>
      <c r="AL180" s="20">
        <f t="shared" si="165"/>
        <v>46.355945316697152</v>
      </c>
      <c r="AM180" s="59">
        <f t="shared" si="113"/>
        <v>335.87445112053086</v>
      </c>
      <c r="AN180" s="59">
        <f ca="1">AVERAGE(OFFSET($AM$3,0,0,'Données projet'!$E$10+1,1))-AVERAGE(OFFSET($H$3,0,0,'Données projet'!$E$10+1,1))</f>
        <v>623.16549611107564</v>
      </c>
      <c r="AO180" s="59">
        <f t="shared" si="144"/>
        <v>326.15178903425885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124.86927863925285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124.86927863925285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266.99999999999983</v>
      </c>
      <c r="BE180" s="13">
        <f>BD180*VLOOKUP('Données projet'!$B$11,Paramètres!$A$1:$I$89,3,0)*VLOOKUP('Données projet'!$B$11,Paramètres!$A$1:$I$89,5,0)</f>
        <v>216.59039999999987</v>
      </c>
      <c r="BF180" s="13">
        <f t="shared" si="167"/>
        <v>53.373153688190904</v>
      </c>
      <c r="BG180" s="20">
        <f t="shared" si="168"/>
        <v>470.18652267359886</v>
      </c>
      <c r="BH180" s="59">
        <f t="shared" si="116"/>
        <v>759.70502847743251</v>
      </c>
      <c r="BI180" s="59">
        <f ca="1">AVERAGE(OFFSET($BH$3,0,0,'Données projet'!$E$11+1,1))-AVERAGE(OFFSET($H$3,0,0,'Données projet'!$E$11+1,1))</f>
        <v>326.2912419133811</v>
      </c>
      <c r="BJ180" s="59">
        <f t="shared" si="146"/>
        <v>315.07976787459938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6.4789917262081014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6.4789917262081014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243</v>
      </c>
      <c r="BZ180" s="13">
        <f>BY180*VLOOKUP('Données projet'!$B$12,Paramètres!$A$1:$I$89,3,0)*VLOOKUP('Données projet'!$B$12,Paramètres!$A$1:$I$89,5,0)</f>
        <v>155.4228</v>
      </c>
      <c r="CA180" s="13">
        <f t="shared" si="170"/>
        <v>39.808377687614154</v>
      </c>
      <c r="CB180" s="20">
        <f t="shared" si="171"/>
        <v>340.02763447259463</v>
      </c>
      <c r="CC180" s="59">
        <f t="shared" si="119"/>
        <v>629.54614027642833</v>
      </c>
      <c r="CD180" s="59">
        <f ca="1">AVERAGE(OFFSET($CC$3,0,0,'Données projet'!$E$12+1,1))-AVERAGE(OFFSET($H$3,0,0,'Données projet'!$E$12+1,1))</f>
        <v>297.03992602744393</v>
      </c>
      <c r="CE180" s="59">
        <f t="shared" si="148"/>
        <v>265.2588848922893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8.9452633622432884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8.9452633622432884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367.99999999999972</v>
      </c>
      <c r="CU180" s="17">
        <f>CT180*VLOOKUP('Données projet'!$B$13,Paramètres!$A$1:$I$89,3,0)*VLOOKUP('Données projet'!$B$13,Paramètres!$A$1:$I$89,5,0)</f>
        <v>292.78079999999977</v>
      </c>
      <c r="CV180" s="13">
        <f t="shared" si="173"/>
        <v>69.660903052386217</v>
      </c>
      <c r="CW180" s="20">
        <f t="shared" si="174"/>
        <v>631.25263281623893</v>
      </c>
      <c r="CX180" s="59">
        <f t="shared" si="122"/>
        <v>920.77113862007263</v>
      </c>
      <c r="CY180" s="59">
        <f ca="1">AVERAGE(OFFSET($CX$3,0,0,'Données projet'!$E$13+1,1))-AVERAGE(OFFSET($H$3,0,0,'Données projet'!$E$13+1,1))</f>
        <v>427.42918901489531</v>
      </c>
      <c r="CZ180" s="59">
        <f t="shared" si="150"/>
        <v>410.68601510655412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9.0266787443634566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9.0266787443634566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19.8100000000004</v>
      </c>
      <c r="DP180" s="17">
        <f>DO180*VLOOKUP('Données projet'!$B$14,Paramètres!$A$1:$I$89,3,0)*VLOOKUP('Données projet'!$B$14,Paramètres!$A$1:$I$89,5,0)</f>
        <v>19.160232000000388</v>
      </c>
      <c r="DQ180" s="13">
        <f t="shared" si="176"/>
        <v>6.2615431735370342</v>
      </c>
      <c r="DR180" s="20">
        <f t="shared" si="177"/>
        <v>44.27625842724435</v>
      </c>
      <c r="DS180" s="59">
        <f t="shared" si="125"/>
        <v>333.79476423107803</v>
      </c>
      <c r="DT180" s="59">
        <f ca="1">AVERAGE(OFFSET($DS$3,0,0,'Données projet'!$E$14+1,1))-AVERAGE(OFFSET($H$3,0,0,'Données projet'!$E$14+1,1))</f>
        <v>598.03945725240396</v>
      </c>
      <c r="DU180" s="59">
        <f t="shared" si="152"/>
        <v>313.9014686755695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119.10608116359499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119.10608116359499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19.8100000000004</v>
      </c>
      <c r="EK180" s="17">
        <f>EJ180*VLOOKUP('Données projet'!$B$15,Paramètres!$A$1:$I$89,3,0)*VLOOKUP('Données projet'!$B$15,Paramètres!$A$1:$I$89,5,0)</f>
        <v>13.288548000000269</v>
      </c>
      <c r="EL180" s="13">
        <f t="shared" si="179"/>
        <v>4.531654695205642</v>
      </c>
      <c r="EM180" s="20">
        <f t="shared" si="180"/>
        <v>31.036853027483627</v>
      </c>
      <c r="EN180" s="59">
        <f t="shared" si="128"/>
        <v>320.55535883131733</v>
      </c>
      <c r="EO180" s="59">
        <f ca="1">AVERAGE(OFFSET($EN$3,0,0,'Données projet'!$E$15+1,1))-AVERAGE(OFFSET($H$3,0,0,'Données projet'!$E$15+1,1))</f>
        <v>438.27475674276604</v>
      </c>
      <c r="EP180" s="59">
        <f t="shared" si="154"/>
        <v>235.97720136798864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101.81648873662152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101.81648873662152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5.2499999999990337</v>
      </c>
      <c r="FF180" s="17">
        <f>FE180*VLOOKUP('Données projet'!$B$16,Paramètres!$A$1:$I$89,3,0)*VLOOKUP('Données projet'!$B$16,Paramètres!$A$1:$I$89,5,0)</f>
        <v>2.4569999999995478</v>
      </c>
      <c r="FG180" s="13">
        <f t="shared" si="182"/>
        <v>1.0197977774625564</v>
      </c>
      <c r="FH180" s="20">
        <f t="shared" si="183"/>
        <v>6.0554227957464972</v>
      </c>
      <c r="FI180" s="59">
        <f t="shared" si="131"/>
        <v>295.5739285995802</v>
      </c>
      <c r="FJ180" s="59">
        <f ca="1">AVERAGE(OFFSET($FI$3,0,0,'Données projet'!$E$16+1,1))-AVERAGE(OFFSET($H$3,0,0,'Données projet'!$E$16+1,1))</f>
        <v>329.49463758169588</v>
      </c>
      <c r="FK180" s="59">
        <f t="shared" si="156"/>
        <v>207.1447698203379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63.175661474068342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63.175661474068342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763.00000000000057</v>
      </c>
      <c r="GA180" s="17">
        <f>FZ180*VLOOKUP('Données projet'!$B$17,Paramètres!$A$1:$I$89,3,0)*VLOOKUP('Données projet'!$B$17,Paramètres!$A$1:$I$89,5,0)</f>
        <v>456.2740000000004</v>
      </c>
      <c r="GB180" s="13">
        <f t="shared" si="185"/>
        <v>103.09649786611838</v>
      </c>
      <c r="GC180" s="20">
        <f t="shared" si="186"/>
        <v>974.23695045015677</v>
      </c>
      <c r="GD180" s="59">
        <f t="shared" si="134"/>
        <v>1263.7554562539904</v>
      </c>
      <c r="GE180" s="59">
        <f ca="1">AVERAGE(OFFSET($GD$3,0,0,'Données projet'!$E$17+1,1))-AVERAGE(OFFSET($H$3,0,0,'Données projet'!$E$17+1,1))</f>
        <v>577.07444926285291</v>
      </c>
      <c r="GF180" s="59">
        <f t="shared" si="158"/>
        <v>501.3762209070419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15.586445847101587</v>
      </c>
      <c r="GM180" s="21">
        <f>EXP(-LN(2)/25)*GM179+(1-EXP(-LN(2)/25))/(LN(2)/25)*Calculateur!GH180*Calculateur!GJ180*VLOOKUP('Données projet'!$B$17,Paramètres!$A$1:$I$89,3,0)*0.475*44/12</f>
        <v>1.1108701109634214</v>
      </c>
      <c r="GN180" s="21">
        <f>EXP(-LN(2)/2)*GN179+(1-EXP(-LN(2)/2))/(LN(2)/2)*GH180*GK180*VLOOKUP('Données projet'!$B$17,Paramètres!$A$1:$I$89,3,0)*0.475*44/12</f>
        <v>5.8806640414338457E-24</v>
      </c>
      <c r="GO180" s="21">
        <f t="shared" si="187"/>
        <v>16.697315958065008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68.959592491954652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-5.6843418860808015E-14</v>
      </c>
      <c r="GV180" s="17">
        <f>GU180*VLOOKUP('Données projet'!$B$18,Paramètres!$A$1:$I$89,3,0)*VLOOKUP('Données projet'!$B$18,Paramètres!$A$1:$I$89,5,0)</f>
        <v>-3.0061073630349716E-14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212.75657290802619</v>
      </c>
      <c r="HA180" s="59">
        <f t="shared" si="160"/>
        <v>411.47446316045978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4.1824202108910642</v>
      </c>
      <c r="HH180" s="21">
        <f>EXP(-LN(2)/25)*HH179+(1-EXP(-LN(2)/25))/(LN(2)/25)*Calculateur!HC180*Calculateur!HE180*VLOOKUP('Données projet'!$B$18,Paramètres!$A$1:$I$89,3,0)*0.475*44/12</f>
        <v>0.33811966220146961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4.5205398730925337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4.60745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16.893983333333335</v>
      </c>
      <c r="H181" s="66">
        <f t="shared" si="110"/>
        <v>189.09073333333333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331.08391473864884</v>
      </c>
      <c r="S181" s="59">
        <f ca="1">AVERAGE(OFFSET($R$3,0,0,'Données projet'!$E$9+1,1))-AVERAGE(OFFSET($H$3,0,0,'Données projet'!$E$9+1,1))</f>
        <v>564.49981446852132</v>
      </c>
      <c r="T181" s="59">
        <f t="shared" si="142"/>
        <v>297.54722913785406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19.8100000000004</v>
      </c>
      <c r="AJ181" s="13">
        <f>AI181*VLOOKUP('Données projet'!$B$10,Paramètres!$A$1:$I$89,3,0)*VLOOKUP('Données projet'!$B$10,Paramètres!$A$1:$I$89,5,0)</f>
        <v>20.08734000000041</v>
      </c>
      <c r="AK181" s="13">
        <f t="shared" si="164"/>
        <v>6.5285137703520215</v>
      </c>
      <c r="AL181" s="20">
        <f t="shared" si="165"/>
        <v>46.355945316697152</v>
      </c>
      <c r="AM181" s="59">
        <f t="shared" si="113"/>
        <v>335.94062984949107</v>
      </c>
      <c r="AN181" s="59">
        <f ca="1">AVERAGE(OFFSET($AM$3,0,0,'Données projet'!$E$10+1,1))-AVERAGE(OFFSET($H$3,0,0,'Données projet'!$E$10+1,1))</f>
        <v>623.16549611107564</v>
      </c>
      <c r="AO181" s="59">
        <f t="shared" si="144"/>
        <v>326.15178903425885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122.42066824787663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122.42066824787663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266.99999999999983</v>
      </c>
      <c r="BE181" s="13">
        <f>BD181*VLOOKUP('Données projet'!$B$11,Paramètres!$A$1:$I$89,3,0)*VLOOKUP('Données projet'!$B$11,Paramètres!$A$1:$I$89,5,0)</f>
        <v>216.59039999999987</v>
      </c>
      <c r="BF181" s="13">
        <f t="shared" si="167"/>
        <v>53.373153688190904</v>
      </c>
      <c r="BG181" s="20">
        <f t="shared" si="168"/>
        <v>470.18652267359886</v>
      </c>
      <c r="BH181" s="59">
        <f t="shared" si="116"/>
        <v>759.77120720639277</v>
      </c>
      <c r="BI181" s="59">
        <f ca="1">AVERAGE(OFFSET($BH$3,0,0,'Données projet'!$E$11+1,1))-AVERAGE(OFFSET($H$3,0,0,'Données projet'!$E$11+1,1))</f>
        <v>326.2912419133811</v>
      </c>
      <c r="BJ181" s="59">
        <f t="shared" si="146"/>
        <v>315.07976787459938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6.3519426502519059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6.3519426502519059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243</v>
      </c>
      <c r="BZ181" s="13">
        <f>BY181*VLOOKUP('Données projet'!$B$12,Paramètres!$A$1:$I$89,3,0)*VLOOKUP('Données projet'!$B$12,Paramètres!$A$1:$I$89,5,0)</f>
        <v>155.4228</v>
      </c>
      <c r="CA181" s="13">
        <f t="shared" si="170"/>
        <v>39.808377687614154</v>
      </c>
      <c r="CB181" s="20">
        <f t="shared" si="171"/>
        <v>340.02763447259463</v>
      </c>
      <c r="CC181" s="59">
        <f t="shared" si="119"/>
        <v>629.6123190053886</v>
      </c>
      <c r="CD181" s="59">
        <f ca="1">AVERAGE(OFFSET($CC$3,0,0,'Données projet'!$E$12+1,1))-AVERAGE(OFFSET($H$3,0,0,'Données projet'!$E$12+1,1))</f>
        <v>297.03992602744393</v>
      </c>
      <c r="CE181" s="59">
        <f t="shared" si="148"/>
        <v>265.2588848922893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8.7698522037816069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8.7698522037816069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367.99999999999972</v>
      </c>
      <c r="CU181" s="17">
        <f>CT181*VLOOKUP('Données projet'!$B$13,Paramètres!$A$1:$I$89,3,0)*VLOOKUP('Données projet'!$B$13,Paramètres!$A$1:$I$89,5,0)</f>
        <v>292.78079999999977</v>
      </c>
      <c r="CV181" s="13">
        <f t="shared" si="173"/>
        <v>69.660903052386217</v>
      </c>
      <c r="CW181" s="20">
        <f t="shared" si="174"/>
        <v>631.25263281623893</v>
      </c>
      <c r="CX181" s="59">
        <f t="shared" si="122"/>
        <v>920.8373173490329</v>
      </c>
      <c r="CY181" s="59">
        <f ca="1">AVERAGE(OFFSET($CX$3,0,0,'Données projet'!$E$13+1,1))-AVERAGE(OFFSET($H$3,0,0,'Données projet'!$E$13+1,1))</f>
        <v>427.42918901489531</v>
      </c>
      <c r="CZ181" s="59">
        <f t="shared" si="150"/>
        <v>410.68601510655412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8.8496710799168774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8.8496710799168774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19.8100000000004</v>
      </c>
      <c r="DP181" s="17">
        <f>DO181*VLOOKUP('Données projet'!$B$14,Paramètres!$A$1:$I$89,3,0)*VLOOKUP('Données projet'!$B$14,Paramètres!$A$1:$I$89,5,0)</f>
        <v>19.160232000000388</v>
      </c>
      <c r="DQ181" s="13">
        <f t="shared" si="176"/>
        <v>6.2615431735370342</v>
      </c>
      <c r="DR181" s="20">
        <f t="shared" si="177"/>
        <v>44.27625842724435</v>
      </c>
      <c r="DS181" s="59">
        <f t="shared" si="125"/>
        <v>333.86094296003824</v>
      </c>
      <c r="DT181" s="59">
        <f ca="1">AVERAGE(OFFSET($DS$3,0,0,'Données projet'!$E$14+1,1))-AVERAGE(OFFSET($H$3,0,0,'Données projet'!$E$14+1,1))</f>
        <v>598.03945725240396</v>
      </c>
      <c r="DU181" s="59">
        <f t="shared" si="152"/>
        <v>313.9014686755695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116.77048355951305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116.77048355951305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19.8100000000004</v>
      </c>
      <c r="EK181" s="17">
        <f>EJ181*VLOOKUP('Données projet'!$B$15,Paramètres!$A$1:$I$89,3,0)*VLOOKUP('Données projet'!$B$15,Paramètres!$A$1:$I$89,5,0)</f>
        <v>13.288548000000269</v>
      </c>
      <c r="EL181" s="13">
        <f t="shared" si="179"/>
        <v>4.531654695205642</v>
      </c>
      <c r="EM181" s="20">
        <f t="shared" si="180"/>
        <v>31.036853027483627</v>
      </c>
      <c r="EN181" s="59">
        <f t="shared" si="128"/>
        <v>320.62153756027755</v>
      </c>
      <c r="EO181" s="59">
        <f ca="1">AVERAGE(OFFSET($EN$3,0,0,'Données projet'!$E$15+1,1))-AVERAGE(OFFSET($H$3,0,0,'Données projet'!$E$15+1,1))</f>
        <v>438.27475674276604</v>
      </c>
      <c r="EP181" s="59">
        <f t="shared" si="154"/>
        <v>235.97720136798864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99.819929494422453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99.819929494422453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5.2499999999990337</v>
      </c>
      <c r="FF181" s="17">
        <f>FE181*VLOOKUP('Données projet'!$B$16,Paramètres!$A$1:$I$89,3,0)*VLOOKUP('Données projet'!$B$16,Paramètres!$A$1:$I$89,5,0)</f>
        <v>2.4569999999995478</v>
      </c>
      <c r="FG181" s="13">
        <f t="shared" si="182"/>
        <v>1.0197977774625564</v>
      </c>
      <c r="FH181" s="20">
        <f t="shared" si="183"/>
        <v>6.0554227957464972</v>
      </c>
      <c r="FI181" s="59">
        <f t="shared" si="131"/>
        <v>295.64010732854041</v>
      </c>
      <c r="FJ181" s="59">
        <f ca="1">AVERAGE(OFFSET($FI$3,0,0,'Données projet'!$E$16+1,1))-AVERAGE(OFFSET($H$3,0,0,'Données projet'!$E$16+1,1))</f>
        <v>329.49463758169588</v>
      </c>
      <c r="FK181" s="59">
        <f t="shared" si="156"/>
        <v>207.1447698203379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61.936825285910508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61.936825285910508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763.00000000000057</v>
      </c>
      <c r="GA181" s="17">
        <f>FZ181*VLOOKUP('Données projet'!$B$17,Paramètres!$A$1:$I$89,3,0)*VLOOKUP('Données projet'!$B$17,Paramètres!$A$1:$I$89,5,0)</f>
        <v>456.2740000000004</v>
      </c>
      <c r="GB181" s="13">
        <f t="shared" si="185"/>
        <v>103.09649786611838</v>
      </c>
      <c r="GC181" s="20">
        <f t="shared" si="186"/>
        <v>974.23695045015677</v>
      </c>
      <c r="GD181" s="59">
        <f t="shared" si="134"/>
        <v>1263.8216349829506</v>
      </c>
      <c r="GE181" s="59">
        <f ca="1">AVERAGE(OFFSET($GD$3,0,0,'Données projet'!$E$17+1,1))-AVERAGE(OFFSET($H$3,0,0,'Données projet'!$E$17+1,1))</f>
        <v>577.07444926285291</v>
      </c>
      <c r="GF181" s="59">
        <f t="shared" si="158"/>
        <v>501.3762209070419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15.280805150833173</v>
      </c>
      <c r="GM181" s="21">
        <f>EXP(-LN(2)/25)*GM180+(1-EXP(-LN(2)/25))/(LN(2)/25)*Calculateur!GH181*Calculateur!GJ181*VLOOKUP('Données projet'!$B$17,Paramètres!$A$1:$I$89,3,0)*0.475*44/12</f>
        <v>1.0804933093610063</v>
      </c>
      <c r="GN181" s="21">
        <f>EXP(-LN(2)/2)*GN180+(1-EXP(-LN(2)/2))/(LN(2)/2)*GH181*GK181*VLOOKUP('Données projet'!$B$17,Paramètres!$A$1:$I$89,3,0)*0.475*44/12</f>
        <v>4.1582574215777605E-24</v>
      </c>
      <c r="GO181" s="21">
        <f t="shared" si="187"/>
        <v>16.361298460194178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68.977641236216513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-5.6843418860808015E-14</v>
      </c>
      <c r="GV181" s="17">
        <f>GU181*VLOOKUP('Données projet'!$B$18,Paramètres!$A$1:$I$89,3,0)*VLOOKUP('Données projet'!$B$18,Paramètres!$A$1:$I$89,5,0)</f>
        <v>-3.0061073630349716E-14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212.75657290802619</v>
      </c>
      <c r="HA181" s="59">
        <f t="shared" si="160"/>
        <v>411.47446316045978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4.1004055015799263</v>
      </c>
      <c r="HH181" s="21">
        <f>EXP(-LN(2)/25)*HH180+(1-EXP(-LN(2)/25))/(LN(2)/25)*Calculateur!HC181*Calculateur!HE181*VLOOKUP('Données projet'!$B$18,Paramètres!$A$1:$I$89,3,0)*0.475*44/12</f>
        <v>0.32887376225763015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4.4292792638375564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4.60745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16.893983333333335</v>
      </c>
      <c r="H182" s="66">
        <f t="shared" si="110"/>
        <v>189.09073333333333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331.14894541461496</v>
      </c>
      <c r="S182" s="59">
        <f ca="1">AVERAGE(OFFSET($R$3,0,0,'Données projet'!$E$9+1,1))-AVERAGE(OFFSET($H$3,0,0,'Données projet'!$E$9+1,1))</f>
        <v>564.49981446852132</v>
      </c>
      <c r="T182" s="59">
        <f t="shared" si="142"/>
        <v>297.54722913785406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19.8100000000004</v>
      </c>
      <c r="AJ182" s="13">
        <f>AI182*VLOOKUP('Données projet'!$B$10,Paramètres!$A$1:$I$89,3,0)*VLOOKUP('Données projet'!$B$10,Paramètres!$A$1:$I$89,5,0)</f>
        <v>20.08734000000041</v>
      </c>
      <c r="AK182" s="13">
        <f t="shared" si="164"/>
        <v>6.5285137703520215</v>
      </c>
      <c r="AL182" s="20">
        <f t="shared" si="165"/>
        <v>46.355945316697152</v>
      </c>
      <c r="AM182" s="59">
        <f t="shared" si="113"/>
        <v>336.00566052545719</v>
      </c>
      <c r="AN182" s="59">
        <f ca="1">AVERAGE(OFFSET($AM$3,0,0,'Données projet'!$E$10+1,1))-AVERAGE(OFFSET($H$3,0,0,'Données projet'!$E$10+1,1))</f>
        <v>623.16549611107564</v>
      </c>
      <c r="AO182" s="59">
        <f t="shared" si="144"/>
        <v>326.15178903425885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120.02007361277043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120.02007361277043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266.99999999999983</v>
      </c>
      <c r="BE182" s="13">
        <f>BD182*VLOOKUP('Données projet'!$B$11,Paramètres!$A$1:$I$89,3,0)*VLOOKUP('Données projet'!$B$11,Paramètres!$A$1:$I$89,5,0)</f>
        <v>216.59039999999987</v>
      </c>
      <c r="BF182" s="13">
        <f t="shared" si="167"/>
        <v>53.373153688190904</v>
      </c>
      <c r="BG182" s="20">
        <f t="shared" si="168"/>
        <v>470.18652267359886</v>
      </c>
      <c r="BH182" s="59">
        <f t="shared" si="116"/>
        <v>759.83623788235889</v>
      </c>
      <c r="BI182" s="59">
        <f ca="1">AVERAGE(OFFSET($BH$3,0,0,'Données projet'!$E$11+1,1))-AVERAGE(OFFSET($H$3,0,0,'Données projet'!$E$11+1,1))</f>
        <v>326.2912419133811</v>
      </c>
      <c r="BJ182" s="59">
        <f t="shared" si="146"/>
        <v>315.07976787459938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6.2273849291829269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6.2273849291829269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243</v>
      </c>
      <c r="BZ182" s="13">
        <f>BY182*VLOOKUP('Données projet'!$B$12,Paramètres!$A$1:$I$89,3,0)*VLOOKUP('Données projet'!$B$12,Paramètres!$A$1:$I$89,5,0)</f>
        <v>155.4228</v>
      </c>
      <c r="CA182" s="13">
        <f t="shared" si="170"/>
        <v>39.808377687614154</v>
      </c>
      <c r="CB182" s="20">
        <f t="shared" si="171"/>
        <v>340.02763447259463</v>
      </c>
      <c r="CC182" s="59">
        <f t="shared" si="119"/>
        <v>629.6773496813546</v>
      </c>
      <c r="CD182" s="59">
        <f ca="1">AVERAGE(OFFSET($CC$3,0,0,'Données projet'!$E$12+1,1))-AVERAGE(OFFSET($H$3,0,0,'Données projet'!$E$12+1,1))</f>
        <v>297.03992602744393</v>
      </c>
      <c r="CE182" s="59">
        <f t="shared" si="148"/>
        <v>265.2588848922893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8.597880751147116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8.597880751147116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367.99999999999972</v>
      </c>
      <c r="CU182" s="17">
        <f>CT182*VLOOKUP('Données projet'!$B$13,Paramètres!$A$1:$I$89,3,0)*VLOOKUP('Données projet'!$B$13,Paramètres!$A$1:$I$89,5,0)</f>
        <v>292.78079999999977</v>
      </c>
      <c r="CV182" s="13">
        <f t="shared" si="173"/>
        <v>69.660903052386217</v>
      </c>
      <c r="CW182" s="20">
        <f t="shared" si="174"/>
        <v>631.25263281623893</v>
      </c>
      <c r="CX182" s="59">
        <f t="shared" si="122"/>
        <v>920.9023480249989</v>
      </c>
      <c r="CY182" s="59">
        <f ca="1">AVERAGE(OFFSET($CX$3,0,0,'Données projet'!$E$13+1,1))-AVERAGE(OFFSET($H$3,0,0,'Données projet'!$E$13+1,1))</f>
        <v>427.42918901489531</v>
      </c>
      <c r="CZ182" s="59">
        <f t="shared" si="150"/>
        <v>410.68601510655412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8.6761344278060815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8.6761344278060815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19.8100000000004</v>
      </c>
      <c r="DP182" s="17">
        <f>DO182*VLOOKUP('Données projet'!$B$14,Paramètres!$A$1:$I$89,3,0)*VLOOKUP('Données projet'!$B$14,Paramètres!$A$1:$I$89,5,0)</f>
        <v>19.160232000000388</v>
      </c>
      <c r="DQ182" s="13">
        <f t="shared" si="176"/>
        <v>6.2615431735370342</v>
      </c>
      <c r="DR182" s="20">
        <f t="shared" si="177"/>
        <v>44.27625842724435</v>
      </c>
      <c r="DS182" s="59">
        <f t="shared" si="125"/>
        <v>333.92597363600436</v>
      </c>
      <c r="DT182" s="59">
        <f ca="1">AVERAGE(OFFSET($DS$3,0,0,'Données projet'!$E$14+1,1))-AVERAGE(OFFSET($H$3,0,0,'Données projet'!$E$14+1,1))</f>
        <v>598.03945725240396</v>
      </c>
      <c r="DU182" s="59">
        <f t="shared" si="152"/>
        <v>313.9014686755695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114.4806855998733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114.4806855998733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19.8100000000004</v>
      </c>
      <c r="EK182" s="17">
        <f>EJ182*VLOOKUP('Données projet'!$B$15,Paramètres!$A$1:$I$89,3,0)*VLOOKUP('Données projet'!$B$15,Paramètres!$A$1:$I$89,5,0)</f>
        <v>13.288548000000269</v>
      </c>
      <c r="EL182" s="13">
        <f t="shared" si="179"/>
        <v>4.531654695205642</v>
      </c>
      <c r="EM182" s="20">
        <f t="shared" si="180"/>
        <v>31.036853027483627</v>
      </c>
      <c r="EN182" s="59">
        <f t="shared" si="128"/>
        <v>320.68656823624366</v>
      </c>
      <c r="EO182" s="59">
        <f ca="1">AVERAGE(OFFSET($EN$3,0,0,'Données projet'!$E$15+1,1))-AVERAGE(OFFSET($H$3,0,0,'Données projet'!$E$15+1,1))</f>
        <v>438.27475674276604</v>
      </c>
      <c r="EP182" s="59">
        <f t="shared" si="154"/>
        <v>235.97720136798864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97.862521561182007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97.862521561182007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5.2499999999990337</v>
      </c>
      <c r="FF182" s="17">
        <f>FE182*VLOOKUP('Données projet'!$B$16,Paramètres!$A$1:$I$89,3,0)*VLOOKUP('Données projet'!$B$16,Paramètres!$A$1:$I$89,5,0)</f>
        <v>2.4569999999995478</v>
      </c>
      <c r="FG182" s="13">
        <f t="shared" si="182"/>
        <v>1.0197977774625564</v>
      </c>
      <c r="FH182" s="20">
        <f t="shared" si="183"/>
        <v>6.0554227957464972</v>
      </c>
      <c r="FI182" s="59">
        <f t="shared" si="131"/>
        <v>295.70513800450652</v>
      </c>
      <c r="FJ182" s="59">
        <f ca="1">AVERAGE(OFFSET($FI$3,0,0,'Données projet'!$E$16+1,1))-AVERAGE(OFFSET($H$3,0,0,'Données projet'!$E$16+1,1))</f>
        <v>329.49463758169588</v>
      </c>
      <c r="FK182" s="59">
        <f t="shared" si="156"/>
        <v>207.1447698203379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60.722281919786987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60.722281919786987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763.00000000000057</v>
      </c>
      <c r="GA182" s="17">
        <f>FZ182*VLOOKUP('Données projet'!$B$17,Paramètres!$A$1:$I$89,3,0)*VLOOKUP('Données projet'!$B$17,Paramètres!$A$1:$I$89,5,0)</f>
        <v>456.2740000000004</v>
      </c>
      <c r="GB182" s="13">
        <f t="shared" si="185"/>
        <v>103.09649786611838</v>
      </c>
      <c r="GC182" s="20">
        <f t="shared" si="186"/>
        <v>974.23695045015677</v>
      </c>
      <c r="GD182" s="59">
        <f t="shared" si="134"/>
        <v>1263.8866656589169</v>
      </c>
      <c r="GE182" s="59">
        <f ca="1">AVERAGE(OFFSET($GD$3,0,0,'Données projet'!$E$17+1,1))-AVERAGE(OFFSET($H$3,0,0,'Données projet'!$E$17+1,1))</f>
        <v>577.07444926285291</v>
      </c>
      <c r="GF182" s="59">
        <f t="shared" si="158"/>
        <v>501.3762209070419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14.981157882196166</v>
      </c>
      <c r="GM182" s="21">
        <f>EXP(-LN(2)/25)*GM181+(1-EXP(-LN(2)/25))/(LN(2)/25)*Calculateur!GH182*Calculateur!GJ182*VLOOKUP('Données projet'!$B$17,Paramètres!$A$1:$I$89,3,0)*0.475*44/12</f>
        <v>1.050947162995856</v>
      </c>
      <c r="GN182" s="21">
        <f>EXP(-LN(2)/2)*GN181+(1-EXP(-LN(2)/2))/(LN(2)/2)*GH182*GK182*VLOOKUP('Données projet'!$B$17,Paramètres!$A$1:$I$89,3,0)*0.475*44/12</f>
        <v>2.9403320207169228E-24</v>
      </c>
      <c r="GO182" s="21">
        <f t="shared" si="187"/>
        <v>16.032105045192022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68.995376875116378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-5.6843418860808015E-14</v>
      </c>
      <c r="GV182" s="17">
        <f>GU182*VLOOKUP('Données projet'!$B$18,Paramètres!$A$1:$I$89,3,0)*VLOOKUP('Données projet'!$B$18,Paramètres!$A$1:$I$89,5,0)</f>
        <v>-3.0061073630349716E-14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212.75657290802619</v>
      </c>
      <c r="HA182" s="59">
        <f t="shared" si="160"/>
        <v>411.47446316045978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4.0199990506943468</v>
      </c>
      <c r="HH182" s="21">
        <f>EXP(-LN(2)/25)*HH181+(1-EXP(-LN(2)/25))/(LN(2)/25)*Calculateur!HC182*Calculateur!HE182*VLOOKUP('Données projet'!$B$18,Paramètres!$A$1:$I$89,3,0)*0.475*44/12</f>
        <v>0.31988069193397572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4.3398797426283222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4.60745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16.893983333333335</v>
      </c>
      <c r="H183" s="66">
        <f t="shared" si="110"/>
        <v>189.09073333333333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331.21284795373998</v>
      </c>
      <c r="S183" s="59">
        <f ca="1">AVERAGE(OFFSET($R$3,0,0,'Données projet'!$E$9+1,1))-AVERAGE(OFFSET($H$3,0,0,'Données projet'!$E$9+1,1))</f>
        <v>564.49981446852132</v>
      </c>
      <c r="T183" s="59">
        <f t="shared" si="142"/>
        <v>297.54722913785406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19.8100000000004</v>
      </c>
      <c r="AJ183" s="13">
        <f>AI183*VLOOKUP('Données projet'!$B$10,Paramètres!$A$1:$I$89,3,0)*VLOOKUP('Données projet'!$B$10,Paramètres!$A$1:$I$89,5,0)</f>
        <v>20.08734000000041</v>
      </c>
      <c r="AK183" s="13">
        <f t="shared" si="164"/>
        <v>6.5285137703520215</v>
      </c>
      <c r="AL183" s="20">
        <f t="shared" si="165"/>
        <v>46.355945316697152</v>
      </c>
      <c r="AM183" s="59">
        <f t="shared" si="113"/>
        <v>336.06956306458221</v>
      </c>
      <c r="AN183" s="59">
        <f ca="1">AVERAGE(OFFSET($AM$3,0,0,'Données projet'!$E$10+1,1))-AVERAGE(OFFSET($H$3,0,0,'Données projet'!$E$10+1,1))</f>
        <v>623.16549611107564</v>
      </c>
      <c r="AO183" s="59">
        <f t="shared" si="144"/>
        <v>326.15178903425885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117.66655317424052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117.66655317424052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266.99999999999983</v>
      </c>
      <c r="BE183" s="13">
        <f>BD183*VLOOKUP('Données projet'!$B$11,Paramètres!$A$1:$I$89,3,0)*VLOOKUP('Données projet'!$B$11,Paramètres!$A$1:$I$89,5,0)</f>
        <v>216.59039999999987</v>
      </c>
      <c r="BF183" s="13">
        <f t="shared" si="167"/>
        <v>53.373153688190904</v>
      </c>
      <c r="BG183" s="20">
        <f t="shared" si="168"/>
        <v>470.18652267359886</v>
      </c>
      <c r="BH183" s="59">
        <f t="shared" si="116"/>
        <v>759.90014042148391</v>
      </c>
      <c r="BI183" s="59">
        <f ca="1">AVERAGE(OFFSET($BH$3,0,0,'Données projet'!$E$11+1,1))-AVERAGE(OFFSET($H$3,0,0,'Données projet'!$E$11+1,1))</f>
        <v>326.2912419133811</v>
      </c>
      <c r="BJ183" s="59">
        <f t="shared" si="146"/>
        <v>315.07976787459938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6.1052697090514023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6.1052697090514023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243</v>
      </c>
      <c r="BZ183" s="13">
        <f>BY183*VLOOKUP('Données projet'!$B$12,Paramètres!$A$1:$I$89,3,0)*VLOOKUP('Données projet'!$B$12,Paramètres!$A$1:$I$89,5,0)</f>
        <v>155.4228</v>
      </c>
      <c r="CA183" s="13">
        <f t="shared" si="170"/>
        <v>39.808377687614154</v>
      </c>
      <c r="CB183" s="20">
        <f t="shared" si="171"/>
        <v>340.02763447259463</v>
      </c>
      <c r="CC183" s="59">
        <f t="shared" si="119"/>
        <v>629.74125222047974</v>
      </c>
      <c r="CD183" s="59">
        <f ca="1">AVERAGE(OFFSET($CC$3,0,0,'Données projet'!$E$12+1,1))-AVERAGE(OFFSET($H$3,0,0,'Données projet'!$E$12+1,1))</f>
        <v>297.03992602744393</v>
      </c>
      <c r="CE183" s="59">
        <f t="shared" si="148"/>
        <v>265.2588848922893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8.4292815538065593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8.4292815538065593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367.99999999999972</v>
      </c>
      <c r="CU183" s="17">
        <f>CT183*VLOOKUP('Données projet'!$B$13,Paramètres!$A$1:$I$89,3,0)*VLOOKUP('Données projet'!$B$13,Paramètres!$A$1:$I$89,5,0)</f>
        <v>292.78079999999977</v>
      </c>
      <c r="CV183" s="13">
        <f t="shared" si="173"/>
        <v>69.660903052386217</v>
      </c>
      <c r="CW183" s="20">
        <f t="shared" si="174"/>
        <v>631.25263281623893</v>
      </c>
      <c r="CX183" s="59">
        <f t="shared" si="122"/>
        <v>920.96625056412404</v>
      </c>
      <c r="CY183" s="59">
        <f ca="1">AVERAGE(OFFSET($CX$3,0,0,'Données projet'!$E$13+1,1))-AVERAGE(OFFSET($H$3,0,0,'Données projet'!$E$13+1,1))</f>
        <v>427.42918901489531</v>
      </c>
      <c r="CZ183" s="59">
        <f t="shared" si="150"/>
        <v>410.68601510655412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8.5060007235962711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8.5060007235962711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19.8100000000004</v>
      </c>
      <c r="DP183" s="17">
        <f>DO183*VLOOKUP('Données projet'!$B$14,Paramètres!$A$1:$I$89,3,0)*VLOOKUP('Données projet'!$B$14,Paramètres!$A$1:$I$89,5,0)</f>
        <v>19.160232000000388</v>
      </c>
      <c r="DQ183" s="13">
        <f t="shared" si="176"/>
        <v>6.2615431735370342</v>
      </c>
      <c r="DR183" s="20">
        <f t="shared" si="177"/>
        <v>44.27625842724435</v>
      </c>
      <c r="DS183" s="59">
        <f t="shared" si="125"/>
        <v>333.98987617512938</v>
      </c>
      <c r="DT183" s="59">
        <f ca="1">AVERAGE(OFFSET($DS$3,0,0,'Données projet'!$E$14+1,1))-AVERAGE(OFFSET($H$3,0,0,'Données projet'!$E$14+1,1))</f>
        <v>598.03945725240396</v>
      </c>
      <c r="DU183" s="59">
        <f t="shared" si="152"/>
        <v>313.9014686755695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112.23578918158321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112.23578918158321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19.8100000000004</v>
      </c>
      <c r="EK183" s="17">
        <f>EJ183*VLOOKUP('Données projet'!$B$15,Paramètres!$A$1:$I$89,3,0)*VLOOKUP('Données projet'!$B$15,Paramètres!$A$1:$I$89,5,0)</f>
        <v>13.288548000000269</v>
      </c>
      <c r="EL183" s="13">
        <f t="shared" si="179"/>
        <v>4.531654695205642</v>
      </c>
      <c r="EM183" s="20">
        <f t="shared" si="180"/>
        <v>31.036853027483627</v>
      </c>
      <c r="EN183" s="59">
        <f t="shared" si="128"/>
        <v>320.75047077536868</v>
      </c>
      <c r="EO183" s="59">
        <f ca="1">AVERAGE(OFFSET($EN$3,0,0,'Données projet'!$E$15+1,1))-AVERAGE(OFFSET($H$3,0,0,'Données projet'!$E$15+1,1))</f>
        <v>438.27475674276604</v>
      </c>
      <c r="EP183" s="59">
        <f t="shared" si="154"/>
        <v>235.97720136798864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95.943497203611457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95.943497203611457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5.2499999999990337</v>
      </c>
      <c r="FF183" s="17">
        <f>FE183*VLOOKUP('Données projet'!$B$16,Paramètres!$A$1:$I$89,3,0)*VLOOKUP('Données projet'!$B$16,Paramètres!$A$1:$I$89,5,0)</f>
        <v>2.4569999999995478</v>
      </c>
      <c r="FG183" s="13">
        <f t="shared" si="182"/>
        <v>1.0197977774625564</v>
      </c>
      <c r="FH183" s="20">
        <f t="shared" si="183"/>
        <v>6.0554227957464972</v>
      </c>
      <c r="FI183" s="59">
        <f t="shared" si="131"/>
        <v>295.76904054363155</v>
      </c>
      <c r="FJ183" s="59">
        <f ca="1">AVERAGE(OFFSET($FI$3,0,0,'Données projet'!$E$16+1,1))-AVERAGE(OFFSET($H$3,0,0,'Données projet'!$E$16+1,1))</f>
        <v>329.49463758169588</v>
      </c>
      <c r="FK183" s="59">
        <f t="shared" si="156"/>
        <v>207.1447698203379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59.531555008274843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59.531555008274843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763.00000000000057</v>
      </c>
      <c r="GA183" s="17">
        <f>FZ183*VLOOKUP('Données projet'!$B$17,Paramètres!$A$1:$I$89,3,0)*VLOOKUP('Données projet'!$B$17,Paramètres!$A$1:$I$89,5,0)</f>
        <v>456.2740000000004</v>
      </c>
      <c r="GB183" s="13">
        <f t="shared" si="185"/>
        <v>103.09649786611838</v>
      </c>
      <c r="GC183" s="20">
        <f t="shared" si="186"/>
        <v>974.23695045015677</v>
      </c>
      <c r="GD183" s="59">
        <f t="shared" si="134"/>
        <v>1263.9505681980418</v>
      </c>
      <c r="GE183" s="59">
        <f ca="1">AVERAGE(OFFSET($GD$3,0,0,'Données projet'!$E$17+1,1))-AVERAGE(OFFSET($H$3,0,0,'Données projet'!$E$17+1,1))</f>
        <v>577.07444926285291</v>
      </c>
      <c r="GF183" s="59">
        <f t="shared" si="158"/>
        <v>501.3762209070419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14.687386513730344</v>
      </c>
      <c r="GM183" s="21">
        <f>EXP(-LN(2)/25)*GM182+(1-EXP(-LN(2)/25))/(LN(2)/25)*Calculateur!GH183*Calculateur!GJ183*VLOOKUP('Données projet'!$B$17,Paramètres!$A$1:$I$89,3,0)*0.475*44/12</f>
        <v>1.0222089575568249</v>
      </c>
      <c r="GN183" s="21">
        <f>EXP(-LN(2)/2)*GN182+(1-EXP(-LN(2)/2))/(LN(2)/2)*GH183*GK183*VLOOKUP('Données projet'!$B$17,Paramètres!$A$1:$I$89,3,0)*0.475*44/12</f>
        <v>2.0791287107888803E-24</v>
      </c>
      <c r="GO183" s="21">
        <f t="shared" si="187"/>
        <v>15.709595471287169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69.012804840332279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-5.6843418860808015E-14</v>
      </c>
      <c r="GV183" s="17">
        <f>GU183*VLOOKUP('Données projet'!$B$18,Paramètres!$A$1:$I$89,3,0)*VLOOKUP('Données projet'!$B$18,Paramètres!$A$1:$I$89,5,0)</f>
        <v>-3.0061073630349716E-14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212.75657290802619</v>
      </c>
      <c r="HA183" s="59">
        <f t="shared" si="160"/>
        <v>411.47446316045978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3.9411693212675409</v>
      </c>
      <c r="HH183" s="21">
        <f>EXP(-LN(2)/25)*HH182+(1-EXP(-LN(2)/25))/(LN(2)/25)*Calculateur!HC183*Calculateur!HE183*VLOOKUP('Données projet'!$B$18,Paramètres!$A$1:$I$89,3,0)*0.475*44/12</f>
        <v>0.31113353759124668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4.2523028588587879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4.60745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16.893983333333335</v>
      </c>
      <c r="H184" s="66">
        <f t="shared" si="110"/>
        <v>189.09073333333333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331.27564192667575</v>
      </c>
      <c r="S184" s="59">
        <f ca="1">AVERAGE(OFFSET($R$3,0,0,'Données projet'!$E$9+1,1))-AVERAGE(OFFSET($H$3,0,0,'Données projet'!$E$9+1,1))</f>
        <v>564.49981446852132</v>
      </c>
      <c r="T184" s="59">
        <f t="shared" si="142"/>
        <v>297.54722913785406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19.8100000000004</v>
      </c>
      <c r="AJ184" s="13">
        <f>AI184*VLOOKUP('Données projet'!$B$10,Paramètres!$A$1:$I$89,3,0)*VLOOKUP('Données projet'!$B$10,Paramètres!$A$1:$I$89,5,0)</f>
        <v>20.08734000000041</v>
      </c>
      <c r="AK184" s="13">
        <f t="shared" si="164"/>
        <v>6.5285137703520215</v>
      </c>
      <c r="AL184" s="20">
        <f t="shared" si="165"/>
        <v>46.355945316697152</v>
      </c>
      <c r="AM184" s="59">
        <f t="shared" si="113"/>
        <v>336.13235703751798</v>
      </c>
      <c r="AN184" s="59">
        <f ca="1">AVERAGE(OFFSET($AM$3,0,0,'Données projet'!$E$10+1,1))-AVERAGE(OFFSET($H$3,0,0,'Données projet'!$E$10+1,1))</f>
        <v>623.16549611107564</v>
      </c>
      <c r="AO184" s="59">
        <f t="shared" si="144"/>
        <v>326.15178903425885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115.35918383600445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115.35918383600445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266.99999999999983</v>
      </c>
      <c r="BE184" s="13">
        <f>BD184*VLOOKUP('Données projet'!$B$11,Paramètres!$A$1:$I$89,3,0)*VLOOKUP('Données projet'!$B$11,Paramètres!$A$1:$I$89,5,0)</f>
        <v>216.59039999999987</v>
      </c>
      <c r="BF184" s="13">
        <f t="shared" si="167"/>
        <v>53.373153688190904</v>
      </c>
      <c r="BG184" s="20">
        <f t="shared" si="168"/>
        <v>470.18652267359886</v>
      </c>
      <c r="BH184" s="59">
        <f t="shared" si="116"/>
        <v>759.96293439441968</v>
      </c>
      <c r="BI184" s="59">
        <f ca="1">AVERAGE(OFFSET($BH$3,0,0,'Données projet'!$E$11+1,1))-AVERAGE(OFFSET($H$3,0,0,'Données projet'!$E$11+1,1))</f>
        <v>326.2912419133811</v>
      </c>
      <c r="BJ184" s="59">
        <f t="shared" si="146"/>
        <v>315.07976787459938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5.9855490939037272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5.9855490939037272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243</v>
      </c>
      <c r="BZ184" s="13">
        <f>BY184*VLOOKUP('Données projet'!$B$12,Paramètres!$A$1:$I$89,3,0)*VLOOKUP('Données projet'!$B$12,Paramètres!$A$1:$I$89,5,0)</f>
        <v>155.4228</v>
      </c>
      <c r="CA184" s="13">
        <f t="shared" si="170"/>
        <v>39.808377687614154</v>
      </c>
      <c r="CB184" s="20">
        <f t="shared" si="171"/>
        <v>340.02763447259463</v>
      </c>
      <c r="CC184" s="59">
        <f t="shared" si="119"/>
        <v>629.80404619341539</v>
      </c>
      <c r="CD184" s="59">
        <f ca="1">AVERAGE(OFFSET($CC$3,0,0,'Données projet'!$E$12+1,1))-AVERAGE(OFFSET($H$3,0,0,'Données projet'!$E$12+1,1))</f>
        <v>297.03992602744393</v>
      </c>
      <c r="CE184" s="59">
        <f t="shared" si="148"/>
        <v>265.2588848922893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8.2639884838904933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8.2639884838904933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367.99999999999972</v>
      </c>
      <c r="CU184" s="17">
        <f>CT184*VLOOKUP('Données projet'!$B$13,Paramètres!$A$1:$I$89,3,0)*VLOOKUP('Données projet'!$B$13,Paramètres!$A$1:$I$89,5,0)</f>
        <v>292.78079999999977</v>
      </c>
      <c r="CV184" s="13">
        <f t="shared" si="173"/>
        <v>69.660903052386217</v>
      </c>
      <c r="CW184" s="20">
        <f t="shared" si="174"/>
        <v>631.25263281623893</v>
      </c>
      <c r="CX184" s="59">
        <f t="shared" si="122"/>
        <v>921.02904453705969</v>
      </c>
      <c r="CY184" s="59">
        <f ca="1">AVERAGE(OFFSET($CX$3,0,0,'Données projet'!$E$13+1,1))-AVERAGE(OFFSET($H$3,0,0,'Données projet'!$E$13+1,1))</f>
        <v>427.42918901489531</v>
      </c>
      <c r="CZ184" s="59">
        <f t="shared" si="150"/>
        <v>410.68601510655412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8.3392032375547025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8.3392032375547025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19.8100000000004</v>
      </c>
      <c r="DP184" s="17">
        <f>DO184*VLOOKUP('Données projet'!$B$14,Paramètres!$A$1:$I$89,3,0)*VLOOKUP('Données projet'!$B$14,Paramètres!$A$1:$I$89,5,0)</f>
        <v>19.160232000000388</v>
      </c>
      <c r="DQ184" s="13">
        <f t="shared" si="176"/>
        <v>6.2615431735370342</v>
      </c>
      <c r="DR184" s="20">
        <f t="shared" si="177"/>
        <v>44.27625842724435</v>
      </c>
      <c r="DS184" s="59">
        <f t="shared" si="125"/>
        <v>334.05267014806515</v>
      </c>
      <c r="DT184" s="59">
        <f ca="1">AVERAGE(OFFSET($DS$3,0,0,'Données projet'!$E$14+1,1))-AVERAGE(OFFSET($H$3,0,0,'Données projet'!$E$14+1,1))</f>
        <v>598.03945725240396</v>
      </c>
      <c r="DU184" s="59">
        <f t="shared" si="152"/>
        <v>313.9014686755695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110.03491381280419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110.03491381280419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19.8100000000004</v>
      </c>
      <c r="EK184" s="17">
        <f>EJ184*VLOOKUP('Données projet'!$B$15,Paramètres!$A$1:$I$89,3,0)*VLOOKUP('Données projet'!$B$15,Paramètres!$A$1:$I$89,5,0)</f>
        <v>13.288548000000269</v>
      </c>
      <c r="EL184" s="13">
        <f t="shared" si="179"/>
        <v>4.531654695205642</v>
      </c>
      <c r="EM184" s="20">
        <f t="shared" si="180"/>
        <v>31.036853027483627</v>
      </c>
      <c r="EN184" s="59">
        <f t="shared" si="128"/>
        <v>320.81326474830445</v>
      </c>
      <c r="EO184" s="59">
        <f ca="1">AVERAGE(OFFSET($EN$3,0,0,'Données projet'!$E$15+1,1))-AVERAGE(OFFSET($H$3,0,0,'Données projet'!$E$15+1,1))</f>
        <v>438.27475674276604</v>
      </c>
      <c r="EP184" s="59">
        <f t="shared" si="154"/>
        <v>235.97720136798864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94.062103743203579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94.062103743203579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5.2499999999990337</v>
      </c>
      <c r="FF184" s="17">
        <f>FE184*VLOOKUP('Données projet'!$B$16,Paramètres!$A$1:$I$89,3,0)*VLOOKUP('Données projet'!$B$16,Paramètres!$A$1:$I$89,5,0)</f>
        <v>2.4569999999995478</v>
      </c>
      <c r="FG184" s="13">
        <f t="shared" si="182"/>
        <v>1.0197977774625564</v>
      </c>
      <c r="FH184" s="20">
        <f t="shared" si="183"/>
        <v>6.0554227957464972</v>
      </c>
      <c r="FI184" s="59">
        <f t="shared" si="131"/>
        <v>295.83183451656731</v>
      </c>
      <c r="FJ184" s="59">
        <f ca="1">AVERAGE(OFFSET($FI$3,0,0,'Données projet'!$E$16+1,1))-AVERAGE(OFFSET($H$3,0,0,'Données projet'!$E$16+1,1))</f>
        <v>329.49463758169588</v>
      </c>
      <c r="FK184" s="59">
        <f t="shared" si="156"/>
        <v>207.1447698203379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58.364177525225749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58.364177525225749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763.00000000000057</v>
      </c>
      <c r="GA184" s="17">
        <f>FZ184*VLOOKUP('Données projet'!$B$17,Paramètres!$A$1:$I$89,3,0)*VLOOKUP('Données projet'!$B$17,Paramètres!$A$1:$I$89,5,0)</f>
        <v>456.2740000000004</v>
      </c>
      <c r="GB184" s="13">
        <f t="shared" si="185"/>
        <v>103.09649786611838</v>
      </c>
      <c r="GC184" s="20">
        <f t="shared" si="186"/>
        <v>974.23695045015677</v>
      </c>
      <c r="GD184" s="59">
        <f t="shared" si="134"/>
        <v>1264.0133621709776</v>
      </c>
      <c r="GE184" s="59">
        <f ca="1">AVERAGE(OFFSET($GD$3,0,0,'Données projet'!$E$17+1,1))-AVERAGE(OFFSET($H$3,0,0,'Données projet'!$E$17+1,1))</f>
        <v>577.07444926285291</v>
      </c>
      <c r="GF184" s="59">
        <f t="shared" si="158"/>
        <v>501.3762209070419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14.399375822617294</v>
      </c>
      <c r="GM184" s="21">
        <f>EXP(-LN(2)/25)*GM183+(1-EXP(-LN(2)/25))/(LN(2)/25)*Calculateur!GH184*Calculateur!GJ184*VLOOKUP('Données projet'!$B$17,Paramètres!$A$1:$I$89,3,0)*0.475*44/12</f>
        <v>0.99425659985680082</v>
      </c>
      <c r="GN184" s="21">
        <f>EXP(-LN(2)/2)*GN183+(1-EXP(-LN(2)/2))/(LN(2)/2)*GH184*GK184*VLOOKUP('Données projet'!$B$17,Paramètres!$A$1:$I$89,3,0)*0.475*44/12</f>
        <v>1.4701660103584614E-24</v>
      </c>
      <c r="GO184" s="21">
        <f t="shared" si="187"/>
        <v>15.393632422474095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69.029930469314763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-5.6843418860808015E-14</v>
      </c>
      <c r="GV184" s="17">
        <f>GU184*VLOOKUP('Données projet'!$B$18,Paramètres!$A$1:$I$89,3,0)*VLOOKUP('Données projet'!$B$18,Paramètres!$A$1:$I$89,5,0)</f>
        <v>-3.0061073630349716E-14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212.75657290802619</v>
      </c>
      <c r="HA184" s="59">
        <f t="shared" si="160"/>
        <v>411.47446316045978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3.8638853947534075</v>
      </c>
      <c r="HH184" s="21">
        <f>EXP(-LN(2)/25)*HH183+(1-EXP(-LN(2)/25))/(LN(2)/25)*Calculateur!HC184*Calculateur!HE184*VLOOKUP('Données projet'!$B$18,Paramètres!$A$1:$I$89,3,0)*0.475*44/12</f>
        <v>0.30262557464401241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4.1665109693974198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4.60745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16.893983333333335</v>
      </c>
      <c r="H185" s="66">
        <f t="shared" si="110"/>
        <v>189.09073333333333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331.3373465645675</v>
      </c>
      <c r="S185" s="59">
        <f ca="1">AVERAGE(OFFSET($R$3,0,0,'Données projet'!$E$9+1,1))-AVERAGE(OFFSET($H$3,0,0,'Données projet'!$E$9+1,1))</f>
        <v>564.49981446852132</v>
      </c>
      <c r="T185" s="59">
        <f t="shared" si="142"/>
        <v>297.54722913785406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19.8100000000004</v>
      </c>
      <c r="AJ185" s="13">
        <f>AI185*VLOOKUP('Données projet'!$B$10,Paramètres!$A$1:$I$89,3,0)*VLOOKUP('Données projet'!$B$10,Paramètres!$A$1:$I$89,5,0)</f>
        <v>20.08734000000041</v>
      </c>
      <c r="AK185" s="13">
        <f t="shared" si="164"/>
        <v>6.5285137703520215</v>
      </c>
      <c r="AL185" s="20">
        <f t="shared" si="165"/>
        <v>46.355945316697152</v>
      </c>
      <c r="AM185" s="59">
        <f t="shared" si="113"/>
        <v>336.19406167540973</v>
      </c>
      <c r="AN185" s="59">
        <f ca="1">AVERAGE(OFFSET($AM$3,0,0,'Données projet'!$E$10+1,1))-AVERAGE(OFFSET($H$3,0,0,'Données projet'!$E$10+1,1))</f>
        <v>623.16549611107564</v>
      </c>
      <c r="AO185" s="59">
        <f t="shared" si="144"/>
        <v>326.15178903425885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113.09706060313485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113.09706060313485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266.99999999999983</v>
      </c>
      <c r="BE185" s="13">
        <f>BD185*VLOOKUP('Données projet'!$B$11,Paramètres!$A$1:$I$89,3,0)*VLOOKUP('Données projet'!$B$11,Paramètres!$A$1:$I$89,5,0)</f>
        <v>216.59039999999987</v>
      </c>
      <c r="BF185" s="13">
        <f t="shared" si="167"/>
        <v>53.373153688190904</v>
      </c>
      <c r="BG185" s="20">
        <f t="shared" si="168"/>
        <v>470.18652267359886</v>
      </c>
      <c r="BH185" s="59">
        <f t="shared" si="116"/>
        <v>760.02463903231137</v>
      </c>
      <c r="BI185" s="59">
        <f ca="1">AVERAGE(OFFSET($BH$3,0,0,'Données projet'!$E$11+1,1))-AVERAGE(OFFSET($H$3,0,0,'Données projet'!$E$11+1,1))</f>
        <v>326.2912419133811</v>
      </c>
      <c r="BJ185" s="59">
        <f t="shared" si="146"/>
        <v>315.07976787459938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5.8681761269967332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5.8681761269967332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243</v>
      </c>
      <c r="BZ185" s="13">
        <f>BY185*VLOOKUP('Données projet'!$B$12,Paramètres!$A$1:$I$89,3,0)*VLOOKUP('Données projet'!$B$12,Paramètres!$A$1:$I$89,5,0)</f>
        <v>155.4228</v>
      </c>
      <c r="CA185" s="13">
        <f t="shared" si="170"/>
        <v>39.808377687614154</v>
      </c>
      <c r="CB185" s="20">
        <f t="shared" si="171"/>
        <v>340.02763447259463</v>
      </c>
      <c r="CC185" s="59">
        <f t="shared" si="119"/>
        <v>629.8657508313072</v>
      </c>
      <c r="CD185" s="59">
        <f ca="1">AVERAGE(OFFSET($CC$3,0,0,'Données projet'!$E$12+1,1))-AVERAGE(OFFSET($H$3,0,0,'Données projet'!$E$12+1,1))</f>
        <v>297.03992602744393</v>
      </c>
      <c r="CE185" s="59">
        <f t="shared" si="148"/>
        <v>265.2588848922893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8.1019367102566644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8.1019367102566644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367.99999999999972</v>
      </c>
      <c r="CU185" s="17">
        <f>CT185*VLOOKUP('Données projet'!$B$13,Paramètres!$A$1:$I$89,3,0)*VLOOKUP('Données projet'!$B$13,Paramètres!$A$1:$I$89,5,0)</f>
        <v>292.78079999999977</v>
      </c>
      <c r="CV185" s="13">
        <f t="shared" si="173"/>
        <v>69.660903052386217</v>
      </c>
      <c r="CW185" s="20">
        <f t="shared" si="174"/>
        <v>631.25263281623893</v>
      </c>
      <c r="CX185" s="59">
        <f t="shared" si="122"/>
        <v>921.0907491749515</v>
      </c>
      <c r="CY185" s="59">
        <f ca="1">AVERAGE(OFFSET($CX$3,0,0,'Données projet'!$E$13+1,1))-AVERAGE(OFFSET($H$3,0,0,'Données projet'!$E$13+1,1))</f>
        <v>427.42918901489531</v>
      </c>
      <c r="CZ185" s="59">
        <f t="shared" si="150"/>
        <v>410.68601510655412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8.1756765484779876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8.1756765484779876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19.8100000000004</v>
      </c>
      <c r="DP185" s="17">
        <f>DO185*VLOOKUP('Données projet'!$B$14,Paramètres!$A$1:$I$89,3,0)*VLOOKUP('Données projet'!$B$14,Paramètres!$A$1:$I$89,5,0)</f>
        <v>19.160232000000388</v>
      </c>
      <c r="DQ185" s="13">
        <f t="shared" si="176"/>
        <v>6.2615431735370342</v>
      </c>
      <c r="DR185" s="20">
        <f t="shared" si="177"/>
        <v>44.27625842724435</v>
      </c>
      <c r="DS185" s="59">
        <f t="shared" si="125"/>
        <v>334.1143747859569</v>
      </c>
      <c r="DT185" s="59">
        <f ca="1">AVERAGE(OFFSET($DS$3,0,0,'Données projet'!$E$14+1,1))-AVERAGE(OFFSET($H$3,0,0,'Données projet'!$E$14+1,1))</f>
        <v>598.03945725240396</v>
      </c>
      <c r="DU185" s="59">
        <f t="shared" si="152"/>
        <v>313.9014686755695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107.8771962676055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107.8771962676055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19.8100000000004</v>
      </c>
      <c r="EK185" s="17">
        <f>EJ185*VLOOKUP('Données projet'!$B$15,Paramètres!$A$1:$I$89,3,0)*VLOOKUP('Données projet'!$B$15,Paramètres!$A$1:$I$89,5,0)</f>
        <v>13.288548000000269</v>
      </c>
      <c r="EL185" s="13">
        <f t="shared" si="179"/>
        <v>4.531654695205642</v>
      </c>
      <c r="EM185" s="20">
        <f t="shared" si="180"/>
        <v>31.036853027483627</v>
      </c>
      <c r="EN185" s="59">
        <f t="shared" si="128"/>
        <v>320.8749693861962</v>
      </c>
      <c r="EO185" s="59">
        <f ca="1">AVERAGE(OFFSET($EN$3,0,0,'Données projet'!$E$15+1,1))-AVERAGE(OFFSET($H$3,0,0,'Données projet'!$E$15+1,1))</f>
        <v>438.27475674276604</v>
      </c>
      <c r="EP185" s="59">
        <f t="shared" si="154"/>
        <v>235.97720136798864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92.217603261017601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92.217603261017601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5.2499999999990337</v>
      </c>
      <c r="FF185" s="17">
        <f>FE185*VLOOKUP('Données projet'!$B$16,Paramètres!$A$1:$I$89,3,0)*VLOOKUP('Données projet'!$B$16,Paramètres!$A$1:$I$89,5,0)</f>
        <v>2.4569999999995478</v>
      </c>
      <c r="FG185" s="13">
        <f t="shared" si="182"/>
        <v>1.0197977774625564</v>
      </c>
      <c r="FH185" s="20">
        <f t="shared" si="183"/>
        <v>6.0554227957464972</v>
      </c>
      <c r="FI185" s="59">
        <f t="shared" si="131"/>
        <v>295.89353915445906</v>
      </c>
      <c r="FJ185" s="59">
        <f ca="1">AVERAGE(OFFSET($FI$3,0,0,'Données projet'!$E$16+1,1))-AVERAGE(OFFSET($H$3,0,0,'Données projet'!$E$16+1,1))</f>
        <v>329.49463758169588</v>
      </c>
      <c r="FK185" s="59">
        <f t="shared" si="156"/>
        <v>207.1447698203379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57.219691602589286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57.219691602589286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763.00000000000057</v>
      </c>
      <c r="GA185" s="17">
        <f>FZ185*VLOOKUP('Données projet'!$B$17,Paramètres!$A$1:$I$89,3,0)*VLOOKUP('Données projet'!$B$17,Paramètres!$A$1:$I$89,5,0)</f>
        <v>456.2740000000004</v>
      </c>
      <c r="GB185" s="13">
        <f t="shared" si="185"/>
        <v>103.09649786611838</v>
      </c>
      <c r="GC185" s="20">
        <f t="shared" si="186"/>
        <v>974.23695045015677</v>
      </c>
      <c r="GD185" s="59">
        <f t="shared" si="134"/>
        <v>1264.0750668088695</v>
      </c>
      <c r="GE185" s="59">
        <f ca="1">AVERAGE(OFFSET($GD$3,0,0,'Données projet'!$E$17+1,1))-AVERAGE(OFFSET($H$3,0,0,'Données projet'!$E$17+1,1))</f>
        <v>577.07444926285291</v>
      </c>
      <c r="GF185" s="59">
        <f t="shared" si="158"/>
        <v>501.3762209070419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14.117012845487796</v>
      </c>
      <c r="GM185" s="21">
        <f>EXP(-LN(2)/25)*GM184+(1-EXP(-LN(2)/25))/(LN(2)/25)*Calculateur!GH185*Calculateur!GJ185*VLOOKUP('Données projet'!$B$17,Paramètres!$A$1:$I$89,3,0)*0.475*44/12</f>
        <v>0.96706860084803437</v>
      </c>
      <c r="GN185" s="21">
        <f>EXP(-LN(2)/2)*GN184+(1-EXP(-LN(2)/2))/(LN(2)/2)*GH185*GK185*VLOOKUP('Données projet'!$B$17,Paramètres!$A$1:$I$89,3,0)*0.475*44/12</f>
        <v>1.0395643553944401E-24</v>
      </c>
      <c r="GO185" s="21">
        <f t="shared" si="187"/>
        <v>15.08408144633583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69.046759006921604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-5.6843418860808015E-14</v>
      </c>
      <c r="GV185" s="17">
        <f>GU185*VLOOKUP('Données projet'!$B$18,Paramètres!$A$1:$I$89,3,0)*VLOOKUP('Données projet'!$B$18,Paramètres!$A$1:$I$89,5,0)</f>
        <v>-3.0061073630349716E-14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212.75657290802619</v>
      </c>
      <c r="HA185" s="59">
        <f t="shared" si="160"/>
        <v>411.47446316045978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3.7881169588996757</v>
      </c>
      <c r="HH185" s="21">
        <f>EXP(-LN(2)/25)*HH184+(1-EXP(-LN(2)/25))/(LN(2)/25)*Calculateur!HC185*Calculateur!HE185*VLOOKUP('Données projet'!$B$18,Paramètres!$A$1:$I$89,3,0)*0.475*44/12</f>
        <v>0.29435026239098455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4.0824672212906599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4.60745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16.893983333333335</v>
      </c>
      <c r="H186" s="66">
        <f t="shared" si="110"/>
        <v>189.09073333333333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331.39798076494259</v>
      </c>
      <c r="S186" s="59">
        <f ca="1">AVERAGE(OFFSET($R$3,0,0,'Données projet'!$E$9+1,1))-AVERAGE(OFFSET($H$3,0,0,'Données projet'!$E$9+1,1))</f>
        <v>564.49981446852132</v>
      </c>
      <c r="T186" s="59">
        <f t="shared" si="142"/>
        <v>297.54722913785406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19.8100000000004</v>
      </c>
      <c r="AJ186" s="13">
        <f>AI186*VLOOKUP('Données projet'!$B$10,Paramètres!$A$1:$I$89,3,0)*VLOOKUP('Données projet'!$B$10,Paramètres!$A$1:$I$89,5,0)</f>
        <v>20.08734000000041</v>
      </c>
      <c r="AK186" s="13">
        <f t="shared" si="164"/>
        <v>6.5285137703520215</v>
      </c>
      <c r="AL186" s="20">
        <f t="shared" si="165"/>
        <v>46.355945316697152</v>
      </c>
      <c r="AM186" s="59">
        <f t="shared" si="113"/>
        <v>336.25469587578482</v>
      </c>
      <c r="AN186" s="59">
        <f ca="1">AVERAGE(OFFSET($AM$3,0,0,'Données projet'!$E$10+1,1))-AVERAGE(OFFSET($H$3,0,0,'Données projet'!$E$10+1,1))</f>
        <v>623.16549611107564</v>
      </c>
      <c r="AO186" s="59">
        <f t="shared" si="144"/>
        <v>326.15178903425885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110.8792962271029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110.8792962271029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266.99999999999983</v>
      </c>
      <c r="BE186" s="13">
        <f>BD186*VLOOKUP('Données projet'!$B$11,Paramètres!$A$1:$I$89,3,0)*VLOOKUP('Données projet'!$B$11,Paramètres!$A$1:$I$89,5,0)</f>
        <v>216.59039999999987</v>
      </c>
      <c r="BF186" s="13">
        <f t="shared" si="167"/>
        <v>53.373153688190904</v>
      </c>
      <c r="BG186" s="20">
        <f t="shared" si="168"/>
        <v>470.18652267359886</v>
      </c>
      <c r="BH186" s="59">
        <f t="shared" si="116"/>
        <v>760.08527323268652</v>
      </c>
      <c r="BI186" s="59">
        <f ca="1">AVERAGE(OFFSET($BH$3,0,0,'Données projet'!$E$11+1,1))-AVERAGE(OFFSET($H$3,0,0,'Données projet'!$E$11+1,1))</f>
        <v>326.2912419133811</v>
      </c>
      <c r="BJ186" s="59">
        <f t="shared" si="146"/>
        <v>315.07976787459938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5.753104772380345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5.753104772380345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243</v>
      </c>
      <c r="BZ186" s="13">
        <f>BY186*VLOOKUP('Données projet'!$B$12,Paramètres!$A$1:$I$89,3,0)*VLOOKUP('Données projet'!$B$12,Paramètres!$A$1:$I$89,5,0)</f>
        <v>155.4228</v>
      </c>
      <c r="CA186" s="13">
        <f t="shared" si="170"/>
        <v>39.808377687614154</v>
      </c>
      <c r="CB186" s="20">
        <f t="shared" si="171"/>
        <v>340.02763447259463</v>
      </c>
      <c r="CC186" s="59">
        <f t="shared" si="119"/>
        <v>629.92638503168223</v>
      </c>
      <c r="CD186" s="59">
        <f ca="1">AVERAGE(OFFSET($CC$3,0,0,'Données projet'!$E$12+1,1))-AVERAGE(OFFSET($H$3,0,0,'Données projet'!$E$12+1,1))</f>
        <v>297.03992602744393</v>
      </c>
      <c r="CE186" s="59">
        <f t="shared" si="148"/>
        <v>265.2588848922893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7.9430626730619727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7.9430626730619727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367.99999999999972</v>
      </c>
      <c r="CU186" s="17">
        <f>CT186*VLOOKUP('Données projet'!$B$13,Paramètres!$A$1:$I$89,3,0)*VLOOKUP('Données projet'!$B$13,Paramètres!$A$1:$I$89,5,0)</f>
        <v>292.78079999999977</v>
      </c>
      <c r="CV186" s="13">
        <f t="shared" si="173"/>
        <v>69.660903052386217</v>
      </c>
      <c r="CW186" s="20">
        <f t="shared" si="174"/>
        <v>631.25263281623893</v>
      </c>
      <c r="CX186" s="59">
        <f t="shared" si="122"/>
        <v>921.15138337532653</v>
      </c>
      <c r="CY186" s="59">
        <f ca="1">AVERAGE(OFFSET($CX$3,0,0,'Données projet'!$E$13+1,1))-AVERAGE(OFFSET($H$3,0,0,'Données projet'!$E$13+1,1))</f>
        <v>427.42918901489531</v>
      </c>
      <c r="CZ186" s="59">
        <f t="shared" si="150"/>
        <v>410.68601510655412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8.015356518032636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8.015356518032636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19.8100000000004</v>
      </c>
      <c r="DP186" s="17">
        <f>DO186*VLOOKUP('Données projet'!$B$14,Paramètres!$A$1:$I$89,3,0)*VLOOKUP('Données projet'!$B$14,Paramètres!$A$1:$I$89,5,0)</f>
        <v>19.160232000000388</v>
      </c>
      <c r="DQ186" s="13">
        <f t="shared" si="176"/>
        <v>6.2615431735370342</v>
      </c>
      <c r="DR186" s="20">
        <f t="shared" si="177"/>
        <v>44.27625842724435</v>
      </c>
      <c r="DS186" s="59">
        <f t="shared" si="125"/>
        <v>334.17500898633199</v>
      </c>
      <c r="DT186" s="59">
        <f ca="1">AVERAGE(OFFSET($DS$3,0,0,'Données projet'!$E$14+1,1))-AVERAGE(OFFSET($H$3,0,0,'Données projet'!$E$14+1,1))</f>
        <v>598.03945725240396</v>
      </c>
      <c r="DU186" s="59">
        <f t="shared" si="152"/>
        <v>313.9014686755695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105.76179024739041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105.76179024739041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19.8100000000004</v>
      </c>
      <c r="EK186" s="17">
        <f>EJ186*VLOOKUP('Données projet'!$B$15,Paramètres!$A$1:$I$89,3,0)*VLOOKUP('Données projet'!$B$15,Paramètres!$A$1:$I$89,5,0)</f>
        <v>13.288548000000269</v>
      </c>
      <c r="EL186" s="13">
        <f t="shared" si="179"/>
        <v>4.531654695205642</v>
      </c>
      <c r="EM186" s="20">
        <f t="shared" si="180"/>
        <v>31.036853027483627</v>
      </c>
      <c r="EN186" s="59">
        <f t="shared" si="128"/>
        <v>320.93560358657129</v>
      </c>
      <c r="EO186" s="59">
        <f ca="1">AVERAGE(OFFSET($EN$3,0,0,'Données projet'!$E$15+1,1))-AVERAGE(OFFSET($H$3,0,0,'Données projet'!$E$15+1,1))</f>
        <v>438.27475674276604</v>
      </c>
      <c r="EP186" s="59">
        <f t="shared" si="154"/>
        <v>235.97720136798864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90.409272308253094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90.409272308253094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5.2499999999990337</v>
      </c>
      <c r="FF186" s="17">
        <f>FE186*VLOOKUP('Données projet'!$B$16,Paramètres!$A$1:$I$89,3,0)*VLOOKUP('Données projet'!$B$16,Paramètres!$A$1:$I$89,5,0)</f>
        <v>2.4569999999995478</v>
      </c>
      <c r="FG186" s="13">
        <f t="shared" si="182"/>
        <v>1.0197977774625564</v>
      </c>
      <c r="FH186" s="20">
        <f t="shared" si="183"/>
        <v>6.0554227957464972</v>
      </c>
      <c r="FI186" s="59">
        <f t="shared" si="131"/>
        <v>295.95417335483415</v>
      </c>
      <c r="FJ186" s="59">
        <f ca="1">AVERAGE(OFFSET($FI$3,0,0,'Données projet'!$E$16+1,1))-AVERAGE(OFFSET($H$3,0,0,'Données projet'!$E$16+1,1))</f>
        <v>329.49463758169588</v>
      </c>
      <c r="FK186" s="59">
        <f t="shared" si="156"/>
        <v>207.1447698203379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56.097648350828244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56.097648350828244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763.00000000000057</v>
      </c>
      <c r="GA186" s="17">
        <f>FZ186*VLOOKUP('Données projet'!$B$17,Paramètres!$A$1:$I$89,3,0)*VLOOKUP('Données projet'!$B$17,Paramètres!$A$1:$I$89,5,0)</f>
        <v>456.2740000000004</v>
      </c>
      <c r="GB186" s="13">
        <f t="shared" si="185"/>
        <v>103.09649786611838</v>
      </c>
      <c r="GC186" s="20">
        <f t="shared" si="186"/>
        <v>974.23695045015677</v>
      </c>
      <c r="GD186" s="59">
        <f t="shared" si="134"/>
        <v>1264.1357010092445</v>
      </c>
      <c r="GE186" s="59">
        <f ca="1">AVERAGE(OFFSET($GD$3,0,0,'Données projet'!$E$17+1,1))-AVERAGE(OFFSET($H$3,0,0,'Données projet'!$E$17+1,1))</f>
        <v>577.07444926285291</v>
      </c>
      <c r="GF186" s="59">
        <f t="shared" si="158"/>
        <v>501.3762209070419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13.840186834115396</v>
      </c>
      <c r="GM186" s="21">
        <f>EXP(-LN(2)/25)*GM185+(1-EXP(-LN(2)/25))/(LN(2)/25)*Calculateur!GH186*Calculateur!GJ186*VLOOKUP('Données projet'!$B$17,Paramètres!$A$1:$I$89,3,0)*0.475*44/12</f>
        <v>0.94062405910191738</v>
      </c>
      <c r="GN186" s="21">
        <f>EXP(-LN(2)/2)*GN185+(1-EXP(-LN(2)/2))/(LN(2)/2)*GH186*GK186*VLOOKUP('Données projet'!$B$17,Paramètres!$A$1:$I$89,3,0)*0.475*44/12</f>
        <v>7.3508300517923071E-25</v>
      </c>
      <c r="GO186" s="21">
        <f t="shared" si="187"/>
        <v>14.780810893217314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69.063295607023917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-5.6843418860808015E-14</v>
      </c>
      <c r="GV186" s="17">
        <f>GU186*VLOOKUP('Données projet'!$B$18,Paramètres!$A$1:$I$89,3,0)*VLOOKUP('Données projet'!$B$18,Paramètres!$A$1:$I$89,5,0)</f>
        <v>-3.0061073630349716E-14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212.75657290802619</v>
      </c>
      <c r="HA186" s="59">
        <f t="shared" si="160"/>
        <v>411.47446316045978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3.7138342958588528</v>
      </c>
      <c r="HH186" s="21">
        <f>EXP(-LN(2)/25)*HH185+(1-EXP(-LN(2)/25))/(LN(2)/25)*Calculateur!HC186*Calculateur!HE186*VLOOKUP('Données projet'!$B$18,Paramètres!$A$1:$I$89,3,0)*0.475*44/12</f>
        <v>0.28630123898669552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4.0001355348455485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4.60745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16.893983333333335</v>
      </c>
      <c r="H187" s="66">
        <f t="shared" si="110"/>
        <v>189.09073333333333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331.45756309749902</v>
      </c>
      <c r="S187" s="59">
        <f ca="1">AVERAGE(OFFSET($R$3,0,0,'Données projet'!$E$9+1,1))-AVERAGE(OFFSET($H$3,0,0,'Données projet'!$E$9+1,1))</f>
        <v>564.49981446852132</v>
      </c>
      <c r="T187" s="59">
        <f t="shared" si="142"/>
        <v>297.54722913785406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19.8100000000004</v>
      </c>
      <c r="AJ187" s="13">
        <f>AI187*VLOOKUP('Données projet'!$B$10,Paramètres!$A$1:$I$89,3,0)*VLOOKUP('Données projet'!$B$10,Paramètres!$A$1:$I$89,5,0)</f>
        <v>20.08734000000041</v>
      </c>
      <c r="AK187" s="13">
        <f t="shared" si="164"/>
        <v>6.5285137703520215</v>
      </c>
      <c r="AL187" s="20">
        <f t="shared" si="165"/>
        <v>46.355945316697152</v>
      </c>
      <c r="AM187" s="59">
        <f t="shared" si="113"/>
        <v>336.31427820834125</v>
      </c>
      <c r="AN187" s="59">
        <f ca="1">AVERAGE(OFFSET($AM$3,0,0,'Données projet'!$E$10+1,1))-AVERAGE(OFFSET($H$3,0,0,'Données projet'!$E$10+1,1))</f>
        <v>623.16549611107564</v>
      </c>
      <c r="AO187" s="59">
        <f t="shared" si="144"/>
        <v>326.15178903425885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108.70502085778223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108.70502085778223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266.99999999999983</v>
      </c>
      <c r="BE187" s="13">
        <f>BD187*VLOOKUP('Données projet'!$B$11,Paramètres!$A$1:$I$89,3,0)*VLOOKUP('Données projet'!$B$11,Paramètres!$A$1:$I$89,5,0)</f>
        <v>216.59039999999987</v>
      </c>
      <c r="BF187" s="13">
        <f t="shared" si="167"/>
        <v>53.373153688190904</v>
      </c>
      <c r="BG187" s="20">
        <f t="shared" si="168"/>
        <v>470.18652267359886</v>
      </c>
      <c r="BH187" s="59">
        <f t="shared" si="116"/>
        <v>760.14485556524301</v>
      </c>
      <c r="BI187" s="59">
        <f ca="1">AVERAGE(OFFSET($BH$3,0,0,'Données projet'!$E$11+1,1))-AVERAGE(OFFSET($H$3,0,0,'Données projet'!$E$11+1,1))</f>
        <v>326.2912419133811</v>
      </c>
      <c r="BJ187" s="59">
        <f t="shared" si="146"/>
        <v>315.07976787459938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5.6402898968413879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5.6402898968413879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243</v>
      </c>
      <c r="BZ187" s="13">
        <f>BY187*VLOOKUP('Données projet'!$B$12,Paramètres!$A$1:$I$89,3,0)*VLOOKUP('Données projet'!$B$12,Paramètres!$A$1:$I$89,5,0)</f>
        <v>155.4228</v>
      </c>
      <c r="CA187" s="13">
        <f t="shared" si="170"/>
        <v>39.808377687614154</v>
      </c>
      <c r="CB187" s="20">
        <f t="shared" si="171"/>
        <v>340.02763447259463</v>
      </c>
      <c r="CC187" s="59">
        <f t="shared" si="119"/>
        <v>629.98596736423872</v>
      </c>
      <c r="CD187" s="59">
        <f ca="1">AVERAGE(OFFSET($CC$3,0,0,'Données projet'!$E$12+1,1))-AVERAGE(OFFSET($H$3,0,0,'Données projet'!$E$12+1,1))</f>
        <v>297.03992602744393</v>
      </c>
      <c r="CE187" s="59">
        <f t="shared" si="148"/>
        <v>265.2588848922893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7.7873040588330751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7.7873040588330751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367.99999999999972</v>
      </c>
      <c r="CU187" s="17">
        <f>CT187*VLOOKUP('Données projet'!$B$13,Paramètres!$A$1:$I$89,3,0)*VLOOKUP('Données projet'!$B$13,Paramètres!$A$1:$I$89,5,0)</f>
        <v>292.78079999999977</v>
      </c>
      <c r="CV187" s="13">
        <f t="shared" si="173"/>
        <v>69.660903052386217</v>
      </c>
      <c r="CW187" s="20">
        <f t="shared" si="174"/>
        <v>631.25263281623893</v>
      </c>
      <c r="CX187" s="59">
        <f t="shared" si="122"/>
        <v>921.21096570788302</v>
      </c>
      <c r="CY187" s="59">
        <f ca="1">AVERAGE(OFFSET($CX$3,0,0,'Données projet'!$E$13+1,1))-AVERAGE(OFFSET($H$3,0,0,'Données projet'!$E$13+1,1))</f>
        <v>427.42918901489531</v>
      </c>
      <c r="CZ187" s="59">
        <f t="shared" si="150"/>
        <v>410.68601510655412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7.8581802655987545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7.8581802655987545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19.8100000000004</v>
      </c>
      <c r="DP187" s="17">
        <f>DO187*VLOOKUP('Données projet'!$B$14,Paramètres!$A$1:$I$89,3,0)*VLOOKUP('Données projet'!$B$14,Paramètres!$A$1:$I$89,5,0)</f>
        <v>19.160232000000388</v>
      </c>
      <c r="DQ187" s="13">
        <f t="shared" si="176"/>
        <v>6.2615431735370342</v>
      </c>
      <c r="DR187" s="20">
        <f t="shared" si="177"/>
        <v>44.27625842724435</v>
      </c>
      <c r="DS187" s="59">
        <f t="shared" si="125"/>
        <v>334.23459131888842</v>
      </c>
      <c r="DT187" s="59">
        <f ca="1">AVERAGE(OFFSET($DS$3,0,0,'Données projet'!$E$14+1,1))-AVERAGE(OFFSET($H$3,0,0,'Données projet'!$E$14+1,1))</f>
        <v>598.03945725240396</v>
      </c>
      <c r="DU187" s="59">
        <f t="shared" si="152"/>
        <v>313.9014686755695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103.68786604896147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103.68786604896147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19.8100000000004</v>
      </c>
      <c r="EK187" s="17">
        <f>EJ187*VLOOKUP('Données projet'!$B$15,Paramètres!$A$1:$I$89,3,0)*VLOOKUP('Données projet'!$B$15,Paramètres!$A$1:$I$89,5,0)</f>
        <v>13.288548000000269</v>
      </c>
      <c r="EL187" s="13">
        <f t="shared" si="179"/>
        <v>4.531654695205642</v>
      </c>
      <c r="EM187" s="20">
        <f t="shared" si="180"/>
        <v>31.036853027483627</v>
      </c>
      <c r="EN187" s="59">
        <f t="shared" si="128"/>
        <v>320.99518591912772</v>
      </c>
      <c r="EO187" s="59">
        <f ca="1">AVERAGE(OFFSET($EN$3,0,0,'Données projet'!$E$15+1,1))-AVERAGE(OFFSET($H$3,0,0,'Données projet'!$E$15+1,1))</f>
        <v>438.27475674276604</v>
      </c>
      <c r="EP187" s="59">
        <f t="shared" si="154"/>
        <v>235.97720136798864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88.636401622499321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88.636401622499321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5.2499999999990337</v>
      </c>
      <c r="FF187" s="17">
        <f>FE187*VLOOKUP('Données projet'!$B$16,Paramètres!$A$1:$I$89,3,0)*VLOOKUP('Données projet'!$B$16,Paramètres!$A$1:$I$89,5,0)</f>
        <v>2.4569999999995478</v>
      </c>
      <c r="FG187" s="13">
        <f t="shared" si="182"/>
        <v>1.0197977774625564</v>
      </c>
      <c r="FH187" s="20">
        <f t="shared" si="183"/>
        <v>6.0554227957464972</v>
      </c>
      <c r="FI187" s="59">
        <f t="shared" si="131"/>
        <v>296.01375568739059</v>
      </c>
      <c r="FJ187" s="59">
        <f ca="1">AVERAGE(OFFSET($FI$3,0,0,'Données projet'!$E$16+1,1))-AVERAGE(OFFSET($H$3,0,0,'Données projet'!$E$16+1,1))</f>
        <v>329.49463758169588</v>
      </c>
      <c r="FK187" s="59">
        <f t="shared" si="156"/>
        <v>207.1447698203379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54.997607682855431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54.997607682855431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763.00000000000057</v>
      </c>
      <c r="GA187" s="17">
        <f>FZ187*VLOOKUP('Données projet'!$B$17,Paramètres!$A$1:$I$89,3,0)*VLOOKUP('Données projet'!$B$17,Paramètres!$A$1:$I$89,5,0)</f>
        <v>456.2740000000004</v>
      </c>
      <c r="GB187" s="13">
        <f t="shared" si="185"/>
        <v>103.09649786611838</v>
      </c>
      <c r="GC187" s="20">
        <f t="shared" si="186"/>
        <v>974.23695045015677</v>
      </c>
      <c r="GD187" s="59">
        <f t="shared" si="134"/>
        <v>1264.1952833418009</v>
      </c>
      <c r="GE187" s="59">
        <f ca="1">AVERAGE(OFFSET($GD$3,0,0,'Données projet'!$E$17+1,1))-AVERAGE(OFFSET($H$3,0,0,'Données projet'!$E$17+1,1))</f>
        <v>577.07444926285291</v>
      </c>
      <c r="GF187" s="59">
        <f t="shared" si="158"/>
        <v>501.3762209070419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13.568789211978816</v>
      </c>
      <c r="GM187" s="21">
        <f>EXP(-LN(2)/25)*GM186+(1-EXP(-LN(2)/25))/(LN(2)/25)*Calculateur!GH187*Calculateur!GJ187*VLOOKUP('Données projet'!$B$17,Paramètres!$A$1:$I$89,3,0)*0.475*44/12</f>
        <v>0.91490264474050598</v>
      </c>
      <c r="GN187" s="21">
        <f>EXP(-LN(2)/2)*GN186+(1-EXP(-LN(2)/2))/(LN(2)/2)*GH187*GK187*VLOOKUP('Données projet'!$B$17,Paramètres!$A$1:$I$89,3,0)*0.475*44/12</f>
        <v>5.1978217769722006E-25</v>
      </c>
      <c r="GO187" s="21">
        <f t="shared" si="187"/>
        <v>14.483691856719322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69.079545334084756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-5.6843418860808015E-14</v>
      </c>
      <c r="GV187" s="17">
        <f>GU187*VLOOKUP('Données projet'!$B$18,Paramètres!$A$1:$I$89,3,0)*VLOOKUP('Données projet'!$B$18,Paramètres!$A$1:$I$89,5,0)</f>
        <v>-3.0061073630349716E-14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212.75657290802619</v>
      </c>
      <c r="HA187" s="59">
        <f t="shared" si="160"/>
        <v>411.47446316045978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3.6410082705323097</v>
      </c>
      <c r="HH187" s="21">
        <f>EXP(-LN(2)/25)*HH186+(1-EXP(-LN(2)/25))/(LN(2)/25)*Calculateur!HC187*Calculateur!HE187*VLOOKUP('Données projet'!$B$18,Paramètres!$A$1:$I$89,3,0)*0.475*44/12</f>
        <v>0.2784723165506765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3.9194805870829863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4.60745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16.893983333333335</v>
      </c>
      <c r="H188" s="66">
        <f t="shared" si="110"/>
        <v>189.09073333333333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331.51611180979177</v>
      </c>
      <c r="S188" s="59">
        <f ca="1">AVERAGE(OFFSET($R$3,0,0,'Données projet'!$E$9+1,1))-AVERAGE(OFFSET($H$3,0,0,'Données projet'!$E$9+1,1))</f>
        <v>564.49981446852132</v>
      </c>
      <c r="T188" s="59">
        <f t="shared" si="142"/>
        <v>297.54722913785406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19.8100000000004</v>
      </c>
      <c r="AJ188" s="13">
        <f>AI188*VLOOKUP('Données projet'!$B$10,Paramètres!$A$1:$I$89,3,0)*VLOOKUP('Données projet'!$B$10,Paramètres!$A$1:$I$89,5,0)</f>
        <v>20.08734000000041</v>
      </c>
      <c r="AK188" s="13">
        <f t="shared" si="164"/>
        <v>6.5285137703520215</v>
      </c>
      <c r="AL188" s="20">
        <f t="shared" si="165"/>
        <v>46.355945316697152</v>
      </c>
      <c r="AM188" s="59">
        <f t="shared" si="113"/>
        <v>336.372826920634</v>
      </c>
      <c r="AN188" s="59">
        <f ca="1">AVERAGE(OFFSET($AM$3,0,0,'Données projet'!$E$10+1,1))-AVERAGE(OFFSET($H$3,0,0,'Données projet'!$E$10+1,1))</f>
        <v>623.16549611107564</v>
      </c>
      <c r="AO188" s="59">
        <f t="shared" si="144"/>
        <v>326.15178903425885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106.57338170227692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106.57338170227692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266.99999999999983</v>
      </c>
      <c r="BE188" s="13">
        <f>BD188*VLOOKUP('Données projet'!$B$11,Paramètres!$A$1:$I$89,3,0)*VLOOKUP('Données projet'!$B$11,Paramètres!$A$1:$I$89,5,0)</f>
        <v>216.59039999999987</v>
      </c>
      <c r="BF188" s="13">
        <f t="shared" si="167"/>
        <v>53.373153688190904</v>
      </c>
      <c r="BG188" s="20">
        <f t="shared" si="168"/>
        <v>470.18652267359886</v>
      </c>
      <c r="BH188" s="59">
        <f t="shared" si="116"/>
        <v>760.2034042775357</v>
      </c>
      <c r="BI188" s="59">
        <f ca="1">AVERAGE(OFFSET($BH$3,0,0,'Données projet'!$E$11+1,1))-AVERAGE(OFFSET($H$3,0,0,'Données projet'!$E$11+1,1))</f>
        <v>326.2912419133811</v>
      </c>
      <c r="BJ188" s="59">
        <f t="shared" si="146"/>
        <v>315.07976787459938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5.5296872522014704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5.5296872522014704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243</v>
      </c>
      <c r="BZ188" s="13">
        <f>BY188*VLOOKUP('Données projet'!$B$12,Paramètres!$A$1:$I$89,3,0)*VLOOKUP('Données projet'!$B$12,Paramètres!$A$1:$I$89,5,0)</f>
        <v>155.4228</v>
      </c>
      <c r="CA188" s="13">
        <f t="shared" si="170"/>
        <v>39.808377687614154</v>
      </c>
      <c r="CB188" s="20">
        <f t="shared" si="171"/>
        <v>340.02763447259463</v>
      </c>
      <c r="CC188" s="59">
        <f t="shared" si="119"/>
        <v>630.04451607653141</v>
      </c>
      <c r="CD188" s="59">
        <f ca="1">AVERAGE(OFFSET($CC$3,0,0,'Données projet'!$E$12+1,1))-AVERAGE(OFFSET($H$3,0,0,'Données projet'!$E$12+1,1))</f>
        <v>297.03992602744393</v>
      </c>
      <c r="CE188" s="59">
        <f t="shared" si="148"/>
        <v>265.2588848922893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7.6345997760258317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7.6345997760258317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367.99999999999972</v>
      </c>
      <c r="CU188" s="17">
        <f>CT188*VLOOKUP('Données projet'!$B$13,Paramètres!$A$1:$I$89,3,0)*VLOOKUP('Données projet'!$B$13,Paramètres!$A$1:$I$89,5,0)</f>
        <v>292.78079999999977</v>
      </c>
      <c r="CV188" s="13">
        <f t="shared" si="173"/>
        <v>69.660903052386217</v>
      </c>
      <c r="CW188" s="20">
        <f t="shared" si="174"/>
        <v>631.25263281623893</v>
      </c>
      <c r="CX188" s="59">
        <f t="shared" si="122"/>
        <v>921.26951442017571</v>
      </c>
      <c r="CY188" s="59">
        <f ca="1">AVERAGE(OFFSET($CX$3,0,0,'Données projet'!$E$13+1,1))-AVERAGE(OFFSET($H$3,0,0,'Données projet'!$E$13+1,1))</f>
        <v>427.42918901489531</v>
      </c>
      <c r="CZ188" s="59">
        <f t="shared" si="150"/>
        <v>410.68601510655412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7.7040861436070536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7.7040861436070536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19.8100000000004</v>
      </c>
      <c r="DP188" s="17">
        <f>DO188*VLOOKUP('Données projet'!$B$14,Paramètres!$A$1:$I$89,3,0)*VLOOKUP('Données projet'!$B$14,Paramètres!$A$1:$I$89,5,0)</f>
        <v>19.160232000000388</v>
      </c>
      <c r="DQ188" s="13">
        <f t="shared" si="176"/>
        <v>6.2615431735370342</v>
      </c>
      <c r="DR188" s="20">
        <f t="shared" si="177"/>
        <v>44.27625842724435</v>
      </c>
      <c r="DS188" s="59">
        <f t="shared" si="125"/>
        <v>334.29314003118117</v>
      </c>
      <c r="DT188" s="59">
        <f ca="1">AVERAGE(OFFSET($DS$3,0,0,'Données projet'!$E$14+1,1))-AVERAGE(OFFSET($H$3,0,0,'Données projet'!$E$14+1,1))</f>
        <v>598.03945725240396</v>
      </c>
      <c r="DU188" s="59">
        <f t="shared" si="152"/>
        <v>313.9014686755695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101.65461023909486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101.65461023909486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19.8100000000004</v>
      </c>
      <c r="EK188" s="17">
        <f>EJ188*VLOOKUP('Données projet'!$B$15,Paramètres!$A$1:$I$89,3,0)*VLOOKUP('Données projet'!$B$15,Paramètres!$A$1:$I$89,5,0)</f>
        <v>13.288548000000269</v>
      </c>
      <c r="EL188" s="13">
        <f t="shared" si="179"/>
        <v>4.531654695205642</v>
      </c>
      <c r="EM188" s="20">
        <f t="shared" si="180"/>
        <v>31.036853027483627</v>
      </c>
      <c r="EN188" s="59">
        <f t="shared" si="128"/>
        <v>321.05373463142047</v>
      </c>
      <c r="EO188" s="59">
        <f ca="1">AVERAGE(OFFSET($EN$3,0,0,'Données projet'!$E$15+1,1))-AVERAGE(OFFSET($H$3,0,0,'Données projet'!$E$15+1,1))</f>
        <v>438.27475674276604</v>
      </c>
      <c r="EP188" s="59">
        <f t="shared" si="154"/>
        <v>235.97720136798864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86.89829584954883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86.89829584954883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5.2499999999990337</v>
      </c>
      <c r="FF188" s="17">
        <f>FE188*VLOOKUP('Données projet'!$B$16,Paramètres!$A$1:$I$89,3,0)*VLOOKUP('Données projet'!$B$16,Paramètres!$A$1:$I$89,5,0)</f>
        <v>2.4569999999995478</v>
      </c>
      <c r="FG188" s="13">
        <f t="shared" si="182"/>
        <v>1.0197977774625564</v>
      </c>
      <c r="FH188" s="20">
        <f t="shared" si="183"/>
        <v>6.0554227957464972</v>
      </c>
      <c r="FI188" s="59">
        <f t="shared" si="131"/>
        <v>296.07230439968333</v>
      </c>
      <c r="FJ188" s="59">
        <f ca="1">AVERAGE(OFFSET($FI$3,0,0,'Données projet'!$E$16+1,1))-AVERAGE(OFFSET($H$3,0,0,'Données projet'!$E$16+1,1))</f>
        <v>329.49463758169588</v>
      </c>
      <c r="FK188" s="59">
        <f t="shared" si="156"/>
        <v>207.1447698203379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53.919138141423005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53.919138141423005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763.00000000000057</v>
      </c>
      <c r="GA188" s="17">
        <f>FZ188*VLOOKUP('Données projet'!$B$17,Paramètres!$A$1:$I$89,3,0)*VLOOKUP('Données projet'!$B$17,Paramètres!$A$1:$I$89,5,0)</f>
        <v>456.2740000000004</v>
      </c>
      <c r="GB188" s="13">
        <f t="shared" si="185"/>
        <v>103.09649786611838</v>
      </c>
      <c r="GC188" s="20">
        <f t="shared" si="186"/>
        <v>974.23695045015677</v>
      </c>
      <c r="GD188" s="59">
        <f t="shared" si="134"/>
        <v>1264.2538320540937</v>
      </c>
      <c r="GE188" s="59">
        <f ca="1">AVERAGE(OFFSET($GD$3,0,0,'Données projet'!$E$17+1,1))-AVERAGE(OFFSET($H$3,0,0,'Données projet'!$E$17+1,1))</f>
        <v>577.07444926285291</v>
      </c>
      <c r="GF188" s="59">
        <f t="shared" si="158"/>
        <v>501.3762209070419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13.30271353167613</v>
      </c>
      <c r="GM188" s="21">
        <f>EXP(-LN(2)/25)*GM187+(1-EXP(-LN(2)/25))/(LN(2)/25)*Calculateur!GH188*Calculateur!GJ188*VLOOKUP('Données projet'!$B$17,Paramètres!$A$1:$I$89,3,0)*0.475*44/12</f>
        <v>0.88988458380743785</v>
      </c>
      <c r="GN188" s="21">
        <f>EXP(-LN(2)/2)*GN187+(1-EXP(-LN(2)/2))/(LN(2)/2)*GH188*GK188*VLOOKUP('Données projet'!$B$17,Paramètres!$A$1:$I$89,3,0)*0.475*44/12</f>
        <v>3.6754150258961536E-25</v>
      </c>
      <c r="GO188" s="21">
        <f t="shared" si="187"/>
        <v>14.192598115483568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69.095513164710042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-5.6843418860808015E-14</v>
      </c>
      <c r="GV188" s="17">
        <f>GU188*VLOOKUP('Données projet'!$B$18,Paramètres!$A$1:$I$89,3,0)*VLOOKUP('Données projet'!$B$18,Paramètres!$A$1:$I$89,5,0)</f>
        <v>-3.0061073630349716E-14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212.75657290802619</v>
      </c>
      <c r="HA188" s="59">
        <f t="shared" si="160"/>
        <v>411.47446316045978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3.5696103191429307</v>
      </c>
      <c r="HH188" s="21">
        <f>EXP(-LN(2)/25)*HH187+(1-EXP(-LN(2)/25))/(LN(2)/25)*Calculateur!HC188*Calculateur!HE188*VLOOKUP('Données projet'!$B$18,Paramètres!$A$1:$I$89,3,0)*0.475*44/12</f>
        <v>0.27085747641037561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3.8404677955533062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4.60745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16.893983333333335</v>
      </c>
      <c r="H189" s="66">
        <f t="shared" si="110"/>
        <v>189.09073333333333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331.57364483282146</v>
      </c>
      <c r="S189" s="59">
        <f ca="1">AVERAGE(OFFSET($R$3,0,0,'Données projet'!$E$9+1,1))-AVERAGE(OFFSET($H$3,0,0,'Données projet'!$E$9+1,1))</f>
        <v>564.49981446852132</v>
      </c>
      <c r="T189" s="59">
        <f t="shared" si="142"/>
        <v>297.54722913785406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19.8100000000004</v>
      </c>
      <c r="AJ189" s="13">
        <f>AI189*VLOOKUP('Données projet'!$B$10,Paramètres!$A$1:$I$89,3,0)*VLOOKUP('Données projet'!$B$10,Paramètres!$A$1:$I$89,5,0)</f>
        <v>20.08734000000041</v>
      </c>
      <c r="AK189" s="13">
        <f t="shared" si="164"/>
        <v>6.5285137703520215</v>
      </c>
      <c r="AL189" s="20">
        <f t="shared" si="165"/>
        <v>46.355945316697152</v>
      </c>
      <c r="AM189" s="59">
        <f t="shared" si="113"/>
        <v>336.43035994366369</v>
      </c>
      <c r="AN189" s="59">
        <f ca="1">AVERAGE(OFFSET($AM$3,0,0,'Données projet'!$E$10+1,1))-AVERAGE(OFFSET($H$3,0,0,'Données projet'!$E$10+1,1))</f>
        <v>623.16549611107564</v>
      </c>
      <c r="AO189" s="59">
        <f t="shared" si="144"/>
        <v>326.15178903425885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104.48354269043956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104.48354269043956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266.99999999999983</v>
      </c>
      <c r="BE189" s="13">
        <f>BD189*VLOOKUP('Données projet'!$B$11,Paramètres!$A$1:$I$89,3,0)*VLOOKUP('Données projet'!$B$11,Paramètres!$A$1:$I$89,5,0)</f>
        <v>216.59039999999987</v>
      </c>
      <c r="BF189" s="13">
        <f t="shared" si="167"/>
        <v>53.373153688190904</v>
      </c>
      <c r="BG189" s="20">
        <f t="shared" si="168"/>
        <v>470.18652267359886</v>
      </c>
      <c r="BH189" s="59">
        <f t="shared" si="116"/>
        <v>760.26093730056539</v>
      </c>
      <c r="BI189" s="59">
        <f ca="1">AVERAGE(OFFSET($BH$3,0,0,'Données projet'!$E$11+1,1))-AVERAGE(OFFSET($H$3,0,0,'Données projet'!$E$11+1,1))</f>
        <v>326.2912419133811</v>
      </c>
      <c r="BJ189" s="59">
        <f t="shared" si="146"/>
        <v>315.07976787459938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5.4212534579619893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5.4212534579619893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243</v>
      </c>
      <c r="BZ189" s="13">
        <f>BY189*VLOOKUP('Données projet'!$B$12,Paramètres!$A$1:$I$89,3,0)*VLOOKUP('Données projet'!$B$12,Paramètres!$A$1:$I$89,5,0)</f>
        <v>155.4228</v>
      </c>
      <c r="CA189" s="13">
        <f t="shared" si="170"/>
        <v>39.808377687614154</v>
      </c>
      <c r="CB189" s="20">
        <f t="shared" si="171"/>
        <v>340.02763447259463</v>
      </c>
      <c r="CC189" s="59">
        <f t="shared" si="119"/>
        <v>630.1020490995611</v>
      </c>
      <c r="CD189" s="59">
        <f ca="1">AVERAGE(OFFSET($CC$3,0,0,'Données projet'!$E$12+1,1))-AVERAGE(OFFSET($H$3,0,0,'Données projet'!$E$12+1,1))</f>
        <v>297.03992602744393</v>
      </c>
      <c r="CE189" s="59">
        <f t="shared" si="148"/>
        <v>265.2588848922893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7.4848899310640231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7.4848899310640231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367.99999999999972</v>
      </c>
      <c r="CU189" s="17">
        <f>CT189*VLOOKUP('Données projet'!$B$13,Paramètres!$A$1:$I$89,3,0)*VLOOKUP('Données projet'!$B$13,Paramètres!$A$1:$I$89,5,0)</f>
        <v>292.78079999999977</v>
      </c>
      <c r="CV189" s="13">
        <f t="shared" si="173"/>
        <v>69.660903052386217</v>
      </c>
      <c r="CW189" s="20">
        <f t="shared" si="174"/>
        <v>631.25263281623893</v>
      </c>
      <c r="CX189" s="59">
        <f t="shared" si="122"/>
        <v>921.3270474432054</v>
      </c>
      <c r="CY189" s="59">
        <f ca="1">AVERAGE(OFFSET($CX$3,0,0,'Données projet'!$E$13+1,1))-AVERAGE(OFFSET($H$3,0,0,'Données projet'!$E$13+1,1))</f>
        <v>427.42918901489531</v>
      </c>
      <c r="CZ189" s="59">
        <f t="shared" si="150"/>
        <v>410.68601510655412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7.5530137133594764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7.5530137133594764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19.8100000000004</v>
      </c>
      <c r="DP189" s="17">
        <f>DO189*VLOOKUP('Données projet'!$B$14,Paramètres!$A$1:$I$89,3,0)*VLOOKUP('Données projet'!$B$14,Paramètres!$A$1:$I$89,5,0)</f>
        <v>19.160232000000388</v>
      </c>
      <c r="DQ189" s="13">
        <f t="shared" si="176"/>
        <v>6.2615431735370342</v>
      </c>
      <c r="DR189" s="20">
        <f t="shared" si="177"/>
        <v>44.27625842724435</v>
      </c>
      <c r="DS189" s="59">
        <f t="shared" si="125"/>
        <v>334.35067305421086</v>
      </c>
      <c r="DT189" s="59">
        <f ca="1">AVERAGE(OFFSET($DS$3,0,0,'Données projet'!$E$14+1,1))-AVERAGE(OFFSET($H$3,0,0,'Données projet'!$E$14+1,1))</f>
        <v>598.03945725240396</v>
      </c>
      <c r="DU189" s="59">
        <f t="shared" si="152"/>
        <v>313.9014686755695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99.661225335496155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99.661225335496155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19.8100000000004</v>
      </c>
      <c r="EK189" s="17">
        <f>EJ189*VLOOKUP('Données projet'!$B$15,Paramètres!$A$1:$I$89,3,0)*VLOOKUP('Données projet'!$B$15,Paramètres!$A$1:$I$89,5,0)</f>
        <v>13.288548000000269</v>
      </c>
      <c r="EL189" s="13">
        <f t="shared" si="179"/>
        <v>4.531654695205642</v>
      </c>
      <c r="EM189" s="20">
        <f t="shared" si="180"/>
        <v>31.036853027483627</v>
      </c>
      <c r="EN189" s="59">
        <f t="shared" si="128"/>
        <v>321.11126765445016</v>
      </c>
      <c r="EO189" s="59">
        <f ca="1">AVERAGE(OFFSET($EN$3,0,0,'Données projet'!$E$15+1,1))-AVERAGE(OFFSET($H$3,0,0,'Données projet'!$E$15+1,1))</f>
        <v>438.27475674276604</v>
      </c>
      <c r="EP189" s="59">
        <f t="shared" si="154"/>
        <v>235.97720136798864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85.194273270666059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85.194273270666059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5.2499999999990337</v>
      </c>
      <c r="FF189" s="17">
        <f>FE189*VLOOKUP('Données projet'!$B$16,Paramètres!$A$1:$I$89,3,0)*VLOOKUP('Données projet'!$B$16,Paramètres!$A$1:$I$89,5,0)</f>
        <v>2.4569999999995478</v>
      </c>
      <c r="FG189" s="13">
        <f t="shared" si="182"/>
        <v>1.0197977774625564</v>
      </c>
      <c r="FH189" s="20">
        <f t="shared" si="183"/>
        <v>6.0554227957464972</v>
      </c>
      <c r="FI189" s="59">
        <f t="shared" si="131"/>
        <v>296.12983742271302</v>
      </c>
      <c r="FJ189" s="59">
        <f ca="1">AVERAGE(OFFSET($FI$3,0,0,'Données projet'!$E$16+1,1))-AVERAGE(OFFSET($H$3,0,0,'Données projet'!$E$16+1,1))</f>
        <v>329.49463758169588</v>
      </c>
      <c r="FK189" s="59">
        <f t="shared" si="156"/>
        <v>207.1447698203379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52.861816729896603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52.861816729896603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763.00000000000057</v>
      </c>
      <c r="GA189" s="17">
        <f>FZ189*VLOOKUP('Données projet'!$B$17,Paramètres!$A$1:$I$89,3,0)*VLOOKUP('Données projet'!$B$17,Paramètres!$A$1:$I$89,5,0)</f>
        <v>456.2740000000004</v>
      </c>
      <c r="GB189" s="13">
        <f t="shared" si="185"/>
        <v>103.09649786611838</v>
      </c>
      <c r="GC189" s="20">
        <f t="shared" si="186"/>
        <v>974.23695045015677</v>
      </c>
      <c r="GD189" s="59">
        <f t="shared" si="134"/>
        <v>1264.3113650771234</v>
      </c>
      <c r="GE189" s="59">
        <f ca="1">AVERAGE(OFFSET($GD$3,0,0,'Données projet'!$E$17+1,1))-AVERAGE(OFFSET($H$3,0,0,'Données projet'!$E$17+1,1))</f>
        <v>577.07444926285291</v>
      </c>
      <c r="GF189" s="59">
        <f t="shared" si="158"/>
        <v>501.3762209070419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13.041855433174039</v>
      </c>
      <c r="GM189" s="21">
        <f>EXP(-LN(2)/25)*GM188+(1-EXP(-LN(2)/25))/(LN(2)/25)*Calculateur!GH189*Calculateur!GJ189*VLOOKUP('Données projet'!$B$17,Paramètres!$A$1:$I$89,3,0)*0.475*44/12</f>
        <v>0.86555064306622709</v>
      </c>
      <c r="GN189" s="21">
        <f>EXP(-LN(2)/2)*GN188+(1-EXP(-LN(2)/2))/(LN(2)/2)*GH189*GK189*VLOOKUP('Données projet'!$B$17,Paramètres!$A$1:$I$89,3,0)*0.475*44/12</f>
        <v>2.5989108884861003E-25</v>
      </c>
      <c r="GO189" s="21">
        <f t="shared" si="187"/>
        <v>13.907406076240266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69.111203989172694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-5.6843418860808015E-14</v>
      </c>
      <c r="GV189" s="17">
        <f>GU189*VLOOKUP('Données projet'!$B$18,Paramètres!$A$1:$I$89,3,0)*VLOOKUP('Données projet'!$B$18,Paramètres!$A$1:$I$89,5,0)</f>
        <v>-3.0061073630349716E-14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212.75657290802619</v>
      </c>
      <c r="HA189" s="59">
        <f t="shared" si="160"/>
        <v>411.47446316045978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3.4996124380318472</v>
      </c>
      <c r="HH189" s="21">
        <f>EXP(-LN(2)/25)*HH188+(1-EXP(-LN(2)/25))/(LN(2)/25)*Calculateur!HC189*Calculateur!HE189*VLOOKUP('Données projet'!$B$18,Paramètres!$A$1:$I$89,3,0)*0.475*44/12</f>
        <v>0.26345086447415828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3.7630633025060054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4.60745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16.893983333333335</v>
      </c>
      <c r="H190" s="66">
        <f t="shared" si="110"/>
        <v>189.09073333333333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331.63017978652624</v>
      </c>
      <c r="S190" s="59">
        <f ca="1">AVERAGE(OFFSET($R$3,0,0,'Données projet'!$E$9+1,1))-AVERAGE(OFFSET($H$3,0,0,'Données projet'!$E$9+1,1))</f>
        <v>564.49981446852132</v>
      </c>
      <c r="T190" s="59">
        <f t="shared" si="142"/>
        <v>297.54722913785406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19.8100000000004</v>
      </c>
      <c r="AJ190" s="13">
        <f>AI190*VLOOKUP('Données projet'!$B$10,Paramètres!$A$1:$I$89,3,0)*VLOOKUP('Données projet'!$B$10,Paramètres!$A$1:$I$89,5,0)</f>
        <v>20.08734000000041</v>
      </c>
      <c r="AK190" s="13">
        <f t="shared" si="164"/>
        <v>6.5285137703520215</v>
      </c>
      <c r="AL190" s="20">
        <f t="shared" si="165"/>
        <v>46.355945316697152</v>
      </c>
      <c r="AM190" s="59">
        <f t="shared" si="113"/>
        <v>336.48689489736847</v>
      </c>
      <c r="AN190" s="59">
        <f ca="1">AVERAGE(OFFSET($AM$3,0,0,'Données projet'!$E$10+1,1))-AVERAGE(OFFSET($H$3,0,0,'Données projet'!$E$10+1,1))</f>
        <v>623.16549611107564</v>
      </c>
      <c r="AO190" s="59">
        <f t="shared" si="144"/>
        <v>326.15178903425885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102.4346841469484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102.4346841469484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266.99999999999983</v>
      </c>
      <c r="BE190" s="13">
        <f>BD190*VLOOKUP('Données projet'!$B$11,Paramètres!$A$1:$I$89,3,0)*VLOOKUP('Données projet'!$B$11,Paramètres!$A$1:$I$89,5,0)</f>
        <v>216.59039999999987</v>
      </c>
      <c r="BF190" s="13">
        <f t="shared" si="167"/>
        <v>53.373153688190904</v>
      </c>
      <c r="BG190" s="20">
        <f t="shared" si="168"/>
        <v>470.18652267359886</v>
      </c>
      <c r="BH190" s="59">
        <f t="shared" si="116"/>
        <v>760.31747225427011</v>
      </c>
      <c r="BI190" s="59">
        <f ca="1">AVERAGE(OFFSET($BH$3,0,0,'Données projet'!$E$11+1,1))-AVERAGE(OFFSET($H$3,0,0,'Données projet'!$E$11+1,1))</f>
        <v>326.2912419133811</v>
      </c>
      <c r="BJ190" s="59">
        <f t="shared" si="146"/>
        <v>315.07976787459938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5.3149459842894604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5.3149459842894604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243</v>
      </c>
      <c r="BZ190" s="13">
        <f>BY190*VLOOKUP('Données projet'!$B$12,Paramètres!$A$1:$I$89,3,0)*VLOOKUP('Données projet'!$B$12,Paramètres!$A$1:$I$89,5,0)</f>
        <v>155.4228</v>
      </c>
      <c r="CA190" s="13">
        <f t="shared" si="170"/>
        <v>39.808377687614154</v>
      </c>
      <c r="CB190" s="20">
        <f t="shared" si="171"/>
        <v>340.02763447259463</v>
      </c>
      <c r="CC190" s="59">
        <f t="shared" si="119"/>
        <v>630.15858405326594</v>
      </c>
      <c r="CD190" s="59">
        <f ca="1">AVERAGE(OFFSET($CC$3,0,0,'Données projet'!$E$12+1,1))-AVERAGE(OFFSET($H$3,0,0,'Données projet'!$E$12+1,1))</f>
        <v>297.03992602744393</v>
      </c>
      <c r="CE190" s="59">
        <f t="shared" si="148"/>
        <v>265.2588848922893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7.3381158048479262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7.3381158048479262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367.99999999999972</v>
      </c>
      <c r="CU190" s="17">
        <f>CT190*VLOOKUP('Données projet'!$B$13,Paramètres!$A$1:$I$89,3,0)*VLOOKUP('Données projet'!$B$13,Paramètres!$A$1:$I$89,5,0)</f>
        <v>292.78079999999977</v>
      </c>
      <c r="CV190" s="13">
        <f t="shared" si="173"/>
        <v>69.660903052386217</v>
      </c>
      <c r="CW190" s="20">
        <f t="shared" si="174"/>
        <v>631.25263281623893</v>
      </c>
      <c r="CX190" s="59">
        <f t="shared" si="122"/>
        <v>921.38358239691024</v>
      </c>
      <c r="CY190" s="59">
        <f ca="1">AVERAGE(OFFSET($CX$3,0,0,'Données projet'!$E$13+1,1))-AVERAGE(OFFSET($H$3,0,0,'Données projet'!$E$13+1,1))</f>
        <v>427.42918901489531</v>
      </c>
      <c r="CZ190" s="59">
        <f t="shared" si="150"/>
        <v>410.68601510655412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7.4049037213239703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7.4049037213239703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19.8100000000004</v>
      </c>
      <c r="DP190" s="17">
        <f>DO190*VLOOKUP('Données projet'!$B$14,Paramètres!$A$1:$I$89,3,0)*VLOOKUP('Données projet'!$B$14,Paramètres!$A$1:$I$89,5,0)</f>
        <v>19.160232000000388</v>
      </c>
      <c r="DQ190" s="13">
        <f t="shared" si="176"/>
        <v>6.2615431735370342</v>
      </c>
      <c r="DR190" s="20">
        <f t="shared" si="177"/>
        <v>44.27625842724435</v>
      </c>
      <c r="DS190" s="59">
        <f t="shared" si="125"/>
        <v>334.40720800791564</v>
      </c>
      <c r="DT190" s="59">
        <f ca="1">AVERAGE(OFFSET($DS$3,0,0,'Données projet'!$E$14+1,1))-AVERAGE(OFFSET($H$3,0,0,'Données projet'!$E$14+1,1))</f>
        <v>598.03945725240396</v>
      </c>
      <c r="DU190" s="59">
        <f t="shared" si="152"/>
        <v>313.9014686755695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97.706929494012272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97.706929494012272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19.8100000000004</v>
      </c>
      <c r="EK190" s="17">
        <f>EJ190*VLOOKUP('Données projet'!$B$15,Paramètres!$A$1:$I$89,3,0)*VLOOKUP('Données projet'!$B$15,Paramètres!$A$1:$I$89,5,0)</f>
        <v>13.288548000000269</v>
      </c>
      <c r="EL190" s="13">
        <f t="shared" si="179"/>
        <v>4.531654695205642</v>
      </c>
      <c r="EM190" s="20">
        <f t="shared" si="180"/>
        <v>31.036853027483627</v>
      </c>
      <c r="EN190" s="59">
        <f t="shared" si="128"/>
        <v>321.16780260815494</v>
      </c>
      <c r="EO190" s="59">
        <f ca="1">AVERAGE(OFFSET($EN$3,0,0,'Données projet'!$E$15+1,1))-AVERAGE(OFFSET($H$3,0,0,'Données projet'!$E$15+1,1))</f>
        <v>438.27475674276604</v>
      </c>
      <c r="EP190" s="59">
        <f t="shared" si="154"/>
        <v>235.97720136798864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83.523665535204032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83.523665535204032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5.2499999999990337</v>
      </c>
      <c r="FF190" s="17">
        <f>FE190*VLOOKUP('Données projet'!$B$16,Paramètres!$A$1:$I$89,3,0)*VLOOKUP('Données projet'!$B$16,Paramètres!$A$1:$I$89,5,0)</f>
        <v>2.4569999999995478</v>
      </c>
      <c r="FG190" s="13">
        <f t="shared" si="182"/>
        <v>1.0197977774625564</v>
      </c>
      <c r="FH190" s="20">
        <f t="shared" si="183"/>
        <v>6.0554227957464972</v>
      </c>
      <c r="FI190" s="59">
        <f t="shared" si="131"/>
        <v>296.18637237641781</v>
      </c>
      <c r="FJ190" s="59">
        <f ca="1">AVERAGE(OFFSET($FI$3,0,0,'Données projet'!$E$16+1,1))-AVERAGE(OFFSET($H$3,0,0,'Données projet'!$E$16+1,1))</f>
        <v>329.49463758169588</v>
      </c>
      <c r="FK190" s="59">
        <f t="shared" si="156"/>
        <v>207.1447698203379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51.825228746347854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51.825228746347854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763.00000000000057</v>
      </c>
      <c r="GA190" s="17">
        <f>FZ190*VLOOKUP('Données projet'!$B$17,Paramètres!$A$1:$I$89,3,0)*VLOOKUP('Données projet'!$B$17,Paramètres!$A$1:$I$89,5,0)</f>
        <v>456.2740000000004</v>
      </c>
      <c r="GB190" s="13">
        <f t="shared" si="185"/>
        <v>103.09649786611838</v>
      </c>
      <c r="GC190" s="20">
        <f t="shared" si="186"/>
        <v>974.23695045015677</v>
      </c>
      <c r="GD190" s="59">
        <f t="shared" si="134"/>
        <v>1264.367900030828</v>
      </c>
      <c r="GE190" s="59">
        <f ca="1">AVERAGE(OFFSET($GD$3,0,0,'Données projet'!$E$17+1,1))-AVERAGE(OFFSET($H$3,0,0,'Données projet'!$E$17+1,1))</f>
        <v>577.07444926285291</v>
      </c>
      <c r="GF190" s="59">
        <f t="shared" si="158"/>
        <v>501.3762209070419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12.786112602875845</v>
      </c>
      <c r="GM190" s="21">
        <f>EXP(-LN(2)/25)*GM189+(1-EXP(-LN(2)/25))/(LN(2)/25)*Calculateur!GH190*Calculateur!GJ190*VLOOKUP('Données projet'!$B$17,Paramètres!$A$1:$I$89,3,0)*0.475*44/12</f>
        <v>0.84188211521425105</v>
      </c>
      <c r="GN190" s="21">
        <f>EXP(-LN(2)/2)*GN189+(1-EXP(-LN(2)/2))/(LN(2)/2)*GH190*GK190*VLOOKUP('Données projet'!$B$17,Paramètres!$A$1:$I$89,3,0)*0.475*44/12</f>
        <v>1.8377075129480768E-25</v>
      </c>
      <c r="GO190" s="21">
        <f t="shared" si="187"/>
        <v>13.627994718090095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69.126622612910353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-5.6843418860808015E-14</v>
      </c>
      <c r="GV190" s="17">
        <f>GU190*VLOOKUP('Données projet'!$B$18,Paramètres!$A$1:$I$89,3,0)*VLOOKUP('Données projet'!$B$18,Paramètres!$A$1:$I$89,5,0)</f>
        <v>-3.0061073630349716E-14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212.75657290802619</v>
      </c>
      <c r="HA190" s="59">
        <f t="shared" si="160"/>
        <v>411.47446316045978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3.4309871726748602</v>
      </c>
      <c r="HH190" s="21">
        <f>EXP(-LN(2)/25)*HH189+(1-EXP(-LN(2)/25))/(LN(2)/25)*Calculateur!HC190*Calculateur!HE190*VLOOKUP('Données projet'!$B$18,Paramètres!$A$1:$I$89,3,0)*0.475*44/12</f>
        <v>0.25624678673083356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3.6872339594056935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4.60745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16.893983333333335</v>
      </c>
      <c r="H191" s="66">
        <f t="shared" si="110"/>
        <v>189.09073333333333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331.68573398517742</v>
      </c>
      <c r="S191" s="59">
        <f ca="1">AVERAGE(OFFSET($R$3,0,0,'Données projet'!$E$9+1,1))-AVERAGE(OFFSET($H$3,0,0,'Données projet'!$E$9+1,1))</f>
        <v>564.49981446852132</v>
      </c>
      <c r="T191" s="59">
        <f t="shared" si="142"/>
        <v>297.54722913785406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19.8100000000004</v>
      </c>
      <c r="AJ191" s="13">
        <f>AI191*VLOOKUP('Données projet'!$B$10,Paramètres!$A$1:$I$89,3,0)*VLOOKUP('Données projet'!$B$10,Paramètres!$A$1:$I$89,5,0)</f>
        <v>20.08734000000041</v>
      </c>
      <c r="AK191" s="13">
        <f t="shared" si="164"/>
        <v>6.5285137703520215</v>
      </c>
      <c r="AL191" s="20">
        <f t="shared" si="165"/>
        <v>46.355945316697152</v>
      </c>
      <c r="AM191" s="59">
        <f t="shared" si="113"/>
        <v>336.54244909601965</v>
      </c>
      <c r="AN191" s="59">
        <f ca="1">AVERAGE(OFFSET($AM$3,0,0,'Données projet'!$E$10+1,1))-AVERAGE(OFFSET($H$3,0,0,'Données projet'!$E$10+1,1))</f>
        <v>623.16549611107564</v>
      </c>
      <c r="AO191" s="59">
        <f t="shared" si="144"/>
        <v>326.15178903425885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100.42600246981478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100.42600246981478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266.99999999999983</v>
      </c>
      <c r="BE191" s="13">
        <f>BD191*VLOOKUP('Données projet'!$B$11,Paramètres!$A$1:$I$89,3,0)*VLOOKUP('Données projet'!$B$11,Paramètres!$A$1:$I$89,5,0)</f>
        <v>216.59039999999987</v>
      </c>
      <c r="BF191" s="13">
        <f t="shared" si="167"/>
        <v>53.373153688190904</v>
      </c>
      <c r="BG191" s="20">
        <f t="shared" si="168"/>
        <v>470.18652267359886</v>
      </c>
      <c r="BH191" s="59">
        <f t="shared" si="116"/>
        <v>760.37302645292129</v>
      </c>
      <c r="BI191" s="59">
        <f ca="1">AVERAGE(OFFSET($BH$3,0,0,'Données projet'!$E$11+1,1))-AVERAGE(OFFSET($H$3,0,0,'Données projet'!$E$11+1,1))</f>
        <v>326.2912419133811</v>
      </c>
      <c r="BJ191" s="59">
        <f t="shared" si="146"/>
        <v>315.07976787459938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5.2107231353344936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5.2107231353344936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243</v>
      </c>
      <c r="BZ191" s="13">
        <f>BY191*VLOOKUP('Données projet'!$B$12,Paramètres!$A$1:$I$89,3,0)*VLOOKUP('Données projet'!$B$12,Paramètres!$A$1:$I$89,5,0)</f>
        <v>155.4228</v>
      </c>
      <c r="CA191" s="13">
        <f t="shared" si="170"/>
        <v>39.808377687614154</v>
      </c>
      <c r="CB191" s="20">
        <f t="shared" si="171"/>
        <v>340.02763447259463</v>
      </c>
      <c r="CC191" s="59">
        <f t="shared" si="119"/>
        <v>630.21413825191712</v>
      </c>
      <c r="CD191" s="59">
        <f ca="1">AVERAGE(OFFSET($CC$3,0,0,'Données projet'!$E$12+1,1))-AVERAGE(OFFSET($H$3,0,0,'Données projet'!$E$12+1,1))</f>
        <v>297.03992602744393</v>
      </c>
      <c r="CE191" s="59">
        <f t="shared" si="148"/>
        <v>265.2588848922893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7.1942198297235498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7.1942198297235498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367.99999999999972</v>
      </c>
      <c r="CU191" s="17">
        <f>CT191*VLOOKUP('Données projet'!$B$13,Paramètres!$A$1:$I$89,3,0)*VLOOKUP('Données projet'!$B$13,Paramètres!$A$1:$I$89,5,0)</f>
        <v>292.78079999999977</v>
      </c>
      <c r="CV191" s="13">
        <f t="shared" si="173"/>
        <v>69.660903052386217</v>
      </c>
      <c r="CW191" s="20">
        <f t="shared" si="174"/>
        <v>631.25263281623893</v>
      </c>
      <c r="CX191" s="59">
        <f t="shared" si="122"/>
        <v>921.43913659556142</v>
      </c>
      <c r="CY191" s="59">
        <f ca="1">AVERAGE(OFFSET($CX$3,0,0,'Données projet'!$E$13+1,1))-AVERAGE(OFFSET($H$3,0,0,'Données projet'!$E$13+1,1))</f>
        <v>427.42918901489531</v>
      </c>
      <c r="CZ191" s="59">
        <f t="shared" si="150"/>
        <v>410.68601510655412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7.2596980758941054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7.2596980758941054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19.8100000000004</v>
      </c>
      <c r="DP191" s="17">
        <f>DO191*VLOOKUP('Données projet'!$B$14,Paramètres!$A$1:$I$89,3,0)*VLOOKUP('Données projet'!$B$14,Paramètres!$A$1:$I$89,5,0)</f>
        <v>19.160232000000388</v>
      </c>
      <c r="DQ191" s="13">
        <f t="shared" si="176"/>
        <v>6.2615431735370342</v>
      </c>
      <c r="DR191" s="20">
        <f t="shared" si="177"/>
        <v>44.27625842724435</v>
      </c>
      <c r="DS191" s="59">
        <f t="shared" si="125"/>
        <v>334.46276220656682</v>
      </c>
      <c r="DT191" s="59">
        <f ca="1">AVERAGE(OFFSET($DS$3,0,0,'Données projet'!$E$14+1,1))-AVERAGE(OFFSET($H$3,0,0,'Données projet'!$E$14+1,1))</f>
        <v>598.03945725240396</v>
      </c>
      <c r="DU191" s="59">
        <f t="shared" si="152"/>
        <v>313.9014686755695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95.790956201977124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95.790956201977124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19.8100000000004</v>
      </c>
      <c r="EK191" s="17">
        <f>EJ191*VLOOKUP('Données projet'!$B$15,Paramètres!$A$1:$I$89,3,0)*VLOOKUP('Données projet'!$B$15,Paramètres!$A$1:$I$89,5,0)</f>
        <v>13.288548000000269</v>
      </c>
      <c r="EL191" s="13">
        <f t="shared" si="179"/>
        <v>4.531654695205642</v>
      </c>
      <c r="EM191" s="20">
        <f t="shared" si="180"/>
        <v>31.036853027483627</v>
      </c>
      <c r="EN191" s="59">
        <f t="shared" si="128"/>
        <v>321.22335680680612</v>
      </c>
      <c r="EO191" s="59">
        <f ca="1">AVERAGE(OFFSET($EN$3,0,0,'Données projet'!$E$15+1,1))-AVERAGE(OFFSET($H$3,0,0,'Données projet'!$E$15+1,1))</f>
        <v>438.27475674276604</v>
      </c>
      <c r="EP191" s="59">
        <f t="shared" si="154"/>
        <v>235.97720136798864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81.885817398464312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81.885817398464312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5.2499999999990337</v>
      </c>
      <c r="FF191" s="17">
        <f>FE191*VLOOKUP('Données projet'!$B$16,Paramètres!$A$1:$I$89,3,0)*VLOOKUP('Données projet'!$B$16,Paramètres!$A$1:$I$89,5,0)</f>
        <v>2.4569999999995478</v>
      </c>
      <c r="FG191" s="13">
        <f t="shared" si="182"/>
        <v>1.0197977774625564</v>
      </c>
      <c r="FH191" s="20">
        <f t="shared" si="183"/>
        <v>6.0554227957464972</v>
      </c>
      <c r="FI191" s="59">
        <f t="shared" si="131"/>
        <v>296.24192657506899</v>
      </c>
      <c r="FJ191" s="59">
        <f ca="1">AVERAGE(OFFSET($FI$3,0,0,'Données projet'!$E$16+1,1))-AVERAGE(OFFSET($H$3,0,0,'Données projet'!$E$16+1,1))</f>
        <v>329.49463758169588</v>
      </c>
      <c r="FK191" s="59">
        <f t="shared" si="156"/>
        <v>207.1447698203379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50.808967620900255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50.808967620900255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763.00000000000057</v>
      </c>
      <c r="GA191" s="17">
        <f>FZ191*VLOOKUP('Données projet'!$B$17,Paramètres!$A$1:$I$89,3,0)*VLOOKUP('Données projet'!$B$17,Paramètres!$A$1:$I$89,5,0)</f>
        <v>456.2740000000004</v>
      </c>
      <c r="GB191" s="13">
        <f t="shared" si="185"/>
        <v>103.09649786611838</v>
      </c>
      <c r="GC191" s="20">
        <f t="shared" si="186"/>
        <v>974.23695045015677</v>
      </c>
      <c r="GD191" s="59">
        <f t="shared" si="134"/>
        <v>1264.4234542294794</v>
      </c>
      <c r="GE191" s="59">
        <f ca="1">AVERAGE(OFFSET($GD$3,0,0,'Données projet'!$E$17+1,1))-AVERAGE(OFFSET($H$3,0,0,'Données projet'!$E$17+1,1))</f>
        <v>577.07444926285291</v>
      </c>
      <c r="GF191" s="59">
        <f t="shared" si="158"/>
        <v>501.3762209070419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12.535384733492073</v>
      </c>
      <c r="GM191" s="21">
        <f>EXP(-LN(2)/25)*GM190+(1-EXP(-LN(2)/25))/(LN(2)/25)*Calculateur!GH191*Calculateur!GJ191*VLOOKUP('Données projet'!$B$17,Paramètres!$A$1:$I$89,3,0)*0.475*44/12</f>
        <v>0.81886080450106102</v>
      </c>
      <c r="GN191" s="21">
        <f>EXP(-LN(2)/2)*GN190+(1-EXP(-LN(2)/2))/(LN(2)/2)*GH191*GK191*VLOOKUP('Données projet'!$B$17,Paramètres!$A$1:$I$89,3,0)*0.475*44/12</f>
        <v>1.2994554442430502E-25</v>
      </c>
      <c r="GO191" s="21">
        <f t="shared" si="187"/>
        <v>13.354245537993133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69.141773757997044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-5.6843418860808015E-14</v>
      </c>
      <c r="GV191" s="17">
        <f>GU191*VLOOKUP('Données projet'!$B$18,Paramètres!$A$1:$I$89,3,0)*VLOOKUP('Données projet'!$B$18,Paramètres!$A$1:$I$89,5,0)</f>
        <v>-3.0061073630349716E-14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212.75657290802619</v>
      </c>
      <c r="HA191" s="59">
        <f t="shared" si="160"/>
        <v>411.47446316045978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3.3637076069142449</v>
      </c>
      <c r="HH191" s="21">
        <f>EXP(-LN(2)/25)*HH190+(1-EXP(-LN(2)/25))/(LN(2)/25)*Calculateur!HC191*Calculateur!HE191*VLOOKUP('Données projet'!$B$18,Paramètres!$A$1:$I$89,3,0)*0.475*44/12</f>
        <v>0.24923970487224606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3.612947311786491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4.60745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16.893983333333335</v>
      </c>
      <c r="H192" s="66">
        <f t="shared" si="110"/>
        <v>189.09073333333333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331.74032444268249</v>
      </c>
      <c r="S192" s="59">
        <f ca="1">AVERAGE(OFFSET($R$3,0,0,'Données projet'!$E$9+1,1))-AVERAGE(OFFSET($H$3,0,0,'Données projet'!$E$9+1,1))</f>
        <v>564.49981446852132</v>
      </c>
      <c r="T192" s="59">
        <f t="shared" si="142"/>
        <v>297.54722913785406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19.8100000000004</v>
      </c>
      <c r="AJ192" s="13">
        <f>AI192*VLOOKUP('Données projet'!$B$10,Paramètres!$A$1:$I$89,3,0)*VLOOKUP('Données projet'!$B$10,Paramètres!$A$1:$I$89,5,0)</f>
        <v>20.08734000000041</v>
      </c>
      <c r="AK192" s="13">
        <f t="shared" si="164"/>
        <v>6.5285137703520215</v>
      </c>
      <c r="AL192" s="20">
        <f t="shared" si="165"/>
        <v>46.355945316697152</v>
      </c>
      <c r="AM192" s="59">
        <f t="shared" si="113"/>
        <v>336.59703955352472</v>
      </c>
      <c r="AN192" s="59">
        <f ca="1">AVERAGE(OFFSET($AM$3,0,0,'Données projet'!$E$10+1,1))-AVERAGE(OFFSET($H$3,0,0,'Données projet'!$E$10+1,1))</f>
        <v>623.16549611107564</v>
      </c>
      <c r="AO192" s="59">
        <f t="shared" si="144"/>
        <v>326.15178903425885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98.456709815194898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98.456709815194898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266.99999999999983</v>
      </c>
      <c r="BE192" s="13">
        <f>BD192*VLOOKUP('Données projet'!$B$11,Paramètres!$A$1:$I$89,3,0)*VLOOKUP('Données projet'!$B$11,Paramètres!$A$1:$I$89,5,0)</f>
        <v>216.59039999999987</v>
      </c>
      <c r="BF192" s="13">
        <f t="shared" si="167"/>
        <v>53.373153688190904</v>
      </c>
      <c r="BG192" s="20">
        <f t="shared" si="168"/>
        <v>470.18652267359886</v>
      </c>
      <c r="BH192" s="59">
        <f t="shared" si="116"/>
        <v>760.42761691042642</v>
      </c>
      <c r="BI192" s="59">
        <f ca="1">AVERAGE(OFFSET($BH$3,0,0,'Données projet'!$E$11+1,1))-AVERAGE(OFFSET($H$3,0,0,'Données projet'!$E$11+1,1))</f>
        <v>326.2912419133811</v>
      </c>
      <c r="BJ192" s="59">
        <f t="shared" si="146"/>
        <v>315.07976787459938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5.1085440328778731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5.1085440328778731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243</v>
      </c>
      <c r="BZ192" s="13">
        <f>BY192*VLOOKUP('Données projet'!$B$12,Paramètres!$A$1:$I$89,3,0)*VLOOKUP('Données projet'!$B$12,Paramètres!$A$1:$I$89,5,0)</f>
        <v>155.4228</v>
      </c>
      <c r="CA192" s="13">
        <f t="shared" si="170"/>
        <v>39.808377687614154</v>
      </c>
      <c r="CB192" s="20">
        <f t="shared" si="171"/>
        <v>340.02763447259463</v>
      </c>
      <c r="CC192" s="59">
        <f t="shared" si="119"/>
        <v>630.26872870942225</v>
      </c>
      <c r="CD192" s="59">
        <f ca="1">AVERAGE(OFFSET($CC$3,0,0,'Données projet'!$E$12+1,1))-AVERAGE(OFFSET($H$3,0,0,'Données projet'!$E$12+1,1))</f>
        <v>297.03992602744393</v>
      </c>
      <c r="CE192" s="59">
        <f t="shared" si="148"/>
        <v>265.2588848922893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7.0531455669034839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7.0531455669034839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367.99999999999972</v>
      </c>
      <c r="CU192" s="17">
        <f>CT192*VLOOKUP('Données projet'!$B$13,Paramètres!$A$1:$I$89,3,0)*VLOOKUP('Données projet'!$B$13,Paramètres!$A$1:$I$89,5,0)</f>
        <v>292.78079999999977</v>
      </c>
      <c r="CV192" s="13">
        <f t="shared" si="173"/>
        <v>69.660903052386217</v>
      </c>
      <c r="CW192" s="20">
        <f t="shared" si="174"/>
        <v>631.25263281623893</v>
      </c>
      <c r="CX192" s="59">
        <f t="shared" si="122"/>
        <v>921.49372705306655</v>
      </c>
      <c r="CY192" s="59">
        <f ca="1">AVERAGE(OFFSET($CX$3,0,0,'Données projet'!$E$13+1,1))-AVERAGE(OFFSET($H$3,0,0,'Données projet'!$E$13+1,1))</f>
        <v>427.42918901489531</v>
      </c>
      <c r="CZ192" s="59">
        <f t="shared" si="150"/>
        <v>410.68601510655412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7.1173398246044215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7.1173398246044215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19.8100000000004</v>
      </c>
      <c r="DP192" s="17">
        <f>DO192*VLOOKUP('Données projet'!$B$14,Paramètres!$A$1:$I$89,3,0)*VLOOKUP('Données projet'!$B$14,Paramètres!$A$1:$I$89,5,0)</f>
        <v>19.160232000000388</v>
      </c>
      <c r="DQ192" s="13">
        <f t="shared" si="176"/>
        <v>6.2615431735370342</v>
      </c>
      <c r="DR192" s="20">
        <f t="shared" si="177"/>
        <v>44.27625842724435</v>
      </c>
      <c r="DS192" s="59">
        <f t="shared" si="125"/>
        <v>334.51735266407189</v>
      </c>
      <c r="DT192" s="59">
        <f ca="1">AVERAGE(OFFSET($DS$3,0,0,'Données projet'!$E$14+1,1))-AVERAGE(OFFSET($H$3,0,0,'Données projet'!$E$14+1,1))</f>
        <v>598.03945725240396</v>
      </c>
      <c r="DU192" s="59">
        <f t="shared" si="152"/>
        <v>313.9014686755695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93.912553977570482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93.912553977570482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19.8100000000004</v>
      </c>
      <c r="EK192" s="17">
        <f>EJ192*VLOOKUP('Données projet'!$B$15,Paramètres!$A$1:$I$89,3,0)*VLOOKUP('Données projet'!$B$15,Paramètres!$A$1:$I$89,5,0)</f>
        <v>13.288548000000269</v>
      </c>
      <c r="EL192" s="13">
        <f t="shared" si="179"/>
        <v>4.531654695205642</v>
      </c>
      <c r="EM192" s="20">
        <f t="shared" si="180"/>
        <v>31.036853027483627</v>
      </c>
      <c r="EN192" s="59">
        <f t="shared" si="128"/>
        <v>321.27794726431119</v>
      </c>
      <c r="EO192" s="59">
        <f ca="1">AVERAGE(OFFSET($EN$3,0,0,'Données projet'!$E$15+1,1))-AVERAGE(OFFSET($H$3,0,0,'Données projet'!$E$15+1,1))</f>
        <v>438.27475674276604</v>
      </c>
      <c r="EP192" s="59">
        <f t="shared" si="154"/>
        <v>235.97720136798864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80.280086464697334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80.280086464697334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5.2499999999990337</v>
      </c>
      <c r="FF192" s="17">
        <f>FE192*VLOOKUP('Données projet'!$B$16,Paramètres!$A$1:$I$89,3,0)*VLOOKUP('Données projet'!$B$16,Paramètres!$A$1:$I$89,5,0)</f>
        <v>2.4569999999995478</v>
      </c>
      <c r="FG192" s="13">
        <f t="shared" si="182"/>
        <v>1.0197977774625564</v>
      </c>
      <c r="FH192" s="20">
        <f t="shared" si="183"/>
        <v>6.0554227957464972</v>
      </c>
      <c r="FI192" s="59">
        <f t="shared" si="131"/>
        <v>296.29651703257406</v>
      </c>
      <c r="FJ192" s="59">
        <f ca="1">AVERAGE(OFFSET($FI$3,0,0,'Données projet'!$E$16+1,1))-AVERAGE(OFFSET($H$3,0,0,'Données projet'!$E$16+1,1))</f>
        <v>329.49463758169588</v>
      </c>
      <c r="FK192" s="59">
        <f t="shared" si="156"/>
        <v>207.1447698203379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49.8126347562646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49.8126347562646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763.00000000000057</v>
      </c>
      <c r="GA192" s="17">
        <f>FZ192*VLOOKUP('Données projet'!$B$17,Paramètres!$A$1:$I$89,3,0)*VLOOKUP('Données projet'!$B$17,Paramètres!$A$1:$I$89,5,0)</f>
        <v>456.2740000000004</v>
      </c>
      <c r="GB192" s="13">
        <f t="shared" si="185"/>
        <v>103.09649786611838</v>
      </c>
      <c r="GC192" s="20">
        <f t="shared" si="186"/>
        <v>974.23695045015677</v>
      </c>
      <c r="GD192" s="59">
        <f t="shared" si="134"/>
        <v>1264.4780446869843</v>
      </c>
      <c r="GE192" s="59">
        <f ca="1">AVERAGE(OFFSET($GD$3,0,0,'Données projet'!$E$17+1,1))-AVERAGE(OFFSET($H$3,0,0,'Données projet'!$E$17+1,1))</f>
        <v>577.07444926285291</v>
      </c>
      <c r="GF192" s="59">
        <f t="shared" si="158"/>
        <v>501.3762209070419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12.289573484698018</v>
      </c>
      <c r="GM192" s="21">
        <f>EXP(-LN(2)/25)*GM191+(1-EXP(-LN(2)/25))/(LN(2)/25)*Calculateur!GH192*Calculateur!GJ192*VLOOKUP('Données projet'!$B$17,Paramètres!$A$1:$I$89,3,0)*0.475*44/12</f>
        <v>0.79646901273996129</v>
      </c>
      <c r="GN192" s="21">
        <f>EXP(-LN(2)/2)*GN191+(1-EXP(-LN(2)/2))/(LN(2)/2)*GH192*GK192*VLOOKUP('Données projet'!$B$17,Paramètres!$A$1:$I$89,3,0)*0.475*44/12</f>
        <v>9.1885375647403839E-26</v>
      </c>
      <c r="GO192" s="21">
        <f t="shared" si="187"/>
        <v>13.08604249743798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69.156662064589341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-5.6843418860808015E-14</v>
      </c>
      <c r="GV192" s="17">
        <f>GU192*VLOOKUP('Données projet'!$B$18,Paramètres!$A$1:$I$89,3,0)*VLOOKUP('Données projet'!$B$18,Paramètres!$A$1:$I$89,5,0)</f>
        <v>-3.0061073630349716E-14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212.75657290802619</v>
      </c>
      <c r="HA192" s="59">
        <f t="shared" si="160"/>
        <v>411.47446316045978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3.297747352401712</v>
      </c>
      <c r="HH192" s="21">
        <f>EXP(-LN(2)/25)*HH191+(1-EXP(-LN(2)/25))/(LN(2)/25)*Calculateur!HC192*Calculateur!HE192*VLOOKUP('Données projet'!$B$18,Paramètres!$A$1:$I$89,3,0)*0.475*44/12</f>
        <v>0.24242423203556807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3.5401715844372799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4.60745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16.893983333333335</v>
      </c>
      <c r="H193" s="66">
        <f t="shared" si="110"/>
        <v>189.09073333333333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331.79396787779598</v>
      </c>
      <c r="S193" s="59">
        <f ca="1">AVERAGE(OFFSET($R$3,0,0,'Données projet'!$E$9+1,1))-AVERAGE(OFFSET($H$3,0,0,'Données projet'!$E$9+1,1))</f>
        <v>564.49981446852132</v>
      </c>
      <c r="T193" s="59">
        <f t="shared" si="142"/>
        <v>297.54722913785406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19.8100000000004</v>
      </c>
      <c r="AJ193" s="13">
        <f>AI193*VLOOKUP('Données projet'!$B$10,Paramètres!$A$1:$I$89,3,0)*VLOOKUP('Données projet'!$B$10,Paramètres!$A$1:$I$89,5,0)</f>
        <v>20.08734000000041</v>
      </c>
      <c r="AK193" s="13">
        <f t="shared" si="164"/>
        <v>6.5285137703520215</v>
      </c>
      <c r="AL193" s="20">
        <f t="shared" si="165"/>
        <v>46.355945316697152</v>
      </c>
      <c r="AM193" s="59">
        <f t="shared" si="113"/>
        <v>336.65068298863821</v>
      </c>
      <c r="AN193" s="59">
        <f ca="1">AVERAGE(OFFSET($AM$3,0,0,'Données projet'!$E$10+1,1))-AVERAGE(OFFSET($H$3,0,0,'Données projet'!$E$10+1,1))</f>
        <v>623.16549611107564</v>
      </c>
      <c r="AO193" s="59">
        <f t="shared" si="144"/>
        <v>326.15178903425885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96.526033788382207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96.526033788382207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266.99999999999983</v>
      </c>
      <c r="BE193" s="13">
        <f>BD193*VLOOKUP('Données projet'!$B$11,Paramètres!$A$1:$I$89,3,0)*VLOOKUP('Données projet'!$B$11,Paramètres!$A$1:$I$89,5,0)</f>
        <v>216.59039999999987</v>
      </c>
      <c r="BF193" s="13">
        <f t="shared" si="167"/>
        <v>53.373153688190904</v>
      </c>
      <c r="BG193" s="20">
        <f t="shared" si="168"/>
        <v>470.18652267359886</v>
      </c>
      <c r="BH193" s="59">
        <f t="shared" si="116"/>
        <v>760.48126034553991</v>
      </c>
      <c r="BI193" s="59">
        <f ca="1">AVERAGE(OFFSET($BH$3,0,0,'Données projet'!$E$11+1,1))-AVERAGE(OFFSET($H$3,0,0,'Données projet'!$E$11+1,1))</f>
        <v>326.2912419133811</v>
      </c>
      <c r="BJ193" s="59">
        <f t="shared" si="146"/>
        <v>315.07976787459938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5.0083686002973282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5.0083686002973282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243</v>
      </c>
      <c r="BZ193" s="13">
        <f>BY193*VLOOKUP('Données projet'!$B$12,Paramètres!$A$1:$I$89,3,0)*VLOOKUP('Données projet'!$B$12,Paramètres!$A$1:$I$89,5,0)</f>
        <v>155.4228</v>
      </c>
      <c r="CA193" s="13">
        <f t="shared" si="170"/>
        <v>39.808377687614154</v>
      </c>
      <c r="CB193" s="20">
        <f t="shared" si="171"/>
        <v>340.02763447259463</v>
      </c>
      <c r="CC193" s="59">
        <f t="shared" si="119"/>
        <v>630.32237214453562</v>
      </c>
      <c r="CD193" s="59">
        <f ca="1">AVERAGE(OFFSET($CC$3,0,0,'Données projet'!$E$12+1,1))-AVERAGE(OFFSET($H$3,0,0,'Données projet'!$E$12+1,1))</f>
        <v>297.03992602744393</v>
      </c>
      <c r="CE193" s="59">
        <f t="shared" si="148"/>
        <v>265.2588848922893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6.9148376843305162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6.9148376843305162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367.99999999999972</v>
      </c>
      <c r="CU193" s="17">
        <f>CT193*VLOOKUP('Données projet'!$B$13,Paramètres!$A$1:$I$89,3,0)*VLOOKUP('Données projet'!$B$13,Paramètres!$A$1:$I$89,5,0)</f>
        <v>292.78079999999977</v>
      </c>
      <c r="CV193" s="13">
        <f t="shared" si="173"/>
        <v>69.660903052386217</v>
      </c>
      <c r="CW193" s="20">
        <f t="shared" si="174"/>
        <v>631.25263281623893</v>
      </c>
      <c r="CX193" s="59">
        <f t="shared" si="122"/>
        <v>921.54737048817992</v>
      </c>
      <c r="CY193" s="59">
        <f ca="1">AVERAGE(OFFSET($CX$3,0,0,'Données projet'!$E$13+1,1))-AVERAGE(OFFSET($H$3,0,0,'Données projet'!$E$13+1,1))</f>
        <v>427.42918901489531</v>
      </c>
      <c r="CZ193" s="59">
        <f t="shared" si="150"/>
        <v>410.68601510655412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6.9777731317925689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6.9777731317925689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19.8100000000004</v>
      </c>
      <c r="DP193" s="17">
        <f>DO193*VLOOKUP('Données projet'!$B$14,Paramètres!$A$1:$I$89,3,0)*VLOOKUP('Données projet'!$B$14,Paramètres!$A$1:$I$89,5,0)</f>
        <v>19.160232000000388</v>
      </c>
      <c r="DQ193" s="13">
        <f t="shared" si="176"/>
        <v>6.2615431735370342</v>
      </c>
      <c r="DR193" s="20">
        <f t="shared" si="177"/>
        <v>44.27625842724435</v>
      </c>
      <c r="DS193" s="59">
        <f t="shared" si="125"/>
        <v>334.57099609918538</v>
      </c>
      <c r="DT193" s="59">
        <f ca="1">AVERAGE(OFFSET($DS$3,0,0,'Données projet'!$E$14+1,1))-AVERAGE(OFFSET($H$3,0,0,'Données projet'!$E$14+1,1))</f>
        <v>598.03945725240396</v>
      </c>
      <c r="DU193" s="59">
        <f t="shared" si="152"/>
        <v>313.9014686755695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92.070986075072227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92.070986075072227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19.8100000000004</v>
      </c>
      <c r="EK193" s="17">
        <f>EJ193*VLOOKUP('Données projet'!$B$15,Paramètres!$A$1:$I$89,3,0)*VLOOKUP('Données projet'!$B$15,Paramètres!$A$1:$I$89,5,0)</f>
        <v>13.288548000000269</v>
      </c>
      <c r="EL193" s="13">
        <f t="shared" si="179"/>
        <v>4.531654695205642</v>
      </c>
      <c r="EM193" s="20">
        <f t="shared" si="180"/>
        <v>31.036853027483627</v>
      </c>
      <c r="EN193" s="59">
        <f t="shared" si="128"/>
        <v>321.33159069942468</v>
      </c>
      <c r="EO193" s="59">
        <f ca="1">AVERAGE(OFFSET($EN$3,0,0,'Données projet'!$E$15+1,1))-AVERAGE(OFFSET($H$3,0,0,'Données projet'!$E$15+1,1))</f>
        <v>438.27475674276604</v>
      </c>
      <c r="EP193" s="59">
        <f t="shared" si="154"/>
        <v>235.97720136798864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78.705842935142371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78.705842935142371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5.2499999999990337</v>
      </c>
      <c r="FF193" s="17">
        <f>FE193*VLOOKUP('Données projet'!$B$16,Paramètres!$A$1:$I$89,3,0)*VLOOKUP('Données projet'!$B$16,Paramètres!$A$1:$I$89,5,0)</f>
        <v>2.4569999999995478</v>
      </c>
      <c r="FG193" s="13">
        <f t="shared" si="182"/>
        <v>1.0197977774625564</v>
      </c>
      <c r="FH193" s="20">
        <f t="shared" si="183"/>
        <v>6.0554227957464972</v>
      </c>
      <c r="FI193" s="59">
        <f t="shared" si="131"/>
        <v>296.35016046768754</v>
      </c>
      <c r="FJ193" s="59">
        <f ca="1">AVERAGE(OFFSET($FI$3,0,0,'Données projet'!$E$16+1,1))-AVERAGE(OFFSET($H$3,0,0,'Données projet'!$E$16+1,1))</f>
        <v>329.49463758169588</v>
      </c>
      <c r="FK193" s="59">
        <f t="shared" si="156"/>
        <v>207.1447698203379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48.835839371401413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48.835839371401413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763.00000000000057</v>
      </c>
      <c r="GA193" s="17">
        <f>FZ193*VLOOKUP('Données projet'!$B$17,Paramètres!$A$1:$I$89,3,0)*VLOOKUP('Données projet'!$B$17,Paramètres!$A$1:$I$89,5,0)</f>
        <v>456.2740000000004</v>
      </c>
      <c r="GB193" s="13">
        <f t="shared" si="185"/>
        <v>103.09649786611838</v>
      </c>
      <c r="GC193" s="20">
        <f t="shared" si="186"/>
        <v>974.23695045015677</v>
      </c>
      <c r="GD193" s="59">
        <f t="shared" si="134"/>
        <v>1264.5316881220979</v>
      </c>
      <c r="GE193" s="59">
        <f ca="1">AVERAGE(OFFSET($GD$3,0,0,'Données projet'!$E$17+1,1))-AVERAGE(OFFSET($H$3,0,0,'Données projet'!$E$17+1,1))</f>
        <v>577.07444926285291</v>
      </c>
      <c r="GF193" s="59">
        <f t="shared" si="158"/>
        <v>501.3762209070419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12.048582444562756</v>
      </c>
      <c r="GM193" s="21">
        <f>EXP(-LN(2)/25)*GM192+(1-EXP(-LN(2)/25))/(LN(2)/25)*Calculateur!GH193*Calculateur!GJ193*VLOOKUP('Données projet'!$B$17,Paramètres!$A$1:$I$89,3,0)*0.475*44/12</f>
        <v>0.77468952570210203</v>
      </c>
      <c r="GN193" s="21">
        <f>EXP(-LN(2)/2)*GN192+(1-EXP(-LN(2)/2))/(LN(2)/2)*GH193*GK193*VLOOKUP('Données projet'!$B$17,Paramètres!$A$1:$I$89,3,0)*0.475*44/12</f>
        <v>6.4972772212152508E-26</v>
      </c>
      <c r="GO193" s="21">
        <f t="shared" si="187"/>
        <v>12.823271970264859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69.171292092347556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-5.6843418860808015E-14</v>
      </c>
      <c r="GV193" s="17">
        <f>GU193*VLOOKUP('Données projet'!$B$18,Paramètres!$A$1:$I$89,3,0)*VLOOKUP('Données projet'!$B$18,Paramètres!$A$1:$I$89,5,0)</f>
        <v>-3.0061073630349716E-14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212.75657290802619</v>
      </c>
      <c r="HA193" s="59">
        <f t="shared" si="160"/>
        <v>411.47446316045978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3.2330805382483874</v>
      </c>
      <c r="HH193" s="21">
        <f>EXP(-LN(2)/25)*HH192+(1-EXP(-LN(2)/25))/(LN(2)/25)*Calculateur!HC193*Calculateur!HE193*VLOOKUP('Données projet'!$B$18,Paramètres!$A$1:$I$89,3,0)*0.475*44/12</f>
        <v>0.23579512866201915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3.4688756669104066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4.60745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16.893983333333335</v>
      </c>
      <c r="H194" s="66">
        <f t="shared" si="110"/>
        <v>189.09073333333333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331.84668071923892</v>
      </c>
      <c r="S194" s="59">
        <f ca="1">AVERAGE(OFFSET($R$3,0,0,'Données projet'!$E$9+1,1))-AVERAGE(OFFSET($H$3,0,0,'Données projet'!$E$9+1,1))</f>
        <v>564.49981446852132</v>
      </c>
      <c r="T194" s="59">
        <f t="shared" si="142"/>
        <v>297.54722913785406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19.8100000000004</v>
      </c>
      <c r="AJ194" s="13">
        <f>AI194*VLOOKUP('Données projet'!$B$10,Paramètres!$A$1:$I$89,3,0)*VLOOKUP('Données projet'!$B$10,Paramètres!$A$1:$I$89,5,0)</f>
        <v>20.08734000000041</v>
      </c>
      <c r="AK194" s="13">
        <f t="shared" si="164"/>
        <v>6.5285137703520215</v>
      </c>
      <c r="AL194" s="20">
        <f t="shared" si="165"/>
        <v>46.355945316697152</v>
      </c>
      <c r="AM194" s="59">
        <f t="shared" si="113"/>
        <v>336.70339583008115</v>
      </c>
      <c r="AN194" s="59">
        <f ca="1">AVERAGE(OFFSET($AM$3,0,0,'Données projet'!$E$10+1,1))-AVERAGE(OFFSET($H$3,0,0,'Données projet'!$E$10+1,1))</f>
        <v>623.16549611107564</v>
      </c>
      <c r="AO194" s="59">
        <f t="shared" si="144"/>
        <v>326.15178903425885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94.633217140859216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94.633217140859216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266.99999999999983</v>
      </c>
      <c r="BE194" s="13">
        <f>BD194*VLOOKUP('Données projet'!$B$11,Paramètres!$A$1:$I$89,3,0)*VLOOKUP('Données projet'!$B$11,Paramètres!$A$1:$I$89,5,0)</f>
        <v>216.59039999999987</v>
      </c>
      <c r="BF194" s="13">
        <f t="shared" si="167"/>
        <v>53.373153688190904</v>
      </c>
      <c r="BG194" s="20">
        <f t="shared" si="168"/>
        <v>470.18652267359886</v>
      </c>
      <c r="BH194" s="59">
        <f t="shared" si="116"/>
        <v>760.53397318698285</v>
      </c>
      <c r="BI194" s="59">
        <f ca="1">AVERAGE(OFFSET($BH$3,0,0,'Données projet'!$E$11+1,1))-AVERAGE(OFFSET($H$3,0,0,'Données projet'!$E$11+1,1))</f>
        <v>326.2912419133811</v>
      </c>
      <c r="BJ194" s="59">
        <f t="shared" si="146"/>
        <v>315.07976787459938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4.9101575468487066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4.9101575468487066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243</v>
      </c>
      <c r="BZ194" s="13">
        <f>BY194*VLOOKUP('Données projet'!$B$12,Paramètres!$A$1:$I$89,3,0)*VLOOKUP('Données projet'!$B$12,Paramètres!$A$1:$I$89,5,0)</f>
        <v>155.4228</v>
      </c>
      <c r="CA194" s="13">
        <f t="shared" si="170"/>
        <v>39.808377687614154</v>
      </c>
      <c r="CB194" s="20">
        <f t="shared" si="171"/>
        <v>340.02763447259463</v>
      </c>
      <c r="CC194" s="59">
        <f t="shared" si="119"/>
        <v>630.37508498597867</v>
      </c>
      <c r="CD194" s="59">
        <f ca="1">AVERAGE(OFFSET($CC$3,0,0,'Données projet'!$E$12+1,1))-AVERAGE(OFFSET($H$3,0,0,'Données projet'!$E$12+1,1))</f>
        <v>297.03992602744393</v>
      </c>
      <c r="CE194" s="59">
        <f t="shared" si="148"/>
        <v>265.2588848922893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6.7792419349753255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6.7792419349753255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367.99999999999972</v>
      </c>
      <c r="CU194" s="17">
        <f>CT194*VLOOKUP('Données projet'!$B$13,Paramètres!$A$1:$I$89,3,0)*VLOOKUP('Données projet'!$B$13,Paramètres!$A$1:$I$89,5,0)</f>
        <v>292.78079999999977</v>
      </c>
      <c r="CV194" s="13">
        <f t="shared" si="173"/>
        <v>69.660903052386217</v>
      </c>
      <c r="CW194" s="20">
        <f t="shared" si="174"/>
        <v>631.25263281623893</v>
      </c>
      <c r="CX194" s="59">
        <f t="shared" si="122"/>
        <v>921.60008332962298</v>
      </c>
      <c r="CY194" s="59">
        <f ca="1">AVERAGE(OFFSET($CX$3,0,0,'Données projet'!$E$13+1,1))-AVERAGE(OFFSET($H$3,0,0,'Données projet'!$E$13+1,1))</f>
        <v>427.42918901489531</v>
      </c>
      <c r="CZ194" s="59">
        <f t="shared" si="150"/>
        <v>410.68601510655412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6.8409432566994797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6.8409432566994797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19.8100000000004</v>
      </c>
      <c r="DP194" s="17">
        <f>DO194*VLOOKUP('Données projet'!$B$14,Paramètres!$A$1:$I$89,3,0)*VLOOKUP('Données projet'!$B$14,Paramètres!$A$1:$I$89,5,0)</f>
        <v>19.160232000000388</v>
      </c>
      <c r="DQ194" s="13">
        <f t="shared" si="176"/>
        <v>6.2615431735370342</v>
      </c>
      <c r="DR194" s="20">
        <f t="shared" si="177"/>
        <v>44.27625842724435</v>
      </c>
      <c r="DS194" s="59">
        <f t="shared" si="125"/>
        <v>334.62370894062832</v>
      </c>
      <c r="DT194" s="59">
        <f ca="1">AVERAGE(OFFSET($DS$3,0,0,'Données projet'!$E$14+1,1))-AVERAGE(OFFSET($H$3,0,0,'Données projet'!$E$14+1,1))</f>
        <v>598.03945725240396</v>
      </c>
      <c r="DU194" s="59">
        <f t="shared" si="152"/>
        <v>313.9014686755695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90.265530195896446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90.265530195896446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19.8100000000004</v>
      </c>
      <c r="EK194" s="17">
        <f>EJ194*VLOOKUP('Données projet'!$B$15,Paramètres!$A$1:$I$89,3,0)*VLOOKUP('Données projet'!$B$15,Paramètres!$A$1:$I$89,5,0)</f>
        <v>13.288548000000269</v>
      </c>
      <c r="EL194" s="13">
        <f t="shared" si="179"/>
        <v>4.531654695205642</v>
      </c>
      <c r="EM194" s="20">
        <f t="shared" si="180"/>
        <v>31.036853027483627</v>
      </c>
      <c r="EN194" s="59">
        <f t="shared" si="128"/>
        <v>321.38430354086762</v>
      </c>
      <c r="EO194" s="59">
        <f ca="1">AVERAGE(OFFSET($EN$3,0,0,'Données projet'!$E$15+1,1))-AVERAGE(OFFSET($H$3,0,0,'Données projet'!$E$15+1,1))</f>
        <v>438.27475674276604</v>
      </c>
      <c r="EP194" s="59">
        <f t="shared" si="154"/>
        <v>235.97720136798864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77.162469361008235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77.162469361008235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5.2499999999990337</v>
      </c>
      <c r="FF194" s="17">
        <f>FE194*VLOOKUP('Données projet'!$B$16,Paramètres!$A$1:$I$89,3,0)*VLOOKUP('Données projet'!$B$16,Paramètres!$A$1:$I$89,5,0)</f>
        <v>2.4569999999995478</v>
      </c>
      <c r="FG194" s="13">
        <f t="shared" si="182"/>
        <v>1.0197977774625564</v>
      </c>
      <c r="FH194" s="20">
        <f t="shared" si="183"/>
        <v>6.0554227957464972</v>
      </c>
      <c r="FI194" s="59">
        <f t="shared" si="131"/>
        <v>296.40287330913048</v>
      </c>
      <c r="FJ194" s="59">
        <f ca="1">AVERAGE(OFFSET($FI$3,0,0,'Données projet'!$E$16+1,1))-AVERAGE(OFFSET($H$3,0,0,'Données projet'!$E$16+1,1))</f>
        <v>329.49463758169588</v>
      </c>
      <c r="FK194" s="59">
        <f t="shared" si="156"/>
        <v>207.1447698203379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47.878198348249036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47.878198348249036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763.00000000000057</v>
      </c>
      <c r="GA194" s="17">
        <f>FZ194*VLOOKUP('Données projet'!$B$17,Paramètres!$A$1:$I$89,3,0)*VLOOKUP('Données projet'!$B$17,Paramètres!$A$1:$I$89,5,0)</f>
        <v>456.2740000000004</v>
      </c>
      <c r="GB194" s="13">
        <f t="shared" si="185"/>
        <v>103.09649786611838</v>
      </c>
      <c r="GC194" s="20">
        <f t="shared" si="186"/>
        <v>974.23695045015677</v>
      </c>
      <c r="GD194" s="59">
        <f t="shared" si="134"/>
        <v>1264.5844009635407</v>
      </c>
      <c r="GE194" s="59">
        <f ca="1">AVERAGE(OFFSET($GD$3,0,0,'Données projet'!$E$17+1,1))-AVERAGE(OFFSET($H$3,0,0,'Données projet'!$E$17+1,1))</f>
        <v>577.07444926285291</v>
      </c>
      <c r="GF194" s="59">
        <f t="shared" si="158"/>
        <v>501.3762209070419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11.812317091734528</v>
      </c>
      <c r="GM194" s="21">
        <f>EXP(-LN(2)/25)*GM193+(1-EXP(-LN(2)/25))/(LN(2)/25)*Calculateur!GH194*Calculateur!GJ194*VLOOKUP('Données projet'!$B$17,Paramètres!$A$1:$I$89,3,0)*0.475*44/12</f>
        <v>0.75350559988262644</v>
      </c>
      <c r="GN194" s="21">
        <f>EXP(-LN(2)/2)*GN193+(1-EXP(-LN(2)/2))/(LN(2)/2)*GH194*GK194*VLOOKUP('Données projet'!$B$17,Paramètres!$A$1:$I$89,3,0)*0.475*44/12</f>
        <v>4.5942687823701919E-26</v>
      </c>
      <c r="GO194" s="21">
        <f t="shared" si="187"/>
        <v>12.565822691617154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69.185668321831997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-5.6843418860808015E-14</v>
      </c>
      <c r="GV194" s="17">
        <f>GU194*VLOOKUP('Données projet'!$B$18,Paramètres!$A$1:$I$89,3,0)*VLOOKUP('Données projet'!$B$18,Paramètres!$A$1:$I$89,5,0)</f>
        <v>-3.0061073630349716E-14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212.75657290802619</v>
      </c>
      <c r="HA194" s="59">
        <f t="shared" si="160"/>
        <v>411.47446316045978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3.1696818008777474</v>
      </c>
      <c r="HH194" s="21">
        <f>EXP(-LN(2)/25)*HH193+(1-EXP(-LN(2)/25))/(LN(2)/25)*Calculateur!HC194*Calculateur!HE194*VLOOKUP('Données projet'!$B$18,Paramètres!$A$1:$I$89,3,0)*0.475*44/12</f>
        <v>0.22934729846882934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3.3990290993465768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4.60745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16.893983333333335</v>
      </c>
      <c r="H195" s="66">
        <f t="shared" si="110"/>
        <v>189.09073333333333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331.89847911073116</v>
      </c>
      <c r="S195" s="59">
        <f ca="1">AVERAGE(OFFSET($R$3,0,0,'Données projet'!$E$9+1,1))-AVERAGE(OFFSET($H$3,0,0,'Données projet'!$E$9+1,1))</f>
        <v>564.49981446852132</v>
      </c>
      <c r="T195" s="59">
        <f t="shared" si="142"/>
        <v>297.54722913785406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19.8100000000004</v>
      </c>
      <c r="AJ195" s="13">
        <f>AI195*VLOOKUP('Données projet'!$B$10,Paramètres!$A$1:$I$89,3,0)*VLOOKUP('Données projet'!$B$10,Paramètres!$A$1:$I$89,5,0)</f>
        <v>20.08734000000041</v>
      </c>
      <c r="AK195" s="13">
        <f t="shared" si="164"/>
        <v>6.5285137703520215</v>
      </c>
      <c r="AL195" s="20">
        <f t="shared" si="165"/>
        <v>46.355945316697152</v>
      </c>
      <c r="AM195" s="59">
        <f t="shared" si="113"/>
        <v>336.75519422157339</v>
      </c>
      <c r="AN195" s="59">
        <f ca="1">AVERAGE(OFFSET($AM$3,0,0,'Données projet'!$E$10+1,1))-AVERAGE(OFFSET($H$3,0,0,'Données projet'!$E$10+1,1))</f>
        <v>623.16549611107564</v>
      </c>
      <c r="AO195" s="59">
        <f t="shared" si="144"/>
        <v>326.15178903425885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92.77751747328999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92.77751747328999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266.99999999999983</v>
      </c>
      <c r="BE195" s="13">
        <f>BD195*VLOOKUP('Données projet'!$B$11,Paramètres!$A$1:$I$89,3,0)*VLOOKUP('Données projet'!$B$11,Paramètres!$A$1:$I$89,5,0)</f>
        <v>216.59039999999987</v>
      </c>
      <c r="BF195" s="13">
        <f t="shared" si="167"/>
        <v>53.373153688190904</v>
      </c>
      <c r="BG195" s="20">
        <f t="shared" si="168"/>
        <v>470.18652267359886</v>
      </c>
      <c r="BH195" s="59">
        <f t="shared" si="116"/>
        <v>760.58577157847503</v>
      </c>
      <c r="BI195" s="59">
        <f ca="1">AVERAGE(OFFSET($BH$3,0,0,'Données projet'!$E$11+1,1))-AVERAGE(OFFSET($H$3,0,0,'Données projet'!$E$11+1,1))</f>
        <v>326.2912419133811</v>
      </c>
      <c r="BJ195" s="59">
        <f t="shared" si="146"/>
        <v>315.07976787459938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4.8138723522553857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4.8138723522553857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243</v>
      </c>
      <c r="BZ195" s="13">
        <f>BY195*VLOOKUP('Données projet'!$B$12,Paramètres!$A$1:$I$89,3,0)*VLOOKUP('Données projet'!$B$12,Paramètres!$A$1:$I$89,5,0)</f>
        <v>155.4228</v>
      </c>
      <c r="CA195" s="13">
        <f t="shared" si="170"/>
        <v>39.808377687614154</v>
      </c>
      <c r="CB195" s="20">
        <f t="shared" si="171"/>
        <v>340.02763447259463</v>
      </c>
      <c r="CC195" s="59">
        <f t="shared" si="119"/>
        <v>630.42688337747086</v>
      </c>
      <c r="CD195" s="59">
        <f ca="1">AVERAGE(OFFSET($CC$3,0,0,'Données projet'!$E$12+1,1))-AVERAGE(OFFSET($H$3,0,0,'Données projet'!$E$12+1,1))</f>
        <v>297.03992602744393</v>
      </c>
      <c r="CE195" s="59">
        <f t="shared" si="148"/>
        <v>265.2588848922893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6.6463051355597491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6.6463051355597491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367.99999999999972</v>
      </c>
      <c r="CU195" s="17">
        <f>CT195*VLOOKUP('Données projet'!$B$13,Paramètres!$A$1:$I$89,3,0)*VLOOKUP('Données projet'!$B$13,Paramètres!$A$1:$I$89,5,0)</f>
        <v>292.78079999999977</v>
      </c>
      <c r="CV195" s="13">
        <f t="shared" si="173"/>
        <v>69.660903052386217</v>
      </c>
      <c r="CW195" s="20">
        <f t="shared" si="174"/>
        <v>631.25263281623893</v>
      </c>
      <c r="CX195" s="59">
        <f t="shared" si="122"/>
        <v>921.65188172111516</v>
      </c>
      <c r="CY195" s="59">
        <f ca="1">AVERAGE(OFFSET($CX$3,0,0,'Données projet'!$E$13+1,1))-AVERAGE(OFFSET($H$3,0,0,'Données projet'!$E$13+1,1))</f>
        <v>427.42918901489531</v>
      </c>
      <c r="CZ195" s="59">
        <f t="shared" si="150"/>
        <v>410.68601510655412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6.7067965319989833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6.7067965319989833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19.8100000000004</v>
      </c>
      <c r="DP195" s="17">
        <f>DO195*VLOOKUP('Données projet'!$B$14,Paramètres!$A$1:$I$89,3,0)*VLOOKUP('Données projet'!$B$14,Paramètres!$A$1:$I$89,5,0)</f>
        <v>19.160232000000388</v>
      </c>
      <c r="DQ195" s="13">
        <f t="shared" si="176"/>
        <v>6.2615431735370342</v>
      </c>
      <c r="DR195" s="20">
        <f t="shared" si="177"/>
        <v>44.27625842724435</v>
      </c>
      <c r="DS195" s="59">
        <f t="shared" si="125"/>
        <v>334.67550733212056</v>
      </c>
      <c r="DT195" s="59">
        <f ca="1">AVERAGE(OFFSET($DS$3,0,0,'Données projet'!$E$14+1,1))-AVERAGE(OFFSET($H$3,0,0,'Données projet'!$E$14+1,1))</f>
        <v>598.03945725240396</v>
      </c>
      <c r="DU195" s="59">
        <f t="shared" si="152"/>
        <v>313.9014686755695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88.49547820529196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88.49547820529196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19.8100000000004</v>
      </c>
      <c r="EK195" s="17">
        <f>EJ195*VLOOKUP('Données projet'!$B$15,Paramètres!$A$1:$I$89,3,0)*VLOOKUP('Données projet'!$B$15,Paramètres!$A$1:$I$89,5,0)</f>
        <v>13.288548000000269</v>
      </c>
      <c r="EL195" s="13">
        <f t="shared" si="179"/>
        <v>4.531654695205642</v>
      </c>
      <c r="EM195" s="20">
        <f t="shared" si="180"/>
        <v>31.036853027483627</v>
      </c>
      <c r="EN195" s="59">
        <f t="shared" si="128"/>
        <v>321.43610193235986</v>
      </c>
      <c r="EO195" s="59">
        <f ca="1">AVERAGE(OFFSET($EN$3,0,0,'Données projet'!$E$15+1,1))-AVERAGE(OFFSET($H$3,0,0,'Données projet'!$E$15+1,1))</f>
        <v>438.27475674276604</v>
      </c>
      <c r="EP195" s="59">
        <f t="shared" si="154"/>
        <v>235.97720136798864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75.64936040129794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75.64936040129794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5.2499999999990337</v>
      </c>
      <c r="FF195" s="17">
        <f>FE195*VLOOKUP('Données projet'!$B$16,Paramètres!$A$1:$I$89,3,0)*VLOOKUP('Données projet'!$B$16,Paramètres!$A$1:$I$89,5,0)</f>
        <v>2.4569999999995478</v>
      </c>
      <c r="FG195" s="13">
        <f t="shared" si="182"/>
        <v>1.0197977774625564</v>
      </c>
      <c r="FH195" s="20">
        <f t="shared" si="183"/>
        <v>6.0554227957464972</v>
      </c>
      <c r="FI195" s="59">
        <f t="shared" si="131"/>
        <v>296.45467170062273</v>
      </c>
      <c r="FJ195" s="59">
        <f ca="1">AVERAGE(OFFSET($FI$3,0,0,'Données projet'!$E$16+1,1))-AVERAGE(OFFSET($H$3,0,0,'Données projet'!$E$16+1,1))</f>
        <v>329.49463758169588</v>
      </c>
      <c r="FK195" s="59">
        <f t="shared" si="156"/>
        <v>207.1447698203379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46.939336081457327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46.939336081457327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763.00000000000057</v>
      </c>
      <c r="GA195" s="17">
        <f>FZ195*VLOOKUP('Données projet'!$B$17,Paramètres!$A$1:$I$89,3,0)*VLOOKUP('Données projet'!$B$17,Paramètres!$A$1:$I$89,5,0)</f>
        <v>456.2740000000004</v>
      </c>
      <c r="GB195" s="13">
        <f t="shared" si="185"/>
        <v>103.09649786611838</v>
      </c>
      <c r="GC195" s="20">
        <f t="shared" si="186"/>
        <v>974.23695045015677</v>
      </c>
      <c r="GD195" s="59">
        <f t="shared" si="134"/>
        <v>1264.6361993550331</v>
      </c>
      <c r="GE195" s="59">
        <f ca="1">AVERAGE(OFFSET($GD$3,0,0,'Données projet'!$E$17+1,1))-AVERAGE(OFFSET($H$3,0,0,'Données projet'!$E$17+1,1))</f>
        <v>577.07444926285291</v>
      </c>
      <c r="GF195" s="59">
        <f t="shared" si="158"/>
        <v>501.3762209070419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11.580684758367624</v>
      </c>
      <c r="GM195" s="21">
        <f>EXP(-LN(2)/25)*GM194+(1-EXP(-LN(2)/25))/(LN(2)/25)*Calculateur!GH195*Calculateur!GJ195*VLOOKUP('Données projet'!$B$17,Paramètres!$A$1:$I$89,3,0)*0.475*44/12</f>
        <v>0.73290094962869867</v>
      </c>
      <c r="GN195" s="21">
        <f>EXP(-LN(2)/2)*GN194+(1-EXP(-LN(2)/2))/(LN(2)/2)*GH195*GK195*VLOOKUP('Données projet'!$B$17,Paramètres!$A$1:$I$89,3,0)*0.475*44/12</f>
        <v>3.2486386106076254E-26</v>
      </c>
      <c r="GO195" s="21">
        <f t="shared" si="187"/>
        <v>12.313585707996323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69.199795155875336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-5.6843418860808015E-14</v>
      </c>
      <c r="GV195" s="17">
        <f>GU195*VLOOKUP('Données projet'!$B$18,Paramètres!$A$1:$I$89,3,0)*VLOOKUP('Données projet'!$B$18,Paramètres!$A$1:$I$89,5,0)</f>
        <v>-3.0061073630349716E-14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212.75657290802619</v>
      </c>
      <c r="HA195" s="59">
        <f t="shared" si="160"/>
        <v>411.47446316045978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3.1075262740775345</v>
      </c>
      <c r="HH195" s="21">
        <f>EXP(-LN(2)/25)*HH194+(1-EXP(-LN(2)/25))/(LN(2)/25)*Calculateur!HC195*Calculateur!HE195*VLOOKUP('Données projet'!$B$18,Paramètres!$A$1:$I$89,3,0)*0.475*44/12</f>
        <v>0.22307578453134896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3.3306020586088834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4.60745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16.893983333333335</v>
      </c>
      <c r="H196" s="66">
        <f t="shared" ref="H196:H203" si="192">(B196+E196+F196)*44/12+(C196+D196)*0.475*44/12</f>
        <v>189.09073333333333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331.9493789159348</v>
      </c>
      <c r="S196" s="59">
        <f ca="1">AVERAGE(OFFSET($R$3,0,0,'Données projet'!$E$9+1,1))-AVERAGE(OFFSET($H$3,0,0,'Données projet'!$E$9+1,1))</f>
        <v>564.49981446852132</v>
      </c>
      <c r="T196" s="59">
        <f t="shared" si="142"/>
        <v>297.54722913785406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19.8100000000004</v>
      </c>
      <c r="AJ196" s="13">
        <f>AI196*VLOOKUP('Données projet'!$B$10,Paramètres!$A$1:$I$89,3,0)*VLOOKUP('Données projet'!$B$10,Paramètres!$A$1:$I$89,5,0)</f>
        <v>20.08734000000041</v>
      </c>
      <c r="AK196" s="13">
        <f t="shared" si="164"/>
        <v>6.5285137703520215</v>
      </c>
      <c r="AL196" s="20">
        <f t="shared" si="165"/>
        <v>46.355945316697152</v>
      </c>
      <c r="AM196" s="59">
        <f t="shared" ref="AM196:AM203" si="193">AL196+(AD196+AE196)*44/12</f>
        <v>336.80609402677703</v>
      </c>
      <c r="AN196" s="59">
        <f ca="1">AVERAGE(OFFSET($AM$3,0,0,'Données projet'!$E$10+1,1))-AVERAGE(OFFSET($H$3,0,0,'Données projet'!$E$10+1,1))</f>
        <v>623.16549611107564</v>
      </c>
      <c r="AO196" s="59">
        <f t="shared" si="144"/>
        <v>326.15178903425885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90.958206944336766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90.958206944336766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266.99999999999983</v>
      </c>
      <c r="BE196" s="13">
        <f>BD196*VLOOKUP('Données projet'!$B$11,Paramètres!$A$1:$I$89,3,0)*VLOOKUP('Données projet'!$B$11,Paramètres!$A$1:$I$89,5,0)</f>
        <v>216.59039999999987</v>
      </c>
      <c r="BF196" s="13">
        <f t="shared" si="167"/>
        <v>53.373153688190904</v>
      </c>
      <c r="BG196" s="20">
        <f t="shared" si="168"/>
        <v>470.18652267359886</v>
      </c>
      <c r="BH196" s="59">
        <f t="shared" ref="BH196:BH203" si="194">BG196+(AY196+AZ196)*44/12</f>
        <v>760.63667138367873</v>
      </c>
      <c r="BI196" s="59">
        <f ca="1">AVERAGE(OFFSET($BH$3,0,0,'Données projet'!$E$11+1,1))-AVERAGE(OFFSET($H$3,0,0,'Données projet'!$E$11+1,1))</f>
        <v>326.2912419133811</v>
      </c>
      <c r="BJ196" s="59">
        <f t="shared" si="146"/>
        <v>315.07976787459938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4.7194752515998699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4.7194752515998699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243</v>
      </c>
      <c r="BZ196" s="13">
        <f>BY196*VLOOKUP('Données projet'!$B$12,Paramètres!$A$1:$I$89,3,0)*VLOOKUP('Données projet'!$B$12,Paramètres!$A$1:$I$89,5,0)</f>
        <v>155.4228</v>
      </c>
      <c r="CA196" s="13">
        <f t="shared" si="170"/>
        <v>39.808377687614154</v>
      </c>
      <c r="CB196" s="20">
        <f t="shared" si="171"/>
        <v>340.02763447259463</v>
      </c>
      <c r="CC196" s="59">
        <f t="shared" ref="CC196:CC203" si="195">CB196+(BT196+BU196)*44/12</f>
        <v>630.47778318267456</v>
      </c>
      <c r="CD196" s="59">
        <f ca="1">AVERAGE(OFFSET($CC$3,0,0,'Données projet'!$E$12+1,1))-AVERAGE(OFFSET($H$3,0,0,'Données projet'!$E$12+1,1))</f>
        <v>297.03992602744393</v>
      </c>
      <c r="CE196" s="59">
        <f t="shared" si="148"/>
        <v>265.2588848922893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6.5159751456972712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6.5159751456972712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367.99999999999972</v>
      </c>
      <c r="CU196" s="17">
        <f>CT196*VLOOKUP('Données projet'!$B$13,Paramètres!$A$1:$I$89,3,0)*VLOOKUP('Données projet'!$B$13,Paramètres!$A$1:$I$89,5,0)</f>
        <v>292.78079999999977</v>
      </c>
      <c r="CV196" s="13">
        <f t="shared" si="173"/>
        <v>69.660903052386217</v>
      </c>
      <c r="CW196" s="20">
        <f t="shared" si="174"/>
        <v>631.25263281623893</v>
      </c>
      <c r="CX196" s="59">
        <f t="shared" ref="CX196:CX203" si="196">CW196+(CO196+CP196)*44/12</f>
        <v>921.70278152631886</v>
      </c>
      <c r="CY196" s="59">
        <f ca="1">AVERAGE(OFFSET($CX$3,0,0,'Données projet'!$E$13+1,1))-AVERAGE(OFFSET($H$3,0,0,'Données projet'!$E$13+1,1))</f>
        <v>427.42918901489531</v>
      </c>
      <c r="CZ196" s="59">
        <f t="shared" si="150"/>
        <v>410.68601510655412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6.5752803427484405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6.5752803427484405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19.8100000000004</v>
      </c>
      <c r="DP196" s="17">
        <f>DO196*VLOOKUP('Données projet'!$B$14,Paramètres!$A$1:$I$89,3,0)*VLOOKUP('Données projet'!$B$14,Paramètres!$A$1:$I$89,5,0)</f>
        <v>19.160232000000388</v>
      </c>
      <c r="DQ196" s="13">
        <f t="shared" si="176"/>
        <v>6.2615431735370342</v>
      </c>
      <c r="DR196" s="20">
        <f t="shared" si="177"/>
        <v>44.27625842724435</v>
      </c>
      <c r="DS196" s="59">
        <f t="shared" ref="DS196:DS203" si="197">DR196+(DJ196+DK196)*44/12</f>
        <v>334.7264071373242</v>
      </c>
      <c r="DT196" s="59">
        <f ca="1">AVERAGE(OFFSET($DS$3,0,0,'Données projet'!$E$14+1,1))-AVERAGE(OFFSET($H$3,0,0,'Données projet'!$E$14+1,1))</f>
        <v>598.03945725240396</v>
      </c>
      <c r="DU196" s="59">
        <f t="shared" si="152"/>
        <v>313.9014686755695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86.760135854598118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86.760135854598118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19.8100000000004</v>
      </c>
      <c r="EK196" s="17">
        <f>EJ196*VLOOKUP('Données projet'!$B$15,Paramètres!$A$1:$I$89,3,0)*VLOOKUP('Données projet'!$B$15,Paramètres!$A$1:$I$89,5,0)</f>
        <v>13.288548000000269</v>
      </c>
      <c r="EL196" s="13">
        <f t="shared" si="179"/>
        <v>4.531654695205642</v>
      </c>
      <c r="EM196" s="20">
        <f t="shared" si="180"/>
        <v>31.036853027483627</v>
      </c>
      <c r="EN196" s="59">
        <f t="shared" ref="EN196:EN203" si="198">EM196+(EE196+EF196)*44/12</f>
        <v>321.4870017375635</v>
      </c>
      <c r="EO196" s="59">
        <f ca="1">AVERAGE(OFFSET($EN$3,0,0,'Données projet'!$E$15+1,1))-AVERAGE(OFFSET($H$3,0,0,'Données projet'!$E$15+1,1))</f>
        <v>438.27475674276604</v>
      </c>
      <c r="EP196" s="59">
        <f t="shared" si="154"/>
        <v>235.97720136798864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74.165922585382233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74.165922585382233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5.2499999999990337</v>
      </c>
      <c r="FF196" s="17">
        <f>FE196*VLOOKUP('Données projet'!$B$16,Paramètres!$A$1:$I$89,3,0)*VLOOKUP('Données projet'!$B$16,Paramètres!$A$1:$I$89,5,0)</f>
        <v>2.4569999999995478</v>
      </c>
      <c r="FG196" s="13">
        <f t="shared" si="182"/>
        <v>1.0197977774625564</v>
      </c>
      <c r="FH196" s="20">
        <f t="shared" si="183"/>
        <v>6.0554227957464972</v>
      </c>
      <c r="FI196" s="59">
        <f t="shared" ref="FI196:FI203" si="199">FH196+(EZ196+FA196)*44/12</f>
        <v>296.50557150582637</v>
      </c>
      <c r="FJ196" s="59">
        <f ca="1">AVERAGE(OFFSET($FI$3,0,0,'Données projet'!$E$16+1,1))-AVERAGE(OFFSET($H$3,0,0,'Données projet'!$E$16+1,1))</f>
        <v>329.49463758169588</v>
      </c>
      <c r="FK196" s="59">
        <f t="shared" si="156"/>
        <v>207.1447698203379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46.018884331067966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46.018884331067966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763.00000000000057</v>
      </c>
      <c r="GA196" s="17">
        <f>FZ196*VLOOKUP('Données projet'!$B$17,Paramètres!$A$1:$I$89,3,0)*VLOOKUP('Données projet'!$B$17,Paramètres!$A$1:$I$89,5,0)</f>
        <v>456.2740000000004</v>
      </c>
      <c r="GB196" s="13">
        <f t="shared" si="185"/>
        <v>103.09649786611838</v>
      </c>
      <c r="GC196" s="20">
        <f t="shared" si="186"/>
        <v>974.23695045015677</v>
      </c>
      <c r="GD196" s="59">
        <f t="shared" ref="GD196:GD203" si="200">GC196+(FU196+FV196)*44/12</f>
        <v>1264.6870991602366</v>
      </c>
      <c r="GE196" s="59">
        <f ca="1">AVERAGE(OFFSET($GD$3,0,0,'Données projet'!$E$17+1,1))-AVERAGE(OFFSET($H$3,0,0,'Données projet'!$E$17+1,1))</f>
        <v>577.07444926285291</v>
      </c>
      <c r="GF196" s="59">
        <f t="shared" si="158"/>
        <v>501.3762209070419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11.353594593776274</v>
      </c>
      <c r="GM196" s="21">
        <f>EXP(-LN(2)/25)*GM195+(1-EXP(-LN(2)/25))/(LN(2)/25)*Calculateur!GH196*Calculateur!GJ196*VLOOKUP('Données projet'!$B$17,Paramètres!$A$1:$I$89,3,0)*0.475*44/12</f>
        <v>0.71285973461951602</v>
      </c>
      <c r="GN196" s="21">
        <f>EXP(-LN(2)/2)*GN195+(1-EXP(-LN(2)/2))/(LN(2)/2)*GH196*GK196*VLOOKUP('Données projet'!$B$17,Paramètres!$A$1:$I$89,3,0)*0.475*44/12</f>
        <v>2.297134391185096E-26</v>
      </c>
      <c r="GO196" s="21">
        <f t="shared" si="187"/>
        <v>12.066454328395789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69.213676920930865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-5.6843418860808015E-14</v>
      </c>
      <c r="GV196" s="17">
        <f>GU196*VLOOKUP('Données projet'!$B$18,Paramètres!$A$1:$I$89,3,0)*VLOOKUP('Données projet'!$B$18,Paramètres!$A$1:$I$89,5,0)</f>
        <v>-3.0061073630349716E-14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212.75657290802619</v>
      </c>
      <c r="HA196" s="59">
        <f t="shared" si="160"/>
        <v>411.47446316045978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3.0465895792467457</v>
      </c>
      <c r="HH196" s="21">
        <f>EXP(-LN(2)/25)*HH195+(1-EXP(-LN(2)/25))/(LN(2)/25)*Calculateur!HC196*Calculateur!HE196*VLOOKUP('Données projet'!$B$18,Paramètres!$A$1:$I$89,3,0)*0.475*44/12</f>
        <v>0.21697576547229355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3.2635653447190394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4.60745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16.893983333333335</v>
      </c>
      <c r="H197" s="66">
        <f t="shared" si="192"/>
        <v>189.09073333333333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331.99939572331306</v>
      </c>
      <c r="S197" s="59">
        <f ca="1">AVERAGE(OFFSET($R$3,0,0,'Données projet'!$E$9+1,1))-AVERAGE(OFFSET($H$3,0,0,'Données projet'!$E$9+1,1))</f>
        <v>564.49981446852132</v>
      </c>
      <c r="T197" s="59">
        <f t="shared" ref="T197:T203" si="204">$T$3</f>
        <v>297.54722913785406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19.8100000000004</v>
      </c>
      <c r="AJ197" s="13">
        <f>AI197*VLOOKUP('Données projet'!$B$10,Paramètres!$A$1:$I$89,3,0)*VLOOKUP('Données projet'!$B$10,Paramètres!$A$1:$I$89,5,0)</f>
        <v>20.08734000000041</v>
      </c>
      <c r="AK197" s="13">
        <f t="shared" si="164"/>
        <v>6.5285137703520215</v>
      </c>
      <c r="AL197" s="20">
        <f t="shared" si="165"/>
        <v>46.355945316697152</v>
      </c>
      <c r="AM197" s="59">
        <f t="shared" si="193"/>
        <v>336.85611083415529</v>
      </c>
      <c r="AN197" s="59">
        <f ca="1">AVERAGE(OFFSET($AM$3,0,0,'Données projet'!$E$10+1,1))-AVERAGE(OFFSET($H$3,0,0,'Données projet'!$E$10+1,1))</f>
        <v>623.16549611107564</v>
      </c>
      <c r="AO197" s="59">
        <f t="shared" ref="AO197:AO203" si="205">$AO$3</f>
        <v>326.15178903425885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89.174571985186461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89.174571985186461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266.99999999999983</v>
      </c>
      <c r="BE197" s="13">
        <f>BD197*VLOOKUP('Données projet'!$B$11,Paramètres!$A$1:$I$89,3,0)*VLOOKUP('Données projet'!$B$11,Paramètres!$A$1:$I$89,5,0)</f>
        <v>216.59039999999987</v>
      </c>
      <c r="BF197" s="13">
        <f t="shared" si="167"/>
        <v>53.373153688190904</v>
      </c>
      <c r="BG197" s="20">
        <f t="shared" si="168"/>
        <v>470.18652267359886</v>
      </c>
      <c r="BH197" s="59">
        <f t="shared" si="194"/>
        <v>760.68668819105699</v>
      </c>
      <c r="BI197" s="59">
        <f ca="1">AVERAGE(OFFSET($BH$3,0,0,'Données projet'!$E$11+1,1))-AVERAGE(OFFSET($H$3,0,0,'Données projet'!$E$11+1,1))</f>
        <v>326.2912419133811</v>
      </c>
      <c r="BJ197" s="59">
        <f t="shared" ref="BJ197:BJ203" si="206">$BJ$3</f>
        <v>315.07976787459938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4.6269292205116619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4.6269292205116619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243</v>
      </c>
      <c r="BZ197" s="13">
        <f>BY197*VLOOKUP('Données projet'!$B$12,Paramètres!$A$1:$I$89,3,0)*VLOOKUP('Données projet'!$B$12,Paramètres!$A$1:$I$89,5,0)</f>
        <v>155.4228</v>
      </c>
      <c r="CA197" s="13">
        <f t="shared" si="170"/>
        <v>39.808377687614154</v>
      </c>
      <c r="CB197" s="20">
        <f t="shared" si="171"/>
        <v>340.02763447259463</v>
      </c>
      <c r="CC197" s="59">
        <f t="shared" si="195"/>
        <v>630.5277999900527</v>
      </c>
      <c r="CD197" s="59">
        <f ca="1">AVERAGE(OFFSET($CC$3,0,0,'Données projet'!$E$12+1,1))-AVERAGE(OFFSET($H$3,0,0,'Données projet'!$E$12+1,1))</f>
        <v>297.03992602744393</v>
      </c>
      <c r="CE197" s="59">
        <f t="shared" ref="CE197:CE203" si="207">$CE$3</f>
        <v>265.2588848922893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6.388200847442552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6.388200847442552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367.99999999999972</v>
      </c>
      <c r="CU197" s="17">
        <f>CT197*VLOOKUP('Données projet'!$B$13,Paramètres!$A$1:$I$89,3,0)*VLOOKUP('Données projet'!$B$13,Paramètres!$A$1:$I$89,5,0)</f>
        <v>292.78079999999977</v>
      </c>
      <c r="CV197" s="13">
        <f t="shared" si="173"/>
        <v>69.660903052386217</v>
      </c>
      <c r="CW197" s="20">
        <f t="shared" si="174"/>
        <v>631.25263281623893</v>
      </c>
      <c r="CX197" s="59">
        <f t="shared" si="196"/>
        <v>921.752798333697</v>
      </c>
      <c r="CY197" s="59">
        <f ca="1">AVERAGE(OFFSET($CX$3,0,0,'Données projet'!$E$13+1,1))-AVERAGE(OFFSET($H$3,0,0,'Données projet'!$E$13+1,1))</f>
        <v>427.42918901489531</v>
      </c>
      <c r="CZ197" s="59">
        <f t="shared" ref="CZ197:CZ203" si="208">$CZ$3</f>
        <v>410.68601510655412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6.4463431057521463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6.4463431057521463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19.8100000000004</v>
      </c>
      <c r="DP197" s="17">
        <f>DO197*VLOOKUP('Données projet'!$B$14,Paramètres!$A$1:$I$89,3,0)*VLOOKUP('Données projet'!$B$14,Paramètres!$A$1:$I$89,5,0)</f>
        <v>19.160232000000388</v>
      </c>
      <c r="DQ197" s="13">
        <f t="shared" si="176"/>
        <v>6.2615431735370342</v>
      </c>
      <c r="DR197" s="20">
        <f t="shared" si="177"/>
        <v>44.27625842724435</v>
      </c>
      <c r="DS197" s="59">
        <f t="shared" si="197"/>
        <v>334.77642394470246</v>
      </c>
      <c r="DT197" s="59">
        <f ca="1">AVERAGE(OFFSET($DS$3,0,0,'Données projet'!$E$14+1,1))-AVERAGE(OFFSET($H$3,0,0,'Données projet'!$E$14+1,1))</f>
        <v>598.03945725240396</v>
      </c>
      <c r="DU197" s="59">
        <f t="shared" ref="DU197:DU203" si="209">$DU$3</f>
        <v>313.9014686755695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85.05882250894706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85.05882250894706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19.8100000000004</v>
      </c>
      <c r="EK197" s="17">
        <f>EJ197*VLOOKUP('Données projet'!$B$15,Paramètres!$A$1:$I$89,3,0)*VLOOKUP('Données projet'!$B$15,Paramètres!$A$1:$I$89,5,0)</f>
        <v>13.288548000000269</v>
      </c>
      <c r="EL197" s="13">
        <f t="shared" si="179"/>
        <v>4.531654695205642</v>
      </c>
      <c r="EM197" s="20">
        <f t="shared" si="180"/>
        <v>31.036853027483627</v>
      </c>
      <c r="EN197" s="59">
        <f t="shared" si="198"/>
        <v>321.53701854494176</v>
      </c>
      <c r="EO197" s="59">
        <f ca="1">AVERAGE(OFFSET($EN$3,0,0,'Données projet'!$E$15+1,1))-AVERAGE(OFFSET($H$3,0,0,'Données projet'!$E$15+1,1))</f>
        <v>438.27475674276604</v>
      </c>
      <c r="EP197" s="59">
        <f t="shared" ref="EP197:EP203" si="210">$EP$3</f>
        <v>235.97720136798864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72.711574080228914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72.711574080228914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5.2499999999990337</v>
      </c>
      <c r="FF197" s="17">
        <f>FE197*VLOOKUP('Données projet'!$B$16,Paramètres!$A$1:$I$89,3,0)*VLOOKUP('Données projet'!$B$16,Paramètres!$A$1:$I$89,5,0)</f>
        <v>2.4569999999995478</v>
      </c>
      <c r="FG197" s="13">
        <f t="shared" si="182"/>
        <v>1.0197977774625564</v>
      </c>
      <c r="FH197" s="20">
        <f t="shared" si="183"/>
        <v>6.0554227957464972</v>
      </c>
      <c r="FI197" s="59">
        <f t="shared" si="199"/>
        <v>296.55558831320462</v>
      </c>
      <c r="FJ197" s="59">
        <f ca="1">AVERAGE(OFFSET($FI$3,0,0,'Données projet'!$E$16+1,1))-AVERAGE(OFFSET($H$3,0,0,'Données projet'!$E$16+1,1))</f>
        <v>329.49463758169588</v>
      </c>
      <c r="FK197" s="59">
        <f t="shared" ref="FK197:FK203" si="211">$FK$3</f>
        <v>207.1447698203379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45.116482078083607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45.116482078083607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763.00000000000057</v>
      </c>
      <c r="GA197" s="17">
        <f>FZ197*VLOOKUP('Données projet'!$B$17,Paramètres!$A$1:$I$89,3,0)*VLOOKUP('Données projet'!$B$17,Paramètres!$A$1:$I$89,5,0)</f>
        <v>456.2740000000004</v>
      </c>
      <c r="GB197" s="13">
        <f t="shared" si="185"/>
        <v>103.09649786611838</v>
      </c>
      <c r="GC197" s="20">
        <f t="shared" si="186"/>
        <v>974.23695045015677</v>
      </c>
      <c r="GD197" s="59">
        <f t="shared" si="200"/>
        <v>1264.737115967615</v>
      </c>
      <c r="GE197" s="59">
        <f ca="1">AVERAGE(OFFSET($GD$3,0,0,'Données projet'!$E$17+1,1))-AVERAGE(OFFSET($H$3,0,0,'Données projet'!$E$17+1,1))</f>
        <v>577.07444926285291</v>
      </c>
      <c r="GF197" s="59">
        <f t="shared" ref="GF197:GF203" si="212">$GF$3</f>
        <v>501.3762209070419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11.130957528801236</v>
      </c>
      <c r="GM197" s="21">
        <f>EXP(-LN(2)/25)*GM196+(1-EXP(-LN(2)/25))/(LN(2)/25)*Calculateur!GH197*Calculateur!GJ197*VLOOKUP('Données projet'!$B$17,Paramètres!$A$1:$I$89,3,0)*0.475*44/12</f>
        <v>0.69336654768868122</v>
      </c>
      <c r="GN197" s="21">
        <f>EXP(-LN(2)/2)*GN196+(1-EXP(-LN(2)/2))/(LN(2)/2)*GH197*GK197*VLOOKUP('Données projet'!$B$17,Paramètres!$A$1:$I$89,3,0)*0.475*44/12</f>
        <v>1.6243193053038127E-26</v>
      </c>
      <c r="GO197" s="21">
        <f t="shared" si="187"/>
        <v>11.824324076489917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69.227317868397677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-5.6843418860808015E-14</v>
      </c>
      <c r="GV197" s="17">
        <f>GU197*VLOOKUP('Données projet'!$B$18,Paramètres!$A$1:$I$89,3,0)*VLOOKUP('Données projet'!$B$18,Paramètres!$A$1:$I$89,5,0)</f>
        <v>-3.0061073630349716E-14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212.75657290802619</v>
      </c>
      <c r="HA197" s="59">
        <f t="shared" ref="HA197:HA203" si="213">$HA$3</f>
        <v>411.47446316045978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2.9868478158338747</v>
      </c>
      <c r="HH197" s="21">
        <f>EXP(-LN(2)/25)*HH196+(1-EXP(-LN(2)/25))/(LN(2)/25)*Calculateur!HC197*Calculateur!HE197*VLOOKUP('Données projet'!$B$18,Paramètres!$A$1:$I$89,3,0)*0.475*44/12</f>
        <v>0.2110425517551941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3.1978903675890686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4.60745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16.893983333333335</v>
      </c>
      <c r="H198" s="66">
        <f t="shared" si="192"/>
        <v>189.09073333333333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332.04854485090414</v>
      </c>
      <c r="S198" s="59">
        <f ca="1">AVERAGE(OFFSET($R$3,0,0,'Données projet'!$E$9+1,1))-AVERAGE(OFFSET($H$3,0,0,'Données projet'!$E$9+1,1))</f>
        <v>564.49981446852132</v>
      </c>
      <c r="T198" s="59">
        <f t="shared" si="204"/>
        <v>297.54722913785406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19.8100000000004</v>
      </c>
      <c r="AJ198" s="13">
        <f>AI198*VLOOKUP('Données projet'!$B$10,Paramètres!$A$1:$I$89,3,0)*VLOOKUP('Données projet'!$B$10,Paramètres!$A$1:$I$89,5,0)</f>
        <v>20.08734000000041</v>
      </c>
      <c r="AK198" s="13">
        <f t="shared" si="164"/>
        <v>6.5285137703520215</v>
      </c>
      <c r="AL198" s="20">
        <f t="shared" si="165"/>
        <v>46.355945316697152</v>
      </c>
      <c r="AM198" s="59">
        <f t="shared" si="193"/>
        <v>336.90525996174637</v>
      </c>
      <c r="AN198" s="59">
        <f ca="1">AVERAGE(OFFSET($AM$3,0,0,'Données projet'!$E$10+1,1))-AVERAGE(OFFSET($H$3,0,0,'Données projet'!$E$10+1,1))</f>
        <v>623.16549611107564</v>
      </c>
      <c r="AO198" s="59">
        <f t="shared" si="205"/>
        <v>326.15178903425885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87.425913019675193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87.425913019675193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266.99999999999983</v>
      </c>
      <c r="BE198" s="13">
        <f>BD198*VLOOKUP('Données projet'!$B$11,Paramètres!$A$1:$I$89,3,0)*VLOOKUP('Données projet'!$B$11,Paramètres!$A$1:$I$89,5,0)</f>
        <v>216.59039999999987</v>
      </c>
      <c r="BF198" s="13">
        <f t="shared" si="167"/>
        <v>53.373153688190904</v>
      </c>
      <c r="BG198" s="20">
        <f t="shared" si="168"/>
        <v>470.18652267359886</v>
      </c>
      <c r="BH198" s="59">
        <f t="shared" si="194"/>
        <v>760.73583731864801</v>
      </c>
      <c r="BI198" s="59">
        <f ca="1">AVERAGE(OFFSET($BH$3,0,0,'Données projet'!$E$11+1,1))-AVERAGE(OFFSET($H$3,0,0,'Données projet'!$E$11+1,1))</f>
        <v>326.2912419133811</v>
      </c>
      <c r="BJ198" s="59">
        <f t="shared" si="206"/>
        <v>315.07976787459938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4.5361979606455884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4.5361979606455884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243</v>
      </c>
      <c r="BZ198" s="13">
        <f>BY198*VLOOKUP('Données projet'!$B$12,Paramètres!$A$1:$I$89,3,0)*VLOOKUP('Données projet'!$B$12,Paramètres!$A$1:$I$89,5,0)</f>
        <v>155.4228</v>
      </c>
      <c r="CA198" s="13">
        <f t="shared" si="170"/>
        <v>39.808377687614154</v>
      </c>
      <c r="CB198" s="20">
        <f t="shared" si="171"/>
        <v>340.02763447259463</v>
      </c>
      <c r="CC198" s="59">
        <f t="shared" si="195"/>
        <v>630.57694911764384</v>
      </c>
      <c r="CD198" s="59">
        <f ca="1">AVERAGE(OFFSET($CC$3,0,0,'Données projet'!$E$12+1,1))-AVERAGE(OFFSET($H$3,0,0,'Données projet'!$E$12+1,1))</f>
        <v>297.03992602744393</v>
      </c>
      <c r="CE198" s="59">
        <f t="shared" si="207"/>
        <v>265.2588848922893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6.2629321252419814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6.2629321252419814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367.99999999999972</v>
      </c>
      <c r="CU198" s="17">
        <f>CT198*VLOOKUP('Données projet'!$B$13,Paramètres!$A$1:$I$89,3,0)*VLOOKUP('Données projet'!$B$13,Paramètres!$A$1:$I$89,5,0)</f>
        <v>292.78079999999977</v>
      </c>
      <c r="CV198" s="13">
        <f t="shared" si="173"/>
        <v>69.660903052386217</v>
      </c>
      <c r="CW198" s="20">
        <f t="shared" si="174"/>
        <v>631.25263281623893</v>
      </c>
      <c r="CX198" s="59">
        <f t="shared" si="196"/>
        <v>921.80194746128814</v>
      </c>
      <c r="CY198" s="59">
        <f ca="1">AVERAGE(OFFSET($CX$3,0,0,'Données projet'!$E$13+1,1))-AVERAGE(OFFSET($H$3,0,0,'Données projet'!$E$13+1,1))</f>
        <v>427.42918901489531</v>
      </c>
      <c r="CZ198" s="59">
        <f t="shared" si="208"/>
        <v>410.68601510655412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6.3199342493294006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6.3199342493294006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19.8100000000004</v>
      </c>
      <c r="DP198" s="17">
        <f>DO198*VLOOKUP('Données projet'!$B$14,Paramètres!$A$1:$I$89,3,0)*VLOOKUP('Données projet'!$B$14,Paramètres!$A$1:$I$89,5,0)</f>
        <v>19.160232000000388</v>
      </c>
      <c r="DQ198" s="13">
        <f t="shared" si="176"/>
        <v>6.2615431735370342</v>
      </c>
      <c r="DR198" s="20">
        <f t="shared" si="177"/>
        <v>44.27625842724435</v>
      </c>
      <c r="DS198" s="59">
        <f t="shared" si="197"/>
        <v>334.82557307229354</v>
      </c>
      <c r="DT198" s="59">
        <f ca="1">AVERAGE(OFFSET($DS$3,0,0,'Données projet'!$E$14+1,1))-AVERAGE(OFFSET($H$3,0,0,'Données projet'!$E$14+1,1))</f>
        <v>598.03945725240396</v>
      </c>
      <c r="DU198" s="59">
        <f t="shared" si="209"/>
        <v>313.9014686755695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83.390870880305542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83.390870880305542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19.8100000000004</v>
      </c>
      <c r="EK198" s="17">
        <f>EJ198*VLOOKUP('Données projet'!$B$15,Paramètres!$A$1:$I$89,3,0)*VLOOKUP('Données projet'!$B$15,Paramètres!$A$1:$I$89,5,0)</f>
        <v>13.288548000000269</v>
      </c>
      <c r="EL198" s="13">
        <f t="shared" si="179"/>
        <v>4.531654695205642</v>
      </c>
      <c r="EM198" s="20">
        <f t="shared" si="180"/>
        <v>31.036853027483627</v>
      </c>
      <c r="EN198" s="59">
        <f t="shared" si="198"/>
        <v>321.58616767253284</v>
      </c>
      <c r="EO198" s="59">
        <f ca="1">AVERAGE(OFFSET($EN$3,0,0,'Données projet'!$E$15+1,1))-AVERAGE(OFFSET($H$3,0,0,'Données projet'!$E$15+1,1))</f>
        <v>438.27475674276604</v>
      </c>
      <c r="EP198" s="59">
        <f t="shared" si="210"/>
        <v>235.97720136798864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71.285744462196647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71.285744462196647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5.2499999999990337</v>
      </c>
      <c r="FF198" s="17">
        <f>FE198*VLOOKUP('Données projet'!$B$16,Paramètres!$A$1:$I$89,3,0)*VLOOKUP('Données projet'!$B$16,Paramètres!$A$1:$I$89,5,0)</f>
        <v>2.4569999999995478</v>
      </c>
      <c r="FG198" s="13">
        <f t="shared" si="182"/>
        <v>1.0197977774625564</v>
      </c>
      <c r="FH198" s="20">
        <f t="shared" si="183"/>
        <v>6.0554227957464972</v>
      </c>
      <c r="FI198" s="59">
        <f t="shared" si="199"/>
        <v>296.6047374407957</v>
      </c>
      <c r="FJ198" s="59">
        <f ca="1">AVERAGE(OFFSET($FI$3,0,0,'Données projet'!$E$16+1,1))-AVERAGE(OFFSET($H$3,0,0,'Données projet'!$E$16+1,1))</f>
        <v>329.49463758169588</v>
      </c>
      <c r="FK198" s="59">
        <f t="shared" si="211"/>
        <v>207.1447698203379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44.231775382869245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44.231775382869245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763.00000000000057</v>
      </c>
      <c r="GA198" s="17">
        <f>FZ198*VLOOKUP('Données projet'!$B$17,Paramètres!$A$1:$I$89,3,0)*VLOOKUP('Données projet'!$B$17,Paramètres!$A$1:$I$89,5,0)</f>
        <v>456.2740000000004</v>
      </c>
      <c r="GB198" s="13">
        <f t="shared" si="185"/>
        <v>103.09649786611838</v>
      </c>
      <c r="GC198" s="20">
        <f t="shared" si="186"/>
        <v>974.23695045015677</v>
      </c>
      <c r="GD198" s="59">
        <f t="shared" si="200"/>
        <v>1264.7862650952061</v>
      </c>
      <c r="GE198" s="59">
        <f ca="1">AVERAGE(OFFSET($GD$3,0,0,'Données projet'!$E$17+1,1))-AVERAGE(OFFSET($H$3,0,0,'Données projet'!$E$17+1,1))</f>
        <v>577.07444926285291</v>
      </c>
      <c r="GF198" s="59">
        <f t="shared" si="212"/>
        <v>501.3762209070419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10.912686240875157</v>
      </c>
      <c r="GM198" s="21">
        <f>EXP(-LN(2)/25)*GM197+(1-EXP(-LN(2)/25))/(LN(2)/25)*Calculateur!GH198*Calculateur!GJ198*VLOOKUP('Données projet'!$B$17,Paramètres!$A$1:$I$89,3,0)*0.475*44/12</f>
        <v>0.67440640297957222</v>
      </c>
      <c r="GN198" s="21">
        <f>EXP(-LN(2)/2)*GN197+(1-EXP(-LN(2)/2))/(LN(2)/2)*GH198*GK198*VLOOKUP('Données projet'!$B$17,Paramètres!$A$1:$I$89,3,0)*0.475*44/12</f>
        <v>1.148567195592548E-26</v>
      </c>
      <c r="GO198" s="21">
        <f t="shared" si="187"/>
        <v>11.58709264385473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69.240722175922514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-5.6843418860808015E-14</v>
      </c>
      <c r="GV198" s="17">
        <f>GU198*VLOOKUP('Données projet'!$B$18,Paramètres!$A$1:$I$89,3,0)*VLOOKUP('Données projet'!$B$18,Paramètres!$A$1:$I$89,5,0)</f>
        <v>-3.0061073630349716E-14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212.75657290802619</v>
      </c>
      <c r="HA198" s="59">
        <f t="shared" si="213"/>
        <v>411.47446316045978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2.9282775519626525</v>
      </c>
      <c r="HH198" s="21">
        <f>EXP(-LN(2)/25)*HH197+(1-EXP(-LN(2)/25))/(LN(2)/25)*Calculateur!HC198*Calculateur!HE198*VLOOKUP('Données projet'!$B$18,Paramètres!$A$1:$I$89,3,0)*0.475*44/12</f>
        <v>0.20527158207920287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3.1335491340418553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4.60745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16.893983333333335</v>
      </c>
      <c r="H199" s="66">
        <f t="shared" si="192"/>
        <v>189.09073333333333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332.09684135101253</v>
      </c>
      <c r="S199" s="59">
        <f ca="1">AVERAGE(OFFSET($R$3,0,0,'Données projet'!$E$9+1,1))-AVERAGE(OFFSET($H$3,0,0,'Données projet'!$E$9+1,1))</f>
        <v>564.49981446852132</v>
      </c>
      <c r="T199" s="59">
        <f t="shared" si="204"/>
        <v>297.54722913785406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19.8100000000004</v>
      </c>
      <c r="AJ199" s="13">
        <f>AI199*VLOOKUP('Données projet'!$B$10,Paramètres!$A$1:$I$89,3,0)*VLOOKUP('Données projet'!$B$10,Paramètres!$A$1:$I$89,5,0)</f>
        <v>20.08734000000041</v>
      </c>
      <c r="AK199" s="13">
        <f t="shared" si="164"/>
        <v>6.5285137703520215</v>
      </c>
      <c r="AL199" s="20">
        <f t="shared" si="165"/>
        <v>46.355945316697152</v>
      </c>
      <c r="AM199" s="59">
        <f t="shared" si="193"/>
        <v>336.95355646185476</v>
      </c>
      <c r="AN199" s="59">
        <f ca="1">AVERAGE(OFFSET($AM$3,0,0,'Données projet'!$E$10+1,1))-AVERAGE(OFFSET($H$3,0,0,'Données projet'!$E$10+1,1))</f>
        <v>623.16549611107564</v>
      </c>
      <c r="AO199" s="59">
        <f t="shared" si="205"/>
        <v>326.15178903425885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85.711544189900948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85.711544189900948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266.99999999999983</v>
      </c>
      <c r="BE199" s="13">
        <f>BD199*VLOOKUP('Données projet'!$B$11,Paramètres!$A$1:$I$89,3,0)*VLOOKUP('Données projet'!$B$11,Paramètres!$A$1:$I$89,5,0)</f>
        <v>216.59039999999987</v>
      </c>
      <c r="BF199" s="13">
        <f t="shared" si="167"/>
        <v>53.373153688190904</v>
      </c>
      <c r="BG199" s="20">
        <f t="shared" si="168"/>
        <v>470.18652267359886</v>
      </c>
      <c r="BH199" s="59">
        <f t="shared" si="194"/>
        <v>760.78413381875646</v>
      </c>
      <c r="BI199" s="59">
        <f ca="1">AVERAGE(OFFSET($BH$3,0,0,'Données projet'!$E$11+1,1))-AVERAGE(OFFSET($H$3,0,0,'Données projet'!$E$11+1,1))</f>
        <v>326.2912419133811</v>
      </c>
      <c r="BJ199" s="59">
        <f t="shared" si="206"/>
        <v>315.07976787459938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4.4472458854448851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4.4472458854448851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243</v>
      </c>
      <c r="BZ199" s="13">
        <f>BY199*VLOOKUP('Données projet'!$B$12,Paramètres!$A$1:$I$89,3,0)*VLOOKUP('Données projet'!$B$12,Paramètres!$A$1:$I$89,5,0)</f>
        <v>155.4228</v>
      </c>
      <c r="CA199" s="13">
        <f t="shared" si="170"/>
        <v>39.808377687614154</v>
      </c>
      <c r="CB199" s="20">
        <f t="shared" si="171"/>
        <v>340.02763447259463</v>
      </c>
      <c r="CC199" s="59">
        <f t="shared" si="195"/>
        <v>630.62524561775217</v>
      </c>
      <c r="CD199" s="59">
        <f ca="1">AVERAGE(OFFSET($CC$3,0,0,'Données projet'!$E$12+1,1))-AVERAGE(OFFSET($H$3,0,0,'Données projet'!$E$12+1,1))</f>
        <v>297.03992602744393</v>
      </c>
      <c r="CE199" s="59">
        <f t="shared" si="207"/>
        <v>265.2588848922893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6.140119846277388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6.140119846277388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367.99999999999972</v>
      </c>
      <c r="CU199" s="17">
        <f>CT199*VLOOKUP('Données projet'!$B$13,Paramètres!$A$1:$I$89,3,0)*VLOOKUP('Données projet'!$B$13,Paramètres!$A$1:$I$89,5,0)</f>
        <v>292.78079999999977</v>
      </c>
      <c r="CV199" s="13">
        <f t="shared" si="173"/>
        <v>69.660903052386217</v>
      </c>
      <c r="CW199" s="20">
        <f t="shared" si="174"/>
        <v>631.25263281623893</v>
      </c>
      <c r="CX199" s="59">
        <f t="shared" si="196"/>
        <v>921.85024396139647</v>
      </c>
      <c r="CY199" s="59">
        <f ca="1">AVERAGE(OFFSET($CX$3,0,0,'Données projet'!$E$13+1,1))-AVERAGE(OFFSET($H$3,0,0,'Données projet'!$E$13+1,1))</f>
        <v>427.42918901489531</v>
      </c>
      <c r="CZ199" s="59">
        <f t="shared" si="208"/>
        <v>410.68601510655412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6.1960041934793155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6.1960041934793155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19.8100000000004</v>
      </c>
      <c r="DP199" s="17">
        <f>DO199*VLOOKUP('Données projet'!$B$14,Paramètres!$A$1:$I$89,3,0)*VLOOKUP('Données projet'!$B$14,Paramètres!$A$1:$I$89,5,0)</f>
        <v>19.160232000000388</v>
      </c>
      <c r="DQ199" s="13">
        <f t="shared" si="176"/>
        <v>6.2615431735370342</v>
      </c>
      <c r="DR199" s="20">
        <f t="shared" si="177"/>
        <v>44.27625842724435</v>
      </c>
      <c r="DS199" s="59">
        <f t="shared" si="197"/>
        <v>334.87386957240193</v>
      </c>
      <c r="DT199" s="59">
        <f ca="1">AVERAGE(OFFSET($DS$3,0,0,'Données projet'!$E$14+1,1))-AVERAGE(OFFSET($H$3,0,0,'Données projet'!$E$14+1,1))</f>
        <v>598.03945725240396</v>
      </c>
      <c r="DU199" s="59">
        <f t="shared" si="209"/>
        <v>313.9014686755695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81.755626765751643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81.755626765751643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19.8100000000004</v>
      </c>
      <c r="EK199" s="17">
        <f>EJ199*VLOOKUP('Données projet'!$B$15,Paramètres!$A$1:$I$89,3,0)*VLOOKUP('Données projet'!$B$15,Paramètres!$A$1:$I$89,5,0)</f>
        <v>13.288548000000269</v>
      </c>
      <c r="EL199" s="13">
        <f t="shared" si="179"/>
        <v>4.531654695205642</v>
      </c>
      <c r="EM199" s="20">
        <f t="shared" si="180"/>
        <v>31.036853027483627</v>
      </c>
      <c r="EN199" s="59">
        <f t="shared" si="198"/>
        <v>321.63446417264123</v>
      </c>
      <c r="EO199" s="59">
        <f ca="1">AVERAGE(OFFSET($EN$3,0,0,'Données projet'!$E$15+1,1))-AVERAGE(OFFSET($H$3,0,0,'Données projet'!$E$15+1,1))</f>
        <v>438.27475674276604</v>
      </c>
      <c r="EP199" s="59">
        <f t="shared" si="210"/>
        <v>235.97720136798864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69.887874493303798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69.887874493303798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5.2499999999990337</v>
      </c>
      <c r="FF199" s="17">
        <f>FE199*VLOOKUP('Données projet'!$B$16,Paramètres!$A$1:$I$89,3,0)*VLOOKUP('Données projet'!$B$16,Paramètres!$A$1:$I$89,5,0)</f>
        <v>2.4569999999995478</v>
      </c>
      <c r="FG199" s="13">
        <f t="shared" si="182"/>
        <v>1.0197977774625564</v>
      </c>
      <c r="FH199" s="20">
        <f t="shared" si="183"/>
        <v>6.0554227957464972</v>
      </c>
      <c r="FI199" s="59">
        <f t="shared" si="199"/>
        <v>296.65303394090409</v>
      </c>
      <c r="FJ199" s="59">
        <f ca="1">AVERAGE(OFFSET($FI$3,0,0,'Données projet'!$E$16+1,1))-AVERAGE(OFFSET($H$3,0,0,'Données projet'!$E$16+1,1))</f>
        <v>329.49463758169588</v>
      </c>
      <c r="FK199" s="59">
        <f t="shared" si="211"/>
        <v>207.1447698203379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43.364417246330234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43.364417246330234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763.00000000000057</v>
      </c>
      <c r="GA199" s="17">
        <f>FZ199*VLOOKUP('Données projet'!$B$17,Paramètres!$A$1:$I$89,3,0)*VLOOKUP('Données projet'!$B$17,Paramètres!$A$1:$I$89,5,0)</f>
        <v>456.2740000000004</v>
      </c>
      <c r="GB199" s="13">
        <f t="shared" si="185"/>
        <v>103.09649786611838</v>
      </c>
      <c r="GC199" s="20">
        <f t="shared" si="186"/>
        <v>974.23695045015677</v>
      </c>
      <c r="GD199" s="59">
        <f t="shared" si="200"/>
        <v>1264.8345615953144</v>
      </c>
      <c r="GE199" s="59">
        <f ca="1">AVERAGE(OFFSET($GD$3,0,0,'Données projet'!$E$17+1,1))-AVERAGE(OFFSET($H$3,0,0,'Données projet'!$E$17+1,1))</f>
        <v>577.07444926285291</v>
      </c>
      <c r="GF199" s="59">
        <f t="shared" si="212"/>
        <v>501.3762209070419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10.698695119772969</v>
      </c>
      <c r="GM199" s="21">
        <f>EXP(-LN(2)/25)*GM198+(1-EXP(-LN(2)/25))/(LN(2)/25)*Calculateur!GH199*Calculateur!GJ199*VLOOKUP('Données projet'!$B$17,Paramètres!$A$1:$I$89,3,0)*0.475*44/12</f>
        <v>0.65596472442460441</v>
      </c>
      <c r="GN199" s="21">
        <f>EXP(-LN(2)/2)*GN198+(1-EXP(-LN(2)/2))/(LN(2)/2)*GH199*GK199*VLOOKUP('Données projet'!$B$17,Paramètres!$A$1:$I$89,3,0)*0.475*44/12</f>
        <v>8.1215965265190635E-27</v>
      </c>
      <c r="GO199" s="21">
        <f t="shared" si="187"/>
        <v>11.354659844197574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69.253893948679348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-5.6843418860808015E-14</v>
      </c>
      <c r="GV199" s="17">
        <f>GU199*VLOOKUP('Données projet'!$B$18,Paramètres!$A$1:$I$89,3,0)*VLOOKUP('Données projet'!$B$18,Paramètres!$A$1:$I$89,5,0)</f>
        <v>-3.0061073630349716E-14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212.75657290802619</v>
      </c>
      <c r="HA199" s="59">
        <f t="shared" si="213"/>
        <v>411.47446316045978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2.8708558152416117</v>
      </c>
      <c r="HH199" s="21">
        <f>EXP(-LN(2)/25)*HH198+(1-EXP(-LN(2)/25))/(LN(2)/25)*Calculateur!HC199*Calculateur!HE199*VLOOKUP('Données projet'!$B$18,Paramètres!$A$1:$I$89,3,0)*0.475*44/12</f>
        <v>0.19965841987248373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3.0705142351140955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4.60745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16.893983333333335</v>
      </c>
      <c r="H200" s="66">
        <f t="shared" si="192"/>
        <v>189.09073333333333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332.14430001481884</v>
      </c>
      <c r="S200" s="59">
        <f ca="1">AVERAGE(OFFSET($R$3,0,0,'Données projet'!$E$9+1,1))-AVERAGE(OFFSET($H$3,0,0,'Données projet'!$E$9+1,1))</f>
        <v>564.49981446852132</v>
      </c>
      <c r="T200" s="59">
        <f t="shared" si="204"/>
        <v>297.54722913785406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19.8100000000004</v>
      </c>
      <c r="AJ200" s="13">
        <f>AI200*VLOOKUP('Données projet'!$B$10,Paramètres!$A$1:$I$89,3,0)*VLOOKUP('Données projet'!$B$10,Paramètres!$A$1:$I$89,5,0)</f>
        <v>20.08734000000041</v>
      </c>
      <c r="AK200" s="13">
        <f t="shared" si="164"/>
        <v>6.5285137703520215</v>
      </c>
      <c r="AL200" s="20">
        <f t="shared" si="165"/>
        <v>46.355945316697152</v>
      </c>
      <c r="AM200" s="59">
        <f t="shared" si="193"/>
        <v>337.00101512566107</v>
      </c>
      <c r="AN200" s="59">
        <f ca="1">AVERAGE(OFFSET($AM$3,0,0,'Données projet'!$E$10+1,1))-AVERAGE(OFFSET($H$3,0,0,'Données projet'!$E$10+1,1))</f>
        <v>623.16549611107564</v>
      </c>
      <c r="AO200" s="59">
        <f t="shared" si="205"/>
        <v>326.15178903425885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84.030793087216836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84.030793087216836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266.99999999999983</v>
      </c>
      <c r="BE200" s="13">
        <f>BD200*VLOOKUP('Données projet'!$B$11,Paramètres!$A$1:$I$89,3,0)*VLOOKUP('Données projet'!$B$11,Paramètres!$A$1:$I$89,5,0)</f>
        <v>216.59039999999987</v>
      </c>
      <c r="BF200" s="13">
        <f t="shared" si="167"/>
        <v>53.373153688190904</v>
      </c>
      <c r="BG200" s="20">
        <f t="shared" si="168"/>
        <v>470.18652267359886</v>
      </c>
      <c r="BH200" s="59">
        <f t="shared" si="194"/>
        <v>760.83159248256277</v>
      </c>
      <c r="BI200" s="59">
        <f ca="1">AVERAGE(OFFSET($BH$3,0,0,'Données projet'!$E$11+1,1))-AVERAGE(OFFSET($H$3,0,0,'Données projet'!$E$11+1,1))</f>
        <v>326.2912419133811</v>
      </c>
      <c r="BJ200" s="59">
        <f t="shared" si="206"/>
        <v>315.07976787459938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4.3600381061834588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4.3600381061834588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243</v>
      </c>
      <c r="BZ200" s="13">
        <f>BY200*VLOOKUP('Données projet'!$B$12,Paramètres!$A$1:$I$89,3,0)*VLOOKUP('Données projet'!$B$12,Paramètres!$A$1:$I$89,5,0)</f>
        <v>155.4228</v>
      </c>
      <c r="CA200" s="13">
        <f t="shared" si="170"/>
        <v>39.808377687614154</v>
      </c>
      <c r="CB200" s="20">
        <f t="shared" si="171"/>
        <v>340.02763447259463</v>
      </c>
      <c r="CC200" s="59">
        <f t="shared" si="195"/>
        <v>630.67270428155848</v>
      </c>
      <c r="CD200" s="59">
        <f ca="1">AVERAGE(OFFSET($CC$3,0,0,'Données projet'!$E$12+1,1))-AVERAGE(OFFSET($H$3,0,0,'Données projet'!$E$12+1,1))</f>
        <v>297.03992602744393</v>
      </c>
      <c r="CE200" s="59">
        <f t="shared" si="207"/>
        <v>265.2588848922893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6.0197158411951968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6.0197158411951968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367.99999999999972</v>
      </c>
      <c r="CU200" s="17">
        <f>CT200*VLOOKUP('Données projet'!$B$13,Paramètres!$A$1:$I$89,3,0)*VLOOKUP('Données projet'!$B$13,Paramètres!$A$1:$I$89,5,0)</f>
        <v>292.78079999999977</v>
      </c>
      <c r="CV200" s="13">
        <f t="shared" si="173"/>
        <v>69.660903052386217</v>
      </c>
      <c r="CW200" s="20">
        <f t="shared" si="174"/>
        <v>631.25263281623893</v>
      </c>
      <c r="CX200" s="59">
        <f t="shared" si="196"/>
        <v>921.89770262520278</v>
      </c>
      <c r="CY200" s="59">
        <f ca="1">AVERAGE(OFFSET($CX$3,0,0,'Données projet'!$E$13+1,1))-AVERAGE(OFFSET($H$3,0,0,'Données projet'!$E$13+1,1))</f>
        <v>427.42918901489531</v>
      </c>
      <c r="CZ200" s="59">
        <f t="shared" si="208"/>
        <v>410.68601510655412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6.0745043304345803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6.0745043304345803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19.8100000000004</v>
      </c>
      <c r="DP200" s="17">
        <f>DO200*VLOOKUP('Données projet'!$B$14,Paramètres!$A$1:$I$89,3,0)*VLOOKUP('Données projet'!$B$14,Paramètres!$A$1:$I$89,5,0)</f>
        <v>19.160232000000388</v>
      </c>
      <c r="DQ200" s="13">
        <f t="shared" si="176"/>
        <v>6.2615431735370342</v>
      </c>
      <c r="DR200" s="20">
        <f t="shared" si="177"/>
        <v>44.27625842724435</v>
      </c>
      <c r="DS200" s="59">
        <f t="shared" si="197"/>
        <v>334.92132823620824</v>
      </c>
      <c r="DT200" s="59">
        <f ca="1">AVERAGE(OFFSET($DS$3,0,0,'Données projet'!$E$14+1,1))-AVERAGE(OFFSET($H$3,0,0,'Données projet'!$E$14+1,1))</f>
        <v>598.03945725240396</v>
      </c>
      <c r="DU200" s="59">
        <f t="shared" si="209"/>
        <v>313.9014686755695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80.152448790883724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80.152448790883724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19.8100000000004</v>
      </c>
      <c r="EK200" s="17">
        <f>EJ200*VLOOKUP('Données projet'!$B$15,Paramètres!$A$1:$I$89,3,0)*VLOOKUP('Données projet'!$B$15,Paramètres!$A$1:$I$89,5,0)</f>
        <v>13.288548000000269</v>
      </c>
      <c r="EL200" s="13">
        <f t="shared" si="179"/>
        <v>4.531654695205642</v>
      </c>
      <c r="EM200" s="20">
        <f t="shared" si="180"/>
        <v>31.036853027483627</v>
      </c>
      <c r="EN200" s="59">
        <f t="shared" si="198"/>
        <v>321.68192283644754</v>
      </c>
      <c r="EO200" s="59">
        <f ca="1">AVERAGE(OFFSET($EN$3,0,0,'Données projet'!$E$15+1,1))-AVERAGE(OFFSET($H$3,0,0,'Données projet'!$E$15+1,1))</f>
        <v>438.27475674276604</v>
      </c>
      <c r="EP200" s="59">
        <f t="shared" si="210"/>
        <v>235.97720136798864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68.517415901884448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68.517415901884448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5.2499999999990337</v>
      </c>
      <c r="FF200" s="17">
        <f>FE200*VLOOKUP('Données projet'!$B$16,Paramètres!$A$1:$I$89,3,0)*VLOOKUP('Données projet'!$B$16,Paramètres!$A$1:$I$89,5,0)</f>
        <v>2.4569999999995478</v>
      </c>
      <c r="FG200" s="13">
        <f t="shared" si="182"/>
        <v>1.0197977774625564</v>
      </c>
      <c r="FH200" s="20">
        <f t="shared" si="183"/>
        <v>6.0554227957464972</v>
      </c>
      <c r="FI200" s="59">
        <f t="shared" si="199"/>
        <v>296.7004926047104</v>
      </c>
      <c r="FJ200" s="59">
        <f ca="1">AVERAGE(OFFSET($FI$3,0,0,'Données projet'!$E$16+1,1))-AVERAGE(OFFSET($H$3,0,0,'Données projet'!$E$16+1,1))</f>
        <v>329.49463758169588</v>
      </c>
      <c r="FK200" s="59">
        <f t="shared" si="211"/>
        <v>207.1447698203379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42.514067473812531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42.514067473812531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763.00000000000057</v>
      </c>
      <c r="GA200" s="17">
        <f>FZ200*VLOOKUP('Données projet'!$B$17,Paramètres!$A$1:$I$89,3,0)*VLOOKUP('Données projet'!$B$17,Paramètres!$A$1:$I$89,5,0)</f>
        <v>456.2740000000004</v>
      </c>
      <c r="GB200" s="13">
        <f t="shared" si="185"/>
        <v>103.09649786611838</v>
      </c>
      <c r="GC200" s="20">
        <f t="shared" si="186"/>
        <v>974.23695045015677</v>
      </c>
      <c r="GD200" s="59">
        <f t="shared" si="200"/>
        <v>1264.8820202591207</v>
      </c>
      <c r="GE200" s="59">
        <f ca="1">AVERAGE(OFFSET($GD$3,0,0,'Données projet'!$E$17+1,1))-AVERAGE(OFFSET($H$3,0,0,'Données projet'!$E$17+1,1))</f>
        <v>577.07444926285291</v>
      </c>
      <c r="GF200" s="59">
        <f t="shared" si="212"/>
        <v>501.3762209070419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10.488900234033899</v>
      </c>
      <c r="GM200" s="21">
        <f>EXP(-LN(2)/25)*GM199+(1-EXP(-LN(2)/25))/(LN(2)/25)*Calculateur!GH200*Calculateur!GJ200*VLOOKUP('Données projet'!$B$17,Paramètres!$A$1:$I$89,3,0)*0.475*44/12</f>
        <v>0.63802733453952798</v>
      </c>
      <c r="GN200" s="21">
        <f>EXP(-LN(2)/2)*GN199+(1-EXP(-LN(2)/2))/(LN(2)/2)*GH200*GK200*VLOOKUP('Données projet'!$B$17,Paramètres!$A$1:$I$89,3,0)*0.475*44/12</f>
        <v>5.7428359779627399E-27</v>
      </c>
      <c r="GO200" s="21">
        <f t="shared" si="187"/>
        <v>11.126927568573427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69.266837220626513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-5.6843418860808015E-14</v>
      </c>
      <c r="GV200" s="17">
        <f>GU200*VLOOKUP('Données projet'!$B$18,Paramètres!$A$1:$I$89,3,0)*VLOOKUP('Données projet'!$B$18,Paramètres!$A$1:$I$89,5,0)</f>
        <v>-3.0061073630349716E-14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212.75657290802619</v>
      </c>
      <c r="HA200" s="59">
        <f t="shared" si="213"/>
        <v>411.47446316045978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2.8145600837538693</v>
      </c>
      <c r="HH200" s="21">
        <f>EXP(-LN(2)/25)*HH199+(1-EXP(-LN(2)/25))/(LN(2)/25)*Calculateur!HC200*Calculateur!HE200*VLOOKUP('Données projet'!$B$18,Paramètres!$A$1:$I$89,3,0)*0.475*44/12</f>
        <v>0.19419874988149069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3.0087588336353601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4.60745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16.893983333333335</v>
      </c>
      <c r="H201" s="66">
        <f t="shared" si="192"/>
        <v>189.09073333333333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332.19093537690981</v>
      </c>
      <c r="S201" s="59">
        <f ca="1">AVERAGE(OFFSET($R$3,0,0,'Données projet'!$E$9+1,1))-AVERAGE(OFFSET($H$3,0,0,'Données projet'!$E$9+1,1))</f>
        <v>564.49981446852132</v>
      </c>
      <c r="T201" s="59">
        <f t="shared" si="204"/>
        <v>297.54722913785406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19.8100000000004</v>
      </c>
      <c r="AJ201" s="13">
        <f>AI201*VLOOKUP('Données projet'!$B$10,Paramètres!$A$1:$I$89,3,0)*VLOOKUP('Données projet'!$B$10,Paramètres!$A$1:$I$89,5,0)</f>
        <v>20.08734000000041</v>
      </c>
      <c r="AK201" s="13">
        <f t="shared" si="164"/>
        <v>6.5285137703520215</v>
      </c>
      <c r="AL201" s="20">
        <f t="shared" si="165"/>
        <v>46.355945316697152</v>
      </c>
      <c r="AM201" s="59">
        <f t="shared" si="193"/>
        <v>337.04765048775204</v>
      </c>
      <c r="AN201" s="59">
        <f ca="1">AVERAGE(OFFSET($AM$3,0,0,'Données projet'!$E$10+1,1))-AVERAGE(OFFSET($H$3,0,0,'Données projet'!$E$10+1,1))</f>
        <v>623.16549611107564</v>
      </c>
      <c r="AO201" s="59">
        <f t="shared" si="205"/>
        <v>326.15178903425885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82.383000488499405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82.383000488499405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266.99999999999983</v>
      </c>
      <c r="BE201" s="13">
        <f>BD201*VLOOKUP('Données projet'!$B$11,Paramètres!$A$1:$I$89,3,0)*VLOOKUP('Données projet'!$B$11,Paramètres!$A$1:$I$89,5,0)</f>
        <v>216.59039999999987</v>
      </c>
      <c r="BF201" s="13">
        <f t="shared" si="167"/>
        <v>53.373153688190904</v>
      </c>
      <c r="BG201" s="20">
        <f t="shared" si="168"/>
        <v>470.18652267359886</v>
      </c>
      <c r="BH201" s="59">
        <f t="shared" si="194"/>
        <v>760.87822784465379</v>
      </c>
      <c r="BI201" s="59">
        <f ca="1">AVERAGE(OFFSET($BH$3,0,0,'Données projet'!$E$11+1,1))-AVERAGE(OFFSET($H$3,0,0,'Données projet'!$E$11+1,1))</f>
        <v>326.2912419133811</v>
      </c>
      <c r="BJ201" s="59">
        <f t="shared" si="206"/>
        <v>315.07976787459938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4.2745404182818563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4.2745404182818563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243</v>
      </c>
      <c r="BZ201" s="13">
        <f>BY201*VLOOKUP('Données projet'!$B$12,Paramètres!$A$1:$I$89,3,0)*VLOOKUP('Données projet'!$B$12,Paramètres!$A$1:$I$89,5,0)</f>
        <v>155.4228</v>
      </c>
      <c r="CA201" s="13">
        <f t="shared" si="170"/>
        <v>39.808377687614154</v>
      </c>
      <c r="CB201" s="20">
        <f t="shared" si="171"/>
        <v>340.02763447259463</v>
      </c>
      <c r="CC201" s="59">
        <f t="shared" si="195"/>
        <v>630.7193396436495</v>
      </c>
      <c r="CD201" s="59">
        <f ca="1">AVERAGE(OFFSET($CC$3,0,0,'Données projet'!$E$12+1,1))-AVERAGE(OFFSET($H$3,0,0,'Données projet'!$E$12+1,1))</f>
        <v>297.03992602744393</v>
      </c>
      <c r="CE201" s="59">
        <f t="shared" si="207"/>
        <v>265.2588848922893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5.9016728852134754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5.9016728852134754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367.99999999999972</v>
      </c>
      <c r="CU201" s="17">
        <f>CT201*VLOOKUP('Données projet'!$B$13,Paramètres!$A$1:$I$89,3,0)*VLOOKUP('Données projet'!$B$13,Paramètres!$A$1:$I$89,5,0)</f>
        <v>292.78079999999977</v>
      </c>
      <c r="CV201" s="13">
        <f t="shared" si="173"/>
        <v>69.660903052386217</v>
      </c>
      <c r="CW201" s="20">
        <f t="shared" si="174"/>
        <v>631.25263281623893</v>
      </c>
      <c r="CX201" s="59">
        <f t="shared" si="196"/>
        <v>921.94433798729381</v>
      </c>
      <c r="CY201" s="59">
        <f ca="1">AVERAGE(OFFSET($CX$3,0,0,'Données projet'!$E$13+1,1))-AVERAGE(OFFSET($H$3,0,0,'Données projet'!$E$13+1,1))</f>
        <v>427.42918901489531</v>
      </c>
      <c r="CZ201" s="59">
        <f t="shared" si="208"/>
        <v>410.68601510655412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5.9553870055965534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5.9553870055965534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19.8100000000004</v>
      </c>
      <c r="DP201" s="17">
        <f>DO201*VLOOKUP('Données projet'!$B$14,Paramètres!$A$1:$I$89,3,0)*VLOOKUP('Données projet'!$B$14,Paramètres!$A$1:$I$89,5,0)</f>
        <v>19.160232000000388</v>
      </c>
      <c r="DQ201" s="13">
        <f t="shared" si="176"/>
        <v>6.2615431735370342</v>
      </c>
      <c r="DR201" s="20">
        <f t="shared" si="177"/>
        <v>44.27625842724435</v>
      </c>
      <c r="DS201" s="59">
        <f t="shared" si="197"/>
        <v>334.96796359829921</v>
      </c>
      <c r="DT201" s="59">
        <f ca="1">AVERAGE(OFFSET($DS$3,0,0,'Données projet'!$E$14+1,1))-AVERAGE(OFFSET($H$3,0,0,'Données projet'!$E$14+1,1))</f>
        <v>598.03945725240396</v>
      </c>
      <c r="DU201" s="59">
        <f t="shared" si="209"/>
        <v>313.9014686755695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78.580708158260947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78.580708158260947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19.8100000000004</v>
      </c>
      <c r="EK201" s="17">
        <f>EJ201*VLOOKUP('Données projet'!$B$15,Paramètres!$A$1:$I$89,3,0)*VLOOKUP('Données projet'!$B$15,Paramètres!$A$1:$I$89,5,0)</f>
        <v>13.288548000000269</v>
      </c>
      <c r="EL201" s="13">
        <f t="shared" si="179"/>
        <v>4.531654695205642</v>
      </c>
      <c r="EM201" s="20">
        <f t="shared" si="180"/>
        <v>31.036853027483627</v>
      </c>
      <c r="EN201" s="59">
        <f t="shared" si="198"/>
        <v>321.72855819853851</v>
      </c>
      <c r="EO201" s="59">
        <f ca="1">AVERAGE(OFFSET($EN$3,0,0,'Données projet'!$E$15+1,1))-AVERAGE(OFFSET($H$3,0,0,'Données projet'!$E$15+1,1))</f>
        <v>438.27475674276604</v>
      </c>
      <c r="EP201" s="59">
        <f t="shared" si="210"/>
        <v>235.97720136798864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67.173831167545629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67.173831167545629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5.2499999999990337</v>
      </c>
      <c r="FF201" s="17">
        <f>FE201*VLOOKUP('Données projet'!$B$16,Paramètres!$A$1:$I$89,3,0)*VLOOKUP('Données projet'!$B$16,Paramètres!$A$1:$I$89,5,0)</f>
        <v>2.4569999999995478</v>
      </c>
      <c r="FG201" s="13">
        <f t="shared" si="182"/>
        <v>1.0197977774625564</v>
      </c>
      <c r="FH201" s="20">
        <f t="shared" si="183"/>
        <v>6.0554227957464972</v>
      </c>
      <c r="FI201" s="59">
        <f t="shared" si="199"/>
        <v>296.74712796680137</v>
      </c>
      <c r="FJ201" s="59">
        <f ca="1">AVERAGE(OFFSET($FI$3,0,0,'Données projet'!$E$16+1,1))-AVERAGE(OFFSET($H$3,0,0,'Données projet'!$E$16+1,1))</f>
        <v>329.49463758169588</v>
      </c>
      <c r="FK201" s="59">
        <f t="shared" si="211"/>
        <v>207.1447698203379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41.68039254167175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41.68039254167175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763.00000000000057</v>
      </c>
      <c r="GA201" s="17">
        <f>FZ201*VLOOKUP('Données projet'!$B$17,Paramètres!$A$1:$I$89,3,0)*VLOOKUP('Données projet'!$B$17,Paramètres!$A$1:$I$89,5,0)</f>
        <v>456.2740000000004</v>
      </c>
      <c r="GB201" s="13">
        <f t="shared" si="185"/>
        <v>103.09649786611838</v>
      </c>
      <c r="GC201" s="20">
        <f t="shared" si="186"/>
        <v>974.23695045015677</v>
      </c>
      <c r="GD201" s="59">
        <f t="shared" si="200"/>
        <v>1264.9286556212116</v>
      </c>
      <c r="GE201" s="59">
        <f ca="1">AVERAGE(OFFSET($GD$3,0,0,'Données projet'!$E$17+1,1))-AVERAGE(OFFSET($H$3,0,0,'Données projet'!$E$17+1,1))</f>
        <v>577.07444926285291</v>
      </c>
      <c r="GF201" s="59">
        <f t="shared" si="212"/>
        <v>501.3762209070419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10.283219298041926</v>
      </c>
      <c r="GM201" s="21">
        <f>EXP(-LN(2)/25)*GM200+(1-EXP(-LN(2)/25))/(LN(2)/25)*Calculateur!GH201*Calculateur!GJ201*VLOOKUP('Données projet'!$B$17,Paramètres!$A$1:$I$89,3,0)*0.475*44/12</f>
        <v>0.62058044352414532</v>
      </c>
      <c r="GN201" s="21">
        <f>EXP(-LN(2)/2)*GN200+(1-EXP(-LN(2)/2))/(LN(2)/2)*GH201*GK201*VLOOKUP('Données projet'!$B$17,Paramètres!$A$1:$I$89,3,0)*0.475*44/12</f>
        <v>4.0607982632595317E-27</v>
      </c>
      <c r="GO201" s="21">
        <f t="shared" si="187"/>
        <v>10.903799741566072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69.279555955742239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-5.6843418860808015E-14</v>
      </c>
      <c r="GV201" s="17">
        <f>GU201*VLOOKUP('Données projet'!$B$18,Paramètres!$A$1:$I$89,3,0)*VLOOKUP('Données projet'!$B$18,Paramètres!$A$1:$I$89,5,0)</f>
        <v>-3.0061073630349716E-14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212.75657290802619</v>
      </c>
      <c r="HA201" s="59">
        <f t="shared" si="213"/>
        <v>411.47446316045978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2.7593682772235959</v>
      </c>
      <c r="HH201" s="21">
        <f>EXP(-LN(2)/25)*HH200+(1-EXP(-LN(2)/25))/(LN(2)/25)*Calculateur!HC201*Calculateur!HE201*VLOOKUP('Données projet'!$B$18,Paramètres!$A$1:$I$89,3,0)*0.475*44/12</f>
        <v>0.18888837485351292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2.948256652077109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4.60745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16.893983333333335</v>
      </c>
      <c r="H202" s="66">
        <f t="shared" si="192"/>
        <v>189.09073333333333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332.23676171972949</v>
      </c>
      <c r="S202" s="59">
        <f ca="1">AVERAGE(OFFSET($R$3,0,0,'Données projet'!$E$9+1,1))-AVERAGE(OFFSET($H$3,0,0,'Données projet'!$E$9+1,1))</f>
        <v>564.49981446852132</v>
      </c>
      <c r="T202" s="59">
        <f t="shared" si="204"/>
        <v>297.54722913785406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19.8100000000004</v>
      </c>
      <c r="AJ202" s="13">
        <f>AI202*VLOOKUP('Données projet'!$B$10,Paramètres!$A$1:$I$89,3,0)*VLOOKUP('Données projet'!$B$10,Paramètres!$A$1:$I$89,5,0)</f>
        <v>20.08734000000041</v>
      </c>
      <c r="AK202" s="13">
        <f t="shared" si="164"/>
        <v>6.5285137703520215</v>
      </c>
      <c r="AL202" s="20">
        <f t="shared" si="165"/>
        <v>46.355945316697152</v>
      </c>
      <c r="AM202" s="59">
        <f t="shared" si="193"/>
        <v>337.09347683057172</v>
      </c>
      <c r="AN202" s="59">
        <f ca="1">AVERAGE(OFFSET($AM$3,0,0,'Données projet'!$E$10+1,1))-AVERAGE(OFFSET($H$3,0,0,'Données projet'!$E$10+1,1))</f>
        <v>623.16549611107564</v>
      </c>
      <c r="AO202" s="59">
        <f t="shared" si="205"/>
        <v>326.15178903425885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80.767520097588587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80.767520097588587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266.99999999999983</v>
      </c>
      <c r="BE202" s="13">
        <f>BD202*VLOOKUP('Données projet'!$B$11,Paramètres!$A$1:$I$89,3,0)*VLOOKUP('Données projet'!$B$11,Paramètres!$A$1:$I$89,5,0)</f>
        <v>216.59039999999987</v>
      </c>
      <c r="BF202" s="13">
        <f t="shared" si="167"/>
        <v>53.373153688190904</v>
      </c>
      <c r="BG202" s="20">
        <f t="shared" si="168"/>
        <v>470.18652267359886</v>
      </c>
      <c r="BH202" s="59">
        <f t="shared" si="194"/>
        <v>760.92405418747342</v>
      </c>
      <c r="BI202" s="59">
        <f ca="1">AVERAGE(OFFSET($BH$3,0,0,'Données projet'!$E$11+1,1))-AVERAGE(OFFSET($H$3,0,0,'Données projet'!$E$11+1,1))</f>
        <v>326.2912419133811</v>
      </c>
      <c r="BJ202" s="59">
        <f t="shared" si="206"/>
        <v>315.07976787459938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4.1907192878915636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4.1907192878915636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243</v>
      </c>
      <c r="BZ202" s="13">
        <f>BY202*VLOOKUP('Données projet'!$B$12,Paramètres!$A$1:$I$89,3,0)*VLOOKUP('Données projet'!$B$12,Paramètres!$A$1:$I$89,5,0)</f>
        <v>155.4228</v>
      </c>
      <c r="CA202" s="13">
        <f t="shared" si="170"/>
        <v>39.808377687614154</v>
      </c>
      <c r="CB202" s="20">
        <f t="shared" si="171"/>
        <v>340.02763447259463</v>
      </c>
      <c r="CC202" s="59">
        <f t="shared" si="195"/>
        <v>630.76516598646913</v>
      </c>
      <c r="CD202" s="59">
        <f ca="1">AVERAGE(OFFSET($CC$3,0,0,'Données projet'!$E$12+1,1))-AVERAGE(OFFSET($H$3,0,0,'Données projet'!$E$12+1,1))</f>
        <v>297.03992602744393</v>
      </c>
      <c r="CE202" s="59">
        <f t="shared" si="207"/>
        <v>265.2588848922893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5.7859446795994618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5.7859446795994618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367.99999999999972</v>
      </c>
      <c r="CU202" s="17">
        <f>CT202*VLOOKUP('Données projet'!$B$13,Paramètres!$A$1:$I$89,3,0)*VLOOKUP('Données projet'!$B$13,Paramètres!$A$1:$I$89,5,0)</f>
        <v>292.78079999999977</v>
      </c>
      <c r="CV202" s="13">
        <f t="shared" si="173"/>
        <v>69.660903052386217</v>
      </c>
      <c r="CW202" s="20">
        <f t="shared" si="174"/>
        <v>631.25263281623893</v>
      </c>
      <c r="CX202" s="59">
        <f t="shared" si="196"/>
        <v>921.99016433011343</v>
      </c>
      <c r="CY202" s="59">
        <f ca="1">AVERAGE(OFFSET($CX$3,0,0,'Données projet'!$E$13+1,1))-AVERAGE(OFFSET($H$3,0,0,'Données projet'!$E$13+1,1))</f>
        <v>427.42918901489531</v>
      </c>
      <c r="CZ202" s="59">
        <f t="shared" si="208"/>
        <v>410.68601510655412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5.8386054988442062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5.8386054988442062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19.8100000000004</v>
      </c>
      <c r="DP202" s="17">
        <f>DO202*VLOOKUP('Données projet'!$B$14,Paramètres!$A$1:$I$89,3,0)*VLOOKUP('Données projet'!$B$14,Paramètres!$A$1:$I$89,5,0)</f>
        <v>19.160232000000388</v>
      </c>
      <c r="DQ202" s="13">
        <f t="shared" si="176"/>
        <v>6.2615431735370342</v>
      </c>
      <c r="DR202" s="20">
        <f t="shared" si="177"/>
        <v>44.27625842724435</v>
      </c>
      <c r="DS202" s="59">
        <f t="shared" si="197"/>
        <v>335.01378994111889</v>
      </c>
      <c r="DT202" s="59">
        <f ca="1">AVERAGE(OFFSET($DS$3,0,0,'Données projet'!$E$14+1,1))-AVERAGE(OFFSET($H$3,0,0,'Données projet'!$E$14+1,1))</f>
        <v>598.03945725240396</v>
      </c>
      <c r="DU202" s="59">
        <f t="shared" si="209"/>
        <v>313.9014686755695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77.039788400776786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77.039788400776786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19.8100000000004</v>
      </c>
      <c r="EK202" s="17">
        <f>EJ202*VLOOKUP('Données projet'!$B$15,Paramètres!$A$1:$I$89,3,0)*VLOOKUP('Données projet'!$B$15,Paramètres!$A$1:$I$89,5,0)</f>
        <v>13.288548000000269</v>
      </c>
      <c r="EL202" s="13">
        <f t="shared" si="179"/>
        <v>4.531654695205642</v>
      </c>
      <c r="EM202" s="20">
        <f t="shared" si="180"/>
        <v>31.036853027483627</v>
      </c>
      <c r="EN202" s="59">
        <f t="shared" si="198"/>
        <v>321.77438454135819</v>
      </c>
      <c r="EO202" s="59">
        <f ca="1">AVERAGE(OFFSET($EN$3,0,0,'Données projet'!$E$15+1,1))-AVERAGE(OFFSET($H$3,0,0,'Données projet'!$E$15+1,1))</f>
        <v>438.27475674276604</v>
      </c>
      <c r="EP202" s="59">
        <f t="shared" si="210"/>
        <v>235.97720136798864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65.856593310341424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65.856593310341424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5.2499999999990337</v>
      </c>
      <c r="FF202" s="17">
        <f>FE202*VLOOKUP('Données projet'!$B$16,Paramètres!$A$1:$I$89,3,0)*VLOOKUP('Données projet'!$B$16,Paramètres!$A$1:$I$89,5,0)</f>
        <v>2.4569999999995478</v>
      </c>
      <c r="FG202" s="13">
        <f t="shared" si="182"/>
        <v>1.0197977774625564</v>
      </c>
      <c r="FH202" s="20">
        <f t="shared" si="183"/>
        <v>6.0554227957464972</v>
      </c>
      <c r="FI202" s="59">
        <f t="shared" si="199"/>
        <v>296.79295430962105</v>
      </c>
      <c r="FJ202" s="59">
        <f ca="1">AVERAGE(OFFSET($FI$3,0,0,'Données projet'!$E$16+1,1))-AVERAGE(OFFSET($H$3,0,0,'Données projet'!$E$16+1,1))</f>
        <v>329.49463758169588</v>
      </c>
      <c r="FK202" s="59">
        <f t="shared" si="211"/>
        <v>207.1447698203379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40.86306546645875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40.86306546645875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763.00000000000057</v>
      </c>
      <c r="GA202" s="17">
        <f>FZ202*VLOOKUP('Données projet'!$B$17,Paramètres!$A$1:$I$89,3,0)*VLOOKUP('Données projet'!$B$17,Paramètres!$A$1:$I$89,5,0)</f>
        <v>456.2740000000004</v>
      </c>
      <c r="GB202" s="13">
        <f t="shared" si="185"/>
        <v>103.09649786611838</v>
      </c>
      <c r="GC202" s="20">
        <f t="shared" si="186"/>
        <v>974.23695045015677</v>
      </c>
      <c r="GD202" s="59">
        <f t="shared" si="200"/>
        <v>1264.9744819640314</v>
      </c>
      <c r="GE202" s="59">
        <f ca="1">AVERAGE(OFFSET($GD$3,0,0,'Données projet'!$E$17+1,1))-AVERAGE(OFFSET($H$3,0,0,'Données projet'!$E$17+1,1))</f>
        <v>577.07444926285291</v>
      </c>
      <c r="GF202" s="59">
        <f t="shared" si="212"/>
        <v>501.3762209070419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10.081571639751774</v>
      </c>
      <c r="GM202" s="21">
        <f>EXP(-LN(2)/25)*GM201+(1-EXP(-LN(2)/25))/(LN(2)/25)*Calculateur!GH202*Calculateur!GJ202*VLOOKUP('Données projet'!$B$17,Paramètres!$A$1:$I$89,3,0)*0.475*44/12</f>
        <v>0.60361063866107034</v>
      </c>
      <c r="GN202" s="21">
        <f>EXP(-LN(2)/2)*GN201+(1-EXP(-LN(2)/2))/(LN(2)/2)*GH202*GK202*VLOOKUP('Données projet'!$B$17,Paramètres!$A$1:$I$89,3,0)*0.475*44/12</f>
        <v>2.87141798898137E-27</v>
      </c>
      <c r="GO202" s="21">
        <f t="shared" si="187"/>
        <v>10.685182278412844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69.292054049238516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-5.6843418860808015E-14</v>
      </c>
      <c r="GV202" s="17">
        <f>GU202*VLOOKUP('Données projet'!$B$18,Paramètres!$A$1:$I$89,3,0)*VLOOKUP('Données projet'!$B$18,Paramètres!$A$1:$I$89,5,0)</f>
        <v>-3.0061073630349716E-14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212.75657290802619</v>
      </c>
      <c r="HA202" s="59">
        <f t="shared" si="213"/>
        <v>411.47446316045978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2.7052587483557029</v>
      </c>
      <c r="HH202" s="21">
        <f>EXP(-LN(2)/25)*HH201+(1-EXP(-LN(2)/25))/(LN(2)/25)*Calculateur!HC202*Calculateur!HE202*VLOOKUP('Données projet'!$B$18,Paramètres!$A$1:$I$89,3,0)*0.475*44/12</f>
        <v>0.18372321230993569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2.8889819606656384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4.60745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46.96275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16.893983333333335</v>
      </c>
      <c r="H203" s="66">
        <f t="shared" si="192"/>
        <v>189.09073333333333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332.28179307795364</v>
      </c>
      <c r="S203" s="59">
        <f ca="1">AVERAGE(OFFSET($R$3,0,0,'Données projet'!$E$9+1,1))-AVERAGE(OFFSET($H$3,0,0,'Données projet'!$E$9+1,1))</f>
        <v>564.49981446852132</v>
      </c>
      <c r="T203" s="59">
        <f t="shared" si="204"/>
        <v>297.54722913785406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19.8100000000004</v>
      </c>
      <c r="AJ203" s="13">
        <f>AI203*VLOOKUP('Données projet'!$B$10,Paramètres!$A$1:$I$89,3,0)*VLOOKUP('Données projet'!$B$10,Paramètres!$A$1:$I$89,5,0)</f>
        <v>20.08734000000041</v>
      </c>
      <c r="AK203" s="13">
        <f t="shared" si="164"/>
        <v>6.5285137703520215</v>
      </c>
      <c r="AL203" s="20">
        <f t="shared" si="165"/>
        <v>46.355945316697152</v>
      </c>
      <c r="AM203" s="59">
        <f t="shared" si="193"/>
        <v>337.13850818879587</v>
      </c>
      <c r="AN203" s="59">
        <f ca="1">AVERAGE(OFFSET($AM$3,0,0,'Données projet'!$E$10+1,1))-AVERAGE(OFFSET($H$3,0,0,'Données projet'!$E$10+1,1))</f>
        <v>623.16549611107564</v>
      </c>
      <c r="AO203" s="59">
        <f t="shared" si="205"/>
        <v>326.15178903425885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79.183718291797788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79.183718291797788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266.99999999999983</v>
      </c>
      <c r="BE203" s="13">
        <f>BD203*VLOOKUP('Données projet'!$B$11,Paramètres!$A$1:$I$89,3,0)*VLOOKUP('Données projet'!$B$11,Paramètres!$A$1:$I$89,5,0)</f>
        <v>216.59039999999987</v>
      </c>
      <c r="BF203" s="13">
        <f t="shared" si="167"/>
        <v>53.373153688190904</v>
      </c>
      <c r="BG203" s="20">
        <f t="shared" si="168"/>
        <v>470.18652267359886</v>
      </c>
      <c r="BH203" s="59">
        <f t="shared" si="194"/>
        <v>760.96908554569757</v>
      </c>
      <c r="BI203" s="59">
        <f ca="1">AVERAGE(OFFSET($BH$3,0,0,'Données projet'!$E$11+1,1))-AVERAGE(OFFSET($H$3,0,0,'Données projet'!$E$11+1,1))</f>
        <v>326.2912419133811</v>
      </c>
      <c r="BJ203" s="59">
        <f t="shared" si="206"/>
        <v>315.07976787459938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4.1085418387423829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4.1085418387423829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243</v>
      </c>
      <c r="BZ203" s="13">
        <f>BY203*VLOOKUP('Données projet'!$B$12,Paramètres!$A$1:$I$89,3,0)*VLOOKUP('Données projet'!$B$12,Paramètres!$A$1:$I$89,5,0)</f>
        <v>155.4228</v>
      </c>
      <c r="CA203" s="13">
        <f t="shared" si="170"/>
        <v>39.808377687614154</v>
      </c>
      <c r="CB203" s="20">
        <f t="shared" si="171"/>
        <v>340.02763447259463</v>
      </c>
      <c r="CC203" s="59">
        <f t="shared" si="195"/>
        <v>630.81019734469328</v>
      </c>
      <c r="CD203" s="59">
        <f ca="1">AVERAGE(OFFSET($CC$3,0,0,'Données projet'!$E$12+1,1))-AVERAGE(OFFSET($H$3,0,0,'Données projet'!$E$12+1,1))</f>
        <v>297.03992602744393</v>
      </c>
      <c r="CE203" s="59">
        <f t="shared" si="207"/>
        <v>265.2588848922893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5.6724858335103034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5.6724858335103034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367.99999999999972</v>
      </c>
      <c r="CU203" s="17">
        <f>CT203*VLOOKUP('Données projet'!$B$13,Paramètres!$A$1:$I$89,3,0)*VLOOKUP('Données projet'!$B$13,Paramètres!$A$1:$I$89,5,0)</f>
        <v>292.78079999999977</v>
      </c>
      <c r="CV203" s="13">
        <f t="shared" si="173"/>
        <v>69.660903052386217</v>
      </c>
      <c r="CW203" s="20">
        <f t="shared" si="174"/>
        <v>631.25263281623893</v>
      </c>
      <c r="CX203" s="59">
        <f t="shared" si="196"/>
        <v>922.03519568833758</v>
      </c>
      <c r="CY203" s="59">
        <f ca="1">AVERAGE(OFFSET($CX$3,0,0,'Données projet'!$E$13+1,1))-AVERAGE(OFFSET($H$3,0,0,'Données projet'!$E$13+1,1))</f>
        <v>427.42918901489531</v>
      </c>
      <c r="CZ203" s="59">
        <f t="shared" si="208"/>
        <v>410.68601510655412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5.7241140062095868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5.7241140062095868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19.8100000000004</v>
      </c>
      <c r="DP203" s="17">
        <f>DO203*VLOOKUP('Données projet'!$B$14,Paramètres!$A$1:$I$89,3,0)*VLOOKUP('Données projet'!$B$14,Paramètres!$A$1:$I$89,5,0)</f>
        <v>19.160232000000388</v>
      </c>
      <c r="DQ203" s="13">
        <f t="shared" si="176"/>
        <v>6.2615431735370342</v>
      </c>
      <c r="DR203" s="20">
        <f t="shared" si="177"/>
        <v>44.27625842724435</v>
      </c>
      <c r="DS203" s="59">
        <f t="shared" si="197"/>
        <v>335.05882129934304</v>
      </c>
      <c r="DT203" s="59">
        <f ca="1">AVERAGE(OFFSET($DS$3,0,0,'Données projet'!$E$14+1,1))-AVERAGE(OFFSET($H$3,0,0,'Données projet'!$E$14+1,1))</f>
        <v>598.03945725240396</v>
      </c>
      <c r="DU203" s="59">
        <f t="shared" si="209"/>
        <v>313.9014686755695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75.529085139868641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75.529085139868641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19.8100000000004</v>
      </c>
      <c r="EK203" s="17">
        <f>EJ203*VLOOKUP('Données projet'!$B$15,Paramètres!$A$1:$I$89,3,0)*VLOOKUP('Données projet'!$B$15,Paramètres!$A$1:$I$89,5,0)</f>
        <v>13.288548000000269</v>
      </c>
      <c r="EL203" s="13">
        <f t="shared" si="179"/>
        <v>4.531654695205642</v>
      </c>
      <c r="EM203" s="20">
        <f t="shared" si="180"/>
        <v>31.036853027483627</v>
      </c>
      <c r="EN203" s="59">
        <f t="shared" si="198"/>
        <v>321.81941589958234</v>
      </c>
      <c r="EO203" s="59">
        <f ca="1">AVERAGE(OFFSET($EN$3,0,0,'Données projet'!$E$15+1,1))-AVERAGE(OFFSET($H$3,0,0,'Données projet'!$E$15+1,1))</f>
        <v>438.27475674276604</v>
      </c>
      <c r="EP203" s="59">
        <f t="shared" si="210"/>
        <v>235.97720136798864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64.565185684081229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64.565185684081229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5.2499999999990337</v>
      </c>
      <c r="FF203" s="17">
        <f>FE203*VLOOKUP('Données projet'!$B$16,Paramètres!$A$1:$I$89,3,0)*VLOOKUP('Données projet'!$B$16,Paramètres!$A$1:$I$89,5,0)</f>
        <v>2.4569999999995478</v>
      </c>
      <c r="FG203" s="13">
        <f t="shared" si="182"/>
        <v>1.0197977774625564</v>
      </c>
      <c r="FH203" s="20">
        <f t="shared" si="183"/>
        <v>6.0554227957464972</v>
      </c>
      <c r="FI203" s="59">
        <f t="shared" si="199"/>
        <v>296.8379856678452</v>
      </c>
      <c r="FJ203" s="59">
        <f ca="1">AVERAGE(OFFSET($FI$3,0,0,'Données projet'!$E$16+1,1))-AVERAGE(OFFSET($H$3,0,0,'Données projet'!$E$16+1,1))</f>
        <v>329.49463758169588</v>
      </c>
      <c r="FK203" s="59">
        <f t="shared" si="211"/>
        <v>207.1447698203379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40.061765676670383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40.061765676670383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763.00000000000057</v>
      </c>
      <c r="GA203" s="17">
        <f>FZ203*VLOOKUP('Données projet'!$B$17,Paramètres!$A$1:$I$89,3,0)*VLOOKUP('Données projet'!$B$17,Paramètres!$A$1:$I$89,5,0)</f>
        <v>456.2740000000004</v>
      </c>
      <c r="GB203" s="13">
        <f t="shared" si="185"/>
        <v>103.09649786611838</v>
      </c>
      <c r="GC203" s="20">
        <f t="shared" si="186"/>
        <v>974.23695045015677</v>
      </c>
      <c r="GD203" s="59">
        <f t="shared" si="200"/>
        <v>1265.0195133222555</v>
      </c>
      <c r="GE203" s="59">
        <f ca="1">AVERAGE(OFFSET($GD$3,0,0,'Données projet'!$E$17+1,1))-AVERAGE(OFFSET($H$3,0,0,'Données projet'!$E$17+1,1))</f>
        <v>577.07444926285291</v>
      </c>
      <c r="GF203" s="59">
        <f t="shared" si="212"/>
        <v>501.3762209070419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9.8838781690477635</v>
      </c>
      <c r="GM203" s="21">
        <f>EXP(-LN(2)/25)*GM202+(1-EXP(-LN(2)/25))/(LN(2)/25)*Calculateur!GH203*Calculateur!GJ203*VLOOKUP('Données projet'!$B$17,Paramètres!$A$1:$I$89,3,0)*0.475*44/12</f>
        <v>0.5871048740043795</v>
      </c>
      <c r="GN203" s="21">
        <f>EXP(-LN(2)/2)*GN202+(1-EXP(-LN(2)/2))/(LN(2)/2)*GH203*GK203*VLOOKUP('Données projet'!$B$17,Paramètres!$A$1:$I$89,3,0)*0.475*44/12</f>
        <v>2.0303991316297659E-27</v>
      </c>
      <c r="GO203" s="21">
        <f t="shared" si="187"/>
        <v>10.470983043052144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69.304335328754192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-5.6843418860808015E-14</v>
      </c>
      <c r="GV203" s="17">
        <f>GU203*VLOOKUP('Données projet'!$B$18,Paramètres!$A$1:$I$89,3,0)*VLOOKUP('Données projet'!$B$18,Paramètres!$A$1:$I$89,5,0)</f>
        <v>-3.0061073630349716E-14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212.75657290802619</v>
      </c>
      <c r="HA203" s="59">
        <f t="shared" si="213"/>
        <v>411.47446316045978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2.6522102743453555</v>
      </c>
      <c r="HH203" s="21">
        <f>EXP(-LN(2)/25)*HH202+(1-EXP(-LN(2)/25))/(LN(2)/25)*Calculateur!HC203*Calculateur!HE203*VLOOKUP('Données projet'!$B$18,Paramètres!$A$1:$I$89,3,0)*0.475*44/12</f>
        <v>0.17869929140773666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2.830909565753092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1.1736311550444201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1.1736311550493581</v>
      </c>
      <c r="BA205" s="81">
        <f>EXP(LN('Données projet'!B88)/'Données projet'!A88)</f>
        <v>1.2721747796233518</v>
      </c>
      <c r="BV205" s="81">
        <f>EXP(LN('Données projet'!B114)/'Données projet'!A114)</f>
        <v>1.4003603312913959</v>
      </c>
      <c r="CQ205" s="81">
        <f>EXP(LN('Données projet'!B140)/'Données projet'!A140)</f>
        <v>1.3423796509621049</v>
      </c>
      <c r="DL205" s="81">
        <f>EXP(LN('Données projet'!B166)/'Données projet'!A166)</f>
        <v>1.1736311550493581</v>
      </c>
      <c r="EG205" s="81">
        <f>EXP(LN('Données projet'!B192)/'Données projet'!A192)</f>
        <v>1.1736311550444201</v>
      </c>
      <c r="FB205" s="81">
        <f>EXP(LN('Données projet'!B218)/'Données projet'!A218)</f>
        <v>1.1808012106418171</v>
      </c>
      <c r="FW205" s="81">
        <f>EXP(LN('Données projet'!B244)/'Données projet'!A244)</f>
        <v>1.3826300153206645</v>
      </c>
      <c r="GR205" s="81">
        <f>EXP(LN('Données projet'!B270)/'Données projet'!A270)</f>
        <v>1.660847009958063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E18" sqref="E1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1.3431</v>
      </c>
      <c r="C6" s="145">
        <f ca="1">IF(OR('Données projet'!B9="",'Données projet'!C9="",'Données projet'!C9=0%),0,Calculateur!S3)</f>
        <v>564.49981446852132</v>
      </c>
      <c r="D6" s="145">
        <f>IF(OR('Données projet'!B9="",'Données projet'!C9="",'Données projet'!C9=0%),0,Calculateur!T3)</f>
        <v>297.54722913785406</v>
      </c>
      <c r="E6" s="145">
        <f ca="1">MIN(C6,D6)</f>
        <v>297.54722913785406</v>
      </c>
      <c r="F6" s="145">
        <f ca="1">E6*B6</f>
        <v>399.63568345505178</v>
      </c>
      <c r="G6" s="145">
        <f ca="1">F6*(100%-'Données projet'!$C$24)*(100%-'Données projet'!$C$25)*(100%-'Données projet'!$C$26)*(100%-'Données projet'!$C$27)</f>
        <v>359.67211510954661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359.67211510954661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2.42</v>
      </c>
      <c r="C7" s="145">
        <f ca="1">IF(OR('Données projet'!B10="",'Données projet'!C10="",'Données projet'!C10=0%),0,Calculateur!AN3)</f>
        <v>623.16549611107564</v>
      </c>
      <c r="D7" s="145">
        <f>IF(OR('Données projet'!B10="",'Données projet'!C10="",'Données projet'!C10=0%),0,Calculateur!AO3)</f>
        <v>326.15178903425885</v>
      </c>
      <c r="E7" s="145">
        <f t="shared" ref="E7:E15" ca="1" si="0">MIN(C7,D7)</f>
        <v>326.15178903425885</v>
      </c>
      <c r="F7" s="145">
        <f t="shared" ref="F7:F15" ca="1" si="1">E7*B7</f>
        <v>789.28732946290643</v>
      </c>
      <c r="G7" s="145">
        <f ca="1">F7*(100%-'Données projet'!$C$24)*(100%-'Données projet'!$C$25)*(100%-'Données projet'!$C$26)*(100%-'Données projet'!$C$27)</f>
        <v>710.35859651661576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710.35859651661576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Noyer</v>
      </c>
      <c r="B8" s="152">
        <f>'Données projet'!D11</f>
        <v>1.3431</v>
      </c>
      <c r="C8" s="145">
        <f ca="1">IF(OR('Données projet'!B11="",'Données projet'!C11="",'Données projet'!C11=0%),0,Calculateur!BI3)</f>
        <v>326.2912419133811</v>
      </c>
      <c r="D8" s="145">
        <f>IF(OR('Données projet'!B11="",'Données projet'!C11="",'Données projet'!C11=0%),0,Calculateur!BJ3)</f>
        <v>315.07976787459938</v>
      </c>
      <c r="E8" s="145">
        <f t="shared" ca="1" si="0"/>
        <v>315.07976787459938</v>
      </c>
      <c r="F8" s="145">
        <f t="shared" ca="1" si="1"/>
        <v>423.1836362323744</v>
      </c>
      <c r="G8" s="145">
        <f ca="1">F8*(100%-'Données projet'!$C$24)*(100%-'Données projet'!$C$25)*(100%-'Données projet'!$C$26)*(100%-'Données projet'!$C$27)</f>
        <v>380.86527260913698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33.241725000000002</v>
      </c>
      <c r="K8" s="149">
        <f>J8*(100%-'Données projet'!$C$24)*(100%-'Données projet'!$C$25)*(100%-'Données projet'!$C$26)*(100%-'Données projet'!$C$27)</f>
        <v>29.917552500000003</v>
      </c>
      <c r="L8" s="150">
        <f t="shared" ca="1" si="2"/>
        <v>410.78282510913698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Tulipier de Virginie</v>
      </c>
      <c r="B9" s="152">
        <f>'Données projet'!D12</f>
        <v>9.6799999999999997E-2</v>
      </c>
      <c r="C9" s="145">
        <f ca="1">IF(OR('Données projet'!B12="",'Données projet'!C12="",'Données projet'!C12=0%),0,Calculateur!CD3)</f>
        <v>297.03992602744393</v>
      </c>
      <c r="D9" s="145">
        <f>IF(OR('Données projet'!B12="",'Données projet'!C12="",'Données projet'!C12=0%),0,Calculateur!CE3)</f>
        <v>265.2588848922893</v>
      </c>
      <c r="E9" s="145">
        <f t="shared" ca="1" si="0"/>
        <v>265.2588848922893</v>
      </c>
      <c r="F9" s="145">
        <f t="shared" ca="1" si="1"/>
        <v>25.677060057573605</v>
      </c>
      <c r="G9" s="145">
        <f ca="1">F9*(100%-'Données projet'!$C$24)*(100%-'Données projet'!$C$25)*(100%-'Données projet'!$C$26)*(100%-'Données projet'!$C$27)</f>
        <v>23.109354051816247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2.5893999999999999</v>
      </c>
      <c r="K9" s="149">
        <f>J9*(100%-'Données projet'!$C$24)*(100%-'Données projet'!$C$25)*(100%-'Données projet'!$C$26)*(100%-'Données projet'!$C$27)</f>
        <v>2.33046</v>
      </c>
      <c r="L9" s="150">
        <f t="shared" ca="1" si="2"/>
        <v>25.439814051816246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Erable plane</v>
      </c>
      <c r="B10" s="152">
        <f>'Données projet'!D13</f>
        <v>0.72599999999999998</v>
      </c>
      <c r="C10" s="145">
        <f ca="1">IF(OR('Données projet'!B13="",'Données projet'!C13="",'Données projet'!C13=0%),0,Calculateur!CY3)</f>
        <v>427.42918901489531</v>
      </c>
      <c r="D10" s="145">
        <f>IF(OR('Données projet'!B13="",'Données projet'!C13="",'Données projet'!C13=0%),0,Calculateur!CZ3)</f>
        <v>410.68601510655412</v>
      </c>
      <c r="E10" s="145">
        <f t="shared" ca="1" si="0"/>
        <v>410.68601510655412</v>
      </c>
      <c r="F10" s="145">
        <f t="shared" ca="1" si="1"/>
        <v>298.1580469673583</v>
      </c>
      <c r="G10" s="145">
        <f ca="1">F10*(100%-'Données projet'!$C$24)*(100%-'Données projet'!$C$25)*(100%-'Données projet'!$C$26)*(100%-'Données projet'!$C$27)</f>
        <v>268.34224227062248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31.762499999999999</v>
      </c>
      <c r="K10" s="149">
        <f>J10*(100%-'Données projet'!$C$24)*(100%-'Données projet'!$C$25)*(100%-'Données projet'!$C$26)*(100%-'Données projet'!$C$27)</f>
        <v>28.58625</v>
      </c>
      <c r="L10" s="150">
        <f t="shared" ca="1" si="2"/>
        <v>296.92849227062248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Alisier torminal</v>
      </c>
      <c r="B11" s="152">
        <f>'Données projet'!D14</f>
        <v>0.72599999999999998</v>
      </c>
      <c r="C11" s="145">
        <f ca="1">IF(OR('Données projet'!B14="",'Données projet'!C14="",'Données projet'!C14=0%),0,Calculateur!DT3)</f>
        <v>598.03945725240396</v>
      </c>
      <c r="D11" s="145">
        <f>IF(OR('Données projet'!B14="",'Données projet'!C14="",'Données projet'!C14=0%),0,Calculateur!DU3)</f>
        <v>313.9014686755695</v>
      </c>
      <c r="E11" s="145">
        <f t="shared" ca="1" si="0"/>
        <v>313.9014686755695</v>
      </c>
      <c r="F11" s="145">
        <f t="shared" ca="1" si="1"/>
        <v>227.89246625846346</v>
      </c>
      <c r="G11" s="145">
        <f ca="1">F11*(100%-'Données projet'!$C$24)*(100%-'Données projet'!$C$25)*(100%-'Données projet'!$C$26)*(100%-'Données projet'!$C$27)</f>
        <v>205.10321963261711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205.10321963261711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Tilleul</v>
      </c>
      <c r="B12" s="152">
        <f>'Données projet'!D15</f>
        <v>0.72599999999999998</v>
      </c>
      <c r="C12" s="145">
        <f ca="1">IF(OR('Données projet'!B15="",'Données projet'!C15="",'Données projet'!C15=0%),0,Calculateur!EO3)</f>
        <v>438.27475674276604</v>
      </c>
      <c r="D12" s="145">
        <f>IF(OR('Données projet'!B15="",'Données projet'!C15="",'Données projet'!C15=0%),0,Calculateur!EP3)</f>
        <v>235.97720136798864</v>
      </c>
      <c r="E12" s="145">
        <f t="shared" ca="1" si="0"/>
        <v>235.97720136798864</v>
      </c>
      <c r="F12" s="145">
        <f t="shared" ca="1" si="1"/>
        <v>171.31944819315976</v>
      </c>
      <c r="G12" s="145">
        <f ca="1">F12*(100%-'Données projet'!$C$24)*(100%-'Données projet'!$C$25)*(100%-'Données projet'!$C$26)*(100%-'Données projet'!$C$27)</f>
        <v>154.18750337384378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ca="1" si="2"/>
        <v>154.18750337384378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Cèdre de l'Atlas</v>
      </c>
      <c r="B13" s="152">
        <f>'Données projet'!D16</f>
        <v>1.7544999999999997</v>
      </c>
      <c r="C13" s="145">
        <f ca="1">IF(OR('Données projet'!B16="",'Données projet'!C16="",'Données projet'!C16=0%),0,Calculateur!FJ3)</f>
        <v>329.49463758169588</v>
      </c>
      <c r="D13" s="145">
        <f>IF(OR('Données projet'!B16="",'Données projet'!C16="",'Données projet'!C16=0%),0,Calculateur!FK3)</f>
        <v>207.1447698203379</v>
      </c>
      <c r="E13" s="145">
        <f t="shared" ca="1" si="0"/>
        <v>207.1447698203379</v>
      </c>
      <c r="F13" s="145">
        <f t="shared" ca="1" si="1"/>
        <v>363.4354986497828</v>
      </c>
      <c r="G13" s="145">
        <f ca="1">F13*(100%-'Données projet'!$C$24)*(100%-'Données projet'!$C$25)*(100%-'Données projet'!$C$26)*(100%-'Données projet'!$C$27)</f>
        <v>327.09194878480452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ca="1" si="2"/>
        <v>327.09194878480452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Pin laricio</v>
      </c>
      <c r="B14" s="152">
        <f>'Données projet'!D17</f>
        <v>1.7544999999999997</v>
      </c>
      <c r="C14" s="145">
        <f ca="1">IF(OR('Données projet'!B17="",'Données projet'!C17="",'Données projet'!C17=0%),0,Calculateur!GE3)</f>
        <v>577.07444926285291</v>
      </c>
      <c r="D14" s="145">
        <f>IF(OR('Données projet'!B17="",'Données projet'!C17="",'Données projet'!C17=0%),0,Calculateur!GF3)</f>
        <v>501.3762209070419</v>
      </c>
      <c r="E14" s="145">
        <f t="shared" ca="1" si="0"/>
        <v>501.3762209070419</v>
      </c>
      <c r="F14" s="145">
        <f t="shared" ca="1" si="1"/>
        <v>879.66457958140484</v>
      </c>
      <c r="G14" s="145">
        <f ca="1">F14*(100%-'Données projet'!$C$24)*(100%-'Données projet'!$C$25)*(100%-'Données projet'!$C$26)*(100%-'Données projet'!$C$27)</f>
        <v>791.69812162326434</v>
      </c>
      <c r="H14" s="153">
        <f>IF(OR('Données projet'!B17="",'Données projet'!C17="",'Données projet'!C17=0%),0,AVERAGE(Calculateur!$GO$3:$GO$33)*B14)</f>
        <v>25.582190977208061</v>
      </c>
      <c r="I14" s="147">
        <f>H14*(100%-'Données projet'!$C$24)*(100%-'Données projet'!$C$25)*(100%-'Données projet'!$C$26)*(100%-'Données projet'!$C$27)</f>
        <v>23.023971879487256</v>
      </c>
      <c r="J14" s="148">
        <f>IF(OR('Données projet'!B17="",'Données projet'!C17="",'Données projet'!C17=0%),0,SUM(Calculateur!$GH$3:$GH$33)*VLOOKUP('Données projet'!$B$17,Paramètres!$A$1:$I$89,9,0)*B14)</f>
        <v>174.27448499999997</v>
      </c>
      <c r="K14" s="149">
        <f>J14*(100%-'Données projet'!$C$24)*(100%-'Données projet'!$C$25)*(100%-'Données projet'!$C$26)*(100%-'Données projet'!$C$27)</f>
        <v>156.84703649999997</v>
      </c>
      <c r="L14" s="150">
        <f t="shared" ca="1" si="2"/>
        <v>971.56913000275154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>Peuplier Brenta</v>
      </c>
      <c r="B15" s="155">
        <f>'Données projet'!D18</f>
        <v>1.1979</v>
      </c>
      <c r="C15" s="156">
        <f ca="1">IF(OR('Données projet'!B18="",'Données projet'!C18="",'Données projet'!C18=0%),0,Calculateur!GZ3)</f>
        <v>212.75657290802619</v>
      </c>
      <c r="D15" s="156">
        <f>IF(OR('Données projet'!B18="",'Données projet'!C18="",'Données projet'!C18=0%),0,Calculateur!HA3)</f>
        <v>411.47446316045978</v>
      </c>
      <c r="E15" s="156">
        <f t="shared" ca="1" si="0"/>
        <v>212.75657290802619</v>
      </c>
      <c r="F15" s="157">
        <f t="shared" ca="1" si="1"/>
        <v>254.86109868652457</v>
      </c>
      <c r="G15" s="157">
        <f ca="1">F15*(100%-'Données projet'!$C$24)*(100%-'Données projet'!$C$25)*(100%-'Données projet'!$C$26)*(100%-'Données projet'!$C$27)</f>
        <v>229.37498881787212</v>
      </c>
      <c r="H15" s="158">
        <f>IF(OR('Données projet'!B18="",'Données projet'!C18="",'Données projet'!C18=0%),0,AVERAGE(Calculateur!$HJ$3:$HJ$33)*B15)</f>
        <v>27.945170967092125</v>
      </c>
      <c r="I15" s="159">
        <f>H15*(100%-'Données projet'!$C$24)*(100%-'Données projet'!$C$25)*(100%-'Données projet'!$C$26)*(100%-'Données projet'!$C$27)</f>
        <v>25.150653870382914</v>
      </c>
      <c r="J15" s="160">
        <f>IF(OR('Données projet'!B18="",'Données projet'!C18="",'Données projet'!C18=0%),0,SUM(Calculateur!$HC$3:$HC$33)*VLOOKUP('Données projet'!$B$18,Paramètres!$A$1:$I$89,9,0)*B15)</f>
        <v>395.46057690725843</v>
      </c>
      <c r="K15" s="161">
        <f>J15*(100%-'Données projet'!$C$24)*(100%-'Données projet'!$C$25)*(100%-'Données projet'!$C$26)*(100%-'Données projet'!$C$27)</f>
        <v>355.9145192165326</v>
      </c>
      <c r="L15" s="162">
        <f t="shared" ca="1" si="2"/>
        <v>610.4401619047876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3833.1148475445998</v>
      </c>
      <c r="G16" s="164">
        <f t="shared" ca="1" si="3"/>
        <v>3449.80336279014</v>
      </c>
      <c r="H16" s="165">
        <f t="shared" si="3"/>
        <v>53.527361944300182</v>
      </c>
      <c r="I16" s="165">
        <f t="shared" si="3"/>
        <v>48.174625749870174</v>
      </c>
      <c r="J16" s="166">
        <f t="shared" si="3"/>
        <v>637.32868690725843</v>
      </c>
      <c r="K16" s="166">
        <f t="shared" si="3"/>
        <v>573.59581821653251</v>
      </c>
      <c r="L16" s="167">
        <f t="shared" ca="1" si="3"/>
        <v>4071.5738067565426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Noyer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Tulipier de Virginie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Erable plane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Tilleul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Cèdre de l'Atlas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Pin laricio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>Peuplier Brenta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N5" zoomScale="90" zoomScaleNormal="9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8516.4226104877307</v>
      </c>
      <c r="U10" s="176">
        <f>'Données projet'!D9</f>
        <v>1.3431</v>
      </c>
      <c r="V10" s="175">
        <f>U10*T10</f>
        <v>11438.407208146071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4878.3239553138701</v>
      </c>
      <c r="U11" s="176">
        <f>'Données projet'!D10</f>
        <v>2.42</v>
      </c>
      <c r="V11" s="175">
        <f t="shared" ref="V11" si="0">U11*T11</f>
        <v>11805.543971859564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Noyer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-1497.4840370585746</v>
      </c>
      <c r="U12" s="176">
        <f>'Données projet'!D11</f>
        <v>1.3431</v>
      </c>
      <c r="V12" s="175">
        <f t="shared" ref="V12:V19" si="1">U12*T12</f>
        <v>-2011.2708101733715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Tulipier de Virginie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-1007.9155011072556</v>
      </c>
      <c r="U13" s="176">
        <f>'Données projet'!D12</f>
        <v>9.6799999999999997E-2</v>
      </c>
      <c r="V13" s="175">
        <f t="shared" si="1"/>
        <v>-97.566220507182337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Erable plane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144.37620825162577</v>
      </c>
      <c r="U14" s="176">
        <f>'Données projet'!D13</f>
        <v>0.72599999999999998</v>
      </c>
      <c r="V14" s="175">
        <f t="shared" si="1"/>
        <v>104.81712719068031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Alisier torminal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-509.36406988584923</v>
      </c>
      <c r="U15" s="176">
        <f>'Données projet'!D14</f>
        <v>0.72599999999999998</v>
      </c>
      <c r="V15" s="175">
        <f t="shared" si="1"/>
        <v>-369.79831473712653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>Tilleul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-442.51406988584921</v>
      </c>
      <c r="U16" s="176">
        <f>'Données projet'!D15</f>
        <v>0.72599999999999998</v>
      </c>
      <c r="V16" s="175">
        <f t="shared" si="1"/>
        <v>-321.26521473712654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2653.58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Cèdre de l'Atlas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-437.7989452096009</v>
      </c>
      <c r="U17" s="176">
        <f>'Données projet'!D16</f>
        <v>1.7544999999999997</v>
      </c>
      <c r="V17" s="175">
        <f t="shared" si="1"/>
        <v>-768.11824937024471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>Pin laricio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2456.5886263761436</v>
      </c>
      <c r="U18" s="176">
        <f>'Données projet'!D17</f>
        <v>1.7544999999999997</v>
      </c>
      <c r="V18" s="175">
        <f t="shared" si="1"/>
        <v>4310.0847449769435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>Peuplier Brenta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4389.2584178983125</v>
      </c>
      <c r="U19" s="176">
        <f>'Données projet'!D18</f>
        <v>1.1979</v>
      </c>
      <c r="V19" s="175">
        <f t="shared" si="1"/>
        <v>5257.8926588003887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4095.22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1175.33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-33812.519309077717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>
        <v>235</v>
      </c>
      <c r="D24" s="180">
        <f t="shared" ref="D24:D42" si="2">B24*C24</f>
        <v>16351.3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>
        <v>235</v>
      </c>
      <c r="D25" s="180">
        <f t="shared" si="2"/>
        <v>11141.349999999999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-33812.519309077717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>
        <v>235</v>
      </c>
      <c r="D26" s="180">
        <f t="shared" si="2"/>
        <v>14363.199999999999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>
        <v>235</v>
      </c>
      <c r="D27" s="180">
        <f t="shared" si="2"/>
        <v>13686.4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>
        <v>235</v>
      </c>
      <c r="D28" s="180">
        <f t="shared" si="2"/>
        <v>12739.35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>
        <v>235</v>
      </c>
      <c r="D29" s="180">
        <f t="shared" si="2"/>
        <v>12236.45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>
        <v>235</v>
      </c>
      <c r="D30" s="180">
        <f t="shared" si="2"/>
        <v>13998.95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>
        <v>235</v>
      </c>
      <c r="D31" s="180">
        <f t="shared" si="2"/>
        <v>15157.5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>
        <v>235</v>
      </c>
      <c r="D32" s="180">
        <f t="shared" si="2"/>
        <v>14790.9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>
        <v>235</v>
      </c>
      <c r="D33" s="180">
        <f t="shared" si="2"/>
        <v>15735.599999999999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>
        <v>235</v>
      </c>
      <c r="D34" s="180">
        <f t="shared" si="2"/>
        <v>46168.1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>
        <v>235</v>
      </c>
      <c r="D35" s="180">
        <f t="shared" si="2"/>
        <v>23641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>
        <v>235</v>
      </c>
      <c r="D36" s="180">
        <f t="shared" si="2"/>
        <v>15279.699999999999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>
        <v>235</v>
      </c>
      <c r="D37" s="180">
        <f t="shared" si="2"/>
        <v>33802.400000000001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2788.34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35</v>
      </c>
      <c r="B55" s="179">
        <f>'Données projet'!D63</f>
        <v>69.58</v>
      </c>
      <c r="C55" s="189">
        <v>235</v>
      </c>
      <c r="D55" s="177">
        <f t="shared" ref="D55:D73" si="4">B55*C55</f>
        <v>16351.3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41</v>
      </c>
      <c r="B56" s="179">
        <f>'Données projet'!D64</f>
        <v>47.41</v>
      </c>
      <c r="C56" s="189">
        <v>235</v>
      </c>
      <c r="D56" s="177">
        <f t="shared" si="4"/>
        <v>11141.349999999999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48</v>
      </c>
      <c r="B57" s="179">
        <f>'Données projet'!D65</f>
        <v>61.12</v>
      </c>
      <c r="C57" s="189">
        <v>235</v>
      </c>
      <c r="D57" s="177">
        <f t="shared" si="4"/>
        <v>14363.199999999999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55</v>
      </c>
      <c r="B58" s="179">
        <f>'Données projet'!D66</f>
        <v>58.24</v>
      </c>
      <c r="C58" s="189">
        <v>235</v>
      </c>
      <c r="D58" s="177">
        <f t="shared" si="4"/>
        <v>13686.4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str">
        <f>IF(O57+1&lt;=MIN('Données projet'!$E$9:$E$18),O57+1,"STOP")</f>
        <v>STOP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63</v>
      </c>
      <c r="B59" s="179">
        <f>'Données projet'!D67</f>
        <v>54.21</v>
      </c>
      <c r="C59" s="189">
        <v>235</v>
      </c>
      <c r="D59" s="177">
        <f t="shared" si="4"/>
        <v>12739.35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71</v>
      </c>
      <c r="B60" s="179">
        <f>'Données projet'!D68</f>
        <v>52.07</v>
      </c>
      <c r="C60" s="189">
        <v>235</v>
      </c>
      <c r="D60" s="177">
        <f t="shared" si="4"/>
        <v>12236.45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80</v>
      </c>
      <c r="B61" s="179">
        <f>'Données projet'!D69</f>
        <v>59.57</v>
      </c>
      <c r="C61" s="189">
        <v>235</v>
      </c>
      <c r="D61" s="177">
        <f t="shared" si="4"/>
        <v>13998.95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89</v>
      </c>
      <c r="B62" s="179">
        <f>'Données projet'!D70</f>
        <v>64.5</v>
      </c>
      <c r="C62" s="189">
        <v>235</v>
      </c>
      <c r="D62" s="177">
        <f t="shared" si="4"/>
        <v>15157.5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99</v>
      </c>
      <c r="B63" s="179">
        <f>'Données projet'!D71</f>
        <v>62.94</v>
      </c>
      <c r="C63" s="189">
        <v>235</v>
      </c>
      <c r="D63" s="177">
        <f t="shared" si="4"/>
        <v>14790.9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109</v>
      </c>
      <c r="B64" s="179">
        <f>'Données projet'!D72</f>
        <v>66.959999999999994</v>
      </c>
      <c r="C64" s="189">
        <v>235</v>
      </c>
      <c r="D64" s="177">
        <f t="shared" si="4"/>
        <v>15735.599999999999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119</v>
      </c>
      <c r="B65" s="179">
        <f>'Données projet'!D73</f>
        <v>196.46</v>
      </c>
      <c r="C65" s="189">
        <v>235</v>
      </c>
      <c r="D65" s="177">
        <f t="shared" si="4"/>
        <v>46168.1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123</v>
      </c>
      <c r="B66" s="179">
        <f>'Données projet'!D74</f>
        <v>100.6</v>
      </c>
      <c r="C66" s="189">
        <v>235</v>
      </c>
      <c r="D66" s="177">
        <f t="shared" si="4"/>
        <v>23641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127</v>
      </c>
      <c r="B67" s="179">
        <f>'Données projet'!D75</f>
        <v>65.02</v>
      </c>
      <c r="C67" s="189">
        <v>235</v>
      </c>
      <c r="D67" s="177">
        <f t="shared" si="4"/>
        <v>15279.699999999999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131</v>
      </c>
      <c r="B68" s="179">
        <f>'Données projet'!D76</f>
        <v>143.84</v>
      </c>
      <c r="C68" s="189">
        <v>235</v>
      </c>
      <c r="D68" s="177">
        <f t="shared" si="4"/>
        <v>33802.400000000001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Noyer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3287.39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15</v>
      </c>
      <c r="C85" s="189">
        <v>20</v>
      </c>
      <c r="D85" s="177">
        <f>B85*C85</f>
        <v>300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28</v>
      </c>
      <c r="C86" s="189">
        <v>20</v>
      </c>
      <c r="D86" s="177">
        <f t="shared" ref="D86:D104" si="6">B86*C86</f>
        <v>560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28</v>
      </c>
      <c r="C87" s="189">
        <v>20</v>
      </c>
      <c r="D87" s="177">
        <f t="shared" si="6"/>
        <v>560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28</v>
      </c>
      <c r="C88" s="189">
        <v>20</v>
      </c>
      <c r="D88" s="177">
        <f t="shared" si="6"/>
        <v>560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28</v>
      </c>
      <c r="C89" s="189">
        <v>55</v>
      </c>
      <c r="D89" s="177">
        <f t="shared" si="6"/>
        <v>1540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28</v>
      </c>
      <c r="C90" s="189">
        <v>55</v>
      </c>
      <c r="D90" s="177">
        <f t="shared" si="6"/>
        <v>1540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22</v>
      </c>
      <c r="C91" s="189">
        <v>55</v>
      </c>
      <c r="D91" s="177">
        <f t="shared" si="6"/>
        <v>1210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17</v>
      </c>
      <c r="C92" s="189">
        <v>55</v>
      </c>
      <c r="D92" s="177">
        <f t="shared" si="6"/>
        <v>935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13</v>
      </c>
      <c r="C93" s="189">
        <v>55</v>
      </c>
      <c r="D93" s="177">
        <f t="shared" si="6"/>
        <v>715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12</v>
      </c>
      <c r="C94" s="189">
        <v>55</v>
      </c>
      <c r="D94" s="177">
        <f t="shared" si="6"/>
        <v>660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11</v>
      </c>
      <c r="C95" s="189">
        <v>55</v>
      </c>
      <c r="D95" s="177">
        <f t="shared" si="6"/>
        <v>605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10</v>
      </c>
      <c r="C96" s="189">
        <v>55</v>
      </c>
      <c r="D96" s="177">
        <f t="shared" si="6"/>
        <v>550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9</v>
      </c>
      <c r="C97" s="189">
        <v>55</v>
      </c>
      <c r="D97" s="177">
        <f t="shared" si="6"/>
        <v>495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8</v>
      </c>
      <c r="C98" s="189">
        <v>55</v>
      </c>
      <c r="D98" s="177">
        <f t="shared" si="6"/>
        <v>440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Tulipier de Virginie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3098.73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0</v>
      </c>
      <c r="C116" s="189">
        <v>20</v>
      </c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0</v>
      </c>
      <c r="C117" s="189">
        <v>20</v>
      </c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54</v>
      </c>
      <c r="C118" s="189">
        <v>20</v>
      </c>
      <c r="D118" s="177">
        <f t="shared" si="8"/>
        <v>1080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26</v>
      </c>
      <c r="C119" s="189">
        <v>20</v>
      </c>
      <c r="D119" s="177">
        <f t="shared" si="8"/>
        <v>520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27</v>
      </c>
      <c r="C120" s="189">
        <v>20</v>
      </c>
      <c r="D120" s="177">
        <f t="shared" si="8"/>
        <v>540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27</v>
      </c>
      <c r="C121" s="189">
        <v>55</v>
      </c>
      <c r="D121" s="177">
        <f t="shared" si="8"/>
        <v>1485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27</v>
      </c>
      <c r="C122" s="189">
        <v>55</v>
      </c>
      <c r="D122" s="177">
        <f t="shared" si="8"/>
        <v>1485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26</v>
      </c>
      <c r="C123" s="189">
        <v>55</v>
      </c>
      <c r="D123" s="177">
        <f t="shared" si="8"/>
        <v>1430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24</v>
      </c>
      <c r="C124" s="189">
        <v>55</v>
      </c>
      <c r="D124" s="177">
        <f t="shared" si="8"/>
        <v>1320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23</v>
      </c>
      <c r="C125" s="189">
        <v>55</v>
      </c>
      <c r="D125" s="177">
        <f t="shared" si="8"/>
        <v>1265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21</v>
      </c>
      <c r="C126" s="189">
        <v>55</v>
      </c>
      <c r="D126" s="177">
        <f t="shared" si="8"/>
        <v>1155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20</v>
      </c>
      <c r="C127" s="189">
        <v>55</v>
      </c>
      <c r="D127" s="177">
        <f t="shared" si="8"/>
        <v>1100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18</v>
      </c>
      <c r="C128" s="189">
        <v>55</v>
      </c>
      <c r="D128" s="177">
        <f t="shared" si="8"/>
        <v>990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16</v>
      </c>
      <c r="C129" s="189">
        <v>55</v>
      </c>
      <c r="D129" s="177">
        <f t="shared" si="8"/>
        <v>880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15</v>
      </c>
      <c r="C130" s="189">
        <v>55</v>
      </c>
      <c r="D130" s="177">
        <f t="shared" si="8"/>
        <v>825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85</v>
      </c>
      <c r="B131" s="179">
        <f>'Données projet'!D129</f>
        <v>14</v>
      </c>
      <c r="C131" s="189">
        <v>55</v>
      </c>
      <c r="D131" s="177">
        <f t="shared" si="8"/>
        <v>770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90</v>
      </c>
      <c r="B132" s="179">
        <f>'Données projet'!D130</f>
        <v>12</v>
      </c>
      <c r="C132" s="189">
        <v>55</v>
      </c>
      <c r="D132" s="177">
        <f t="shared" si="8"/>
        <v>660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95</v>
      </c>
      <c r="B133" s="179">
        <f>'Données projet'!D131</f>
        <v>12</v>
      </c>
      <c r="C133" s="189">
        <v>55</v>
      </c>
      <c r="D133" s="177">
        <f t="shared" si="8"/>
        <v>660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100</v>
      </c>
      <c r="B134" s="179">
        <f>'Données projet'!D132</f>
        <v>12</v>
      </c>
      <c r="C134" s="189">
        <v>55</v>
      </c>
      <c r="D134" s="177">
        <f t="shared" si="8"/>
        <v>660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Erable plane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2722.54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3">
        <f>'Données projet'!D140</f>
        <v>7</v>
      </c>
      <c r="C147" s="189">
        <v>20</v>
      </c>
      <c r="D147" s="180">
        <f>B147*C147</f>
        <v>140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3">
        <f>'Données projet'!D141</f>
        <v>42</v>
      </c>
      <c r="C148" s="189">
        <v>20</v>
      </c>
      <c r="D148" s="180">
        <f t="shared" ref="D148:D166" si="10">B148*C148</f>
        <v>840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3">
        <f>'Données projet'!D142</f>
        <v>42</v>
      </c>
      <c r="C149" s="189">
        <v>20</v>
      </c>
      <c r="D149" s="180">
        <f t="shared" si="10"/>
        <v>840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3">
        <f>'Données projet'!D143</f>
        <v>42</v>
      </c>
      <c r="C150" s="189">
        <v>20</v>
      </c>
      <c r="D150" s="180">
        <f t="shared" si="10"/>
        <v>840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3">
        <f>'Données projet'!D144</f>
        <v>42</v>
      </c>
      <c r="C151" s="189">
        <v>20</v>
      </c>
      <c r="D151" s="180">
        <f t="shared" si="10"/>
        <v>840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3">
        <f>'Données projet'!D145</f>
        <v>42</v>
      </c>
      <c r="C152" s="189">
        <v>55</v>
      </c>
      <c r="D152" s="180">
        <f t="shared" si="10"/>
        <v>2310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3">
        <f>'Données projet'!D146</f>
        <v>40</v>
      </c>
      <c r="C153" s="189">
        <v>55</v>
      </c>
      <c r="D153" s="180">
        <f t="shared" si="10"/>
        <v>2200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3">
        <f>'Données projet'!D147</f>
        <v>26</v>
      </c>
      <c r="C154" s="189">
        <v>55</v>
      </c>
      <c r="D154" s="180">
        <f t="shared" si="10"/>
        <v>1430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3">
        <f>'Données projet'!D148</f>
        <v>21</v>
      </c>
      <c r="C155" s="189">
        <v>55</v>
      </c>
      <c r="D155" s="180">
        <f t="shared" si="10"/>
        <v>1155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3">
        <f>'Données projet'!D149</f>
        <v>18</v>
      </c>
      <c r="C156" s="189">
        <v>55</v>
      </c>
      <c r="D156" s="180">
        <f t="shared" si="10"/>
        <v>990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3">
        <f>'Données projet'!D150</f>
        <v>17</v>
      </c>
      <c r="C157" s="189">
        <v>55</v>
      </c>
      <c r="D157" s="180">
        <f t="shared" si="10"/>
        <v>935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3">
        <f>'Données projet'!D151</f>
        <v>16</v>
      </c>
      <c r="C158" s="189">
        <v>55</v>
      </c>
      <c r="D158" s="180">
        <f t="shared" si="10"/>
        <v>880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3">
        <f>'Données projet'!D152</f>
        <v>15</v>
      </c>
      <c r="C159" s="189">
        <v>55</v>
      </c>
      <c r="D159" s="180">
        <f t="shared" si="10"/>
        <v>825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3">
        <f>'Données projet'!D153</f>
        <v>14</v>
      </c>
      <c r="C160" s="189">
        <v>55</v>
      </c>
      <c r="D160" s="180">
        <f t="shared" si="10"/>
        <v>770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3">
        <f>'Données projet'!D154</f>
        <v>13</v>
      </c>
      <c r="C161" s="189">
        <v>55</v>
      </c>
      <c r="D161" s="180">
        <f t="shared" si="10"/>
        <v>715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Alisier torminal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3123.62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30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35</v>
      </c>
      <c r="B179" s="179">
        <f>'Données projet'!D167</f>
        <v>69.58</v>
      </c>
      <c r="C179" s="191">
        <v>55</v>
      </c>
      <c r="D179" s="177">
        <f t="shared" ref="D179:D197" si="11">B179*C179</f>
        <v>3826.9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41</v>
      </c>
      <c r="B180" s="179">
        <f>'Données projet'!D168</f>
        <v>47.41</v>
      </c>
      <c r="C180" s="191">
        <v>55</v>
      </c>
      <c r="D180" s="177">
        <f t="shared" si="11"/>
        <v>2607.5499999999997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48</v>
      </c>
      <c r="B181" s="179">
        <f>'Données projet'!D169</f>
        <v>61.12</v>
      </c>
      <c r="C181" s="191">
        <v>55</v>
      </c>
      <c r="D181" s="177">
        <f t="shared" si="11"/>
        <v>3361.6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55</v>
      </c>
      <c r="B182" s="179">
        <f>'Données projet'!D170</f>
        <v>58.24</v>
      </c>
      <c r="C182" s="191">
        <v>55</v>
      </c>
      <c r="D182" s="177">
        <f t="shared" si="11"/>
        <v>3203.2000000000003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63</v>
      </c>
      <c r="B183" s="179">
        <f>'Données projet'!D171</f>
        <v>54.21</v>
      </c>
      <c r="C183" s="191">
        <v>55</v>
      </c>
      <c r="D183" s="177">
        <f t="shared" si="11"/>
        <v>2981.55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71</v>
      </c>
      <c r="B184" s="179">
        <f>'Données projet'!D172</f>
        <v>52.07</v>
      </c>
      <c r="C184" s="191">
        <v>55</v>
      </c>
      <c r="D184" s="177">
        <f t="shared" si="11"/>
        <v>2863.85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80</v>
      </c>
      <c r="B185" s="179">
        <f>'Données projet'!D173</f>
        <v>59.57</v>
      </c>
      <c r="C185" s="191">
        <v>55</v>
      </c>
      <c r="D185" s="177">
        <f t="shared" si="11"/>
        <v>3276.35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89</v>
      </c>
      <c r="B186" s="179">
        <f>'Données projet'!D174</f>
        <v>64.5</v>
      </c>
      <c r="C186" s="191">
        <v>55</v>
      </c>
      <c r="D186" s="177">
        <f t="shared" si="11"/>
        <v>3547.5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99</v>
      </c>
      <c r="B187" s="179">
        <f>'Données projet'!D175</f>
        <v>62.94</v>
      </c>
      <c r="C187" s="191">
        <v>55</v>
      </c>
      <c r="D187" s="177">
        <f t="shared" si="11"/>
        <v>3461.7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109</v>
      </c>
      <c r="B188" s="179">
        <f>'Données projet'!D176</f>
        <v>66.959999999999994</v>
      </c>
      <c r="C188" s="191">
        <v>55</v>
      </c>
      <c r="D188" s="177">
        <f t="shared" si="11"/>
        <v>3682.7999999999997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119</v>
      </c>
      <c r="B189" s="179">
        <f>'Données projet'!D177</f>
        <v>196.46</v>
      </c>
      <c r="C189" s="191">
        <v>55</v>
      </c>
      <c r="D189" s="177">
        <f t="shared" si="11"/>
        <v>10805.300000000001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123</v>
      </c>
      <c r="B190" s="179">
        <f>'Données projet'!D178</f>
        <v>100.6</v>
      </c>
      <c r="C190" s="191">
        <v>55</v>
      </c>
      <c r="D190" s="177">
        <f t="shared" si="11"/>
        <v>5533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127</v>
      </c>
      <c r="B191" s="179">
        <f>'Données projet'!D179</f>
        <v>65.02</v>
      </c>
      <c r="C191" s="191">
        <v>55</v>
      </c>
      <c r="D191" s="177">
        <f t="shared" si="11"/>
        <v>3576.1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131</v>
      </c>
      <c r="B192" s="179">
        <f>'Données projet'!D180</f>
        <v>143.84</v>
      </c>
      <c r="C192" s="191">
        <v>55</v>
      </c>
      <c r="D192" s="177">
        <f t="shared" si="11"/>
        <v>7911.2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Tilleul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3056.77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30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35</v>
      </c>
      <c r="B210" s="179">
        <f>'Données projet'!D193</f>
        <v>69.58</v>
      </c>
      <c r="C210" s="191">
        <v>55</v>
      </c>
      <c r="D210" s="177">
        <f t="shared" ref="D210:D228" si="12">B210*C210</f>
        <v>3826.9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41</v>
      </c>
      <c r="B211" s="179">
        <f>'Données projet'!D194</f>
        <v>47.41</v>
      </c>
      <c r="C211" s="191">
        <v>55</v>
      </c>
      <c r="D211" s="177">
        <f t="shared" si="12"/>
        <v>2607.5499999999997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48</v>
      </c>
      <c r="B212" s="179">
        <f>'Données projet'!D195</f>
        <v>61.12</v>
      </c>
      <c r="C212" s="191">
        <v>55</v>
      </c>
      <c r="D212" s="177">
        <f t="shared" si="12"/>
        <v>3361.6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55</v>
      </c>
      <c r="B213" s="179">
        <f>'Données projet'!D196</f>
        <v>58.24</v>
      </c>
      <c r="C213" s="191">
        <v>55</v>
      </c>
      <c r="D213" s="177">
        <f t="shared" si="12"/>
        <v>3203.2000000000003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63</v>
      </c>
      <c r="B214" s="179">
        <f>'Données projet'!D197</f>
        <v>54.21</v>
      </c>
      <c r="C214" s="191">
        <v>55</v>
      </c>
      <c r="D214" s="177">
        <f t="shared" si="12"/>
        <v>2981.55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71</v>
      </c>
      <c r="B215" s="179">
        <f>'Données projet'!D198</f>
        <v>52.07</v>
      </c>
      <c r="C215" s="191">
        <v>55</v>
      </c>
      <c r="D215" s="177">
        <f t="shared" si="12"/>
        <v>2863.85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80</v>
      </c>
      <c r="B216" s="179">
        <f>'Données projet'!D199</f>
        <v>59.57</v>
      </c>
      <c r="C216" s="191">
        <v>55</v>
      </c>
      <c r="D216" s="177">
        <f t="shared" si="12"/>
        <v>3276.35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89</v>
      </c>
      <c r="B217" s="179">
        <f>'Données projet'!D200</f>
        <v>64.5</v>
      </c>
      <c r="C217" s="191">
        <v>55</v>
      </c>
      <c r="D217" s="177">
        <f t="shared" si="12"/>
        <v>3547.5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99</v>
      </c>
      <c r="B218" s="179">
        <f>'Données projet'!D201</f>
        <v>62.94</v>
      </c>
      <c r="C218" s="191">
        <v>55</v>
      </c>
      <c r="D218" s="177">
        <f t="shared" si="12"/>
        <v>3461.7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109</v>
      </c>
      <c r="B219" s="179">
        <f>'Données projet'!D202</f>
        <v>66.959999999999994</v>
      </c>
      <c r="C219" s="191">
        <v>55</v>
      </c>
      <c r="D219" s="177">
        <f t="shared" si="12"/>
        <v>3682.7999999999997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119</v>
      </c>
      <c r="B220" s="179">
        <f>'Données projet'!D203</f>
        <v>196.46</v>
      </c>
      <c r="C220" s="191">
        <v>55</v>
      </c>
      <c r="D220" s="177">
        <f t="shared" si="12"/>
        <v>10805.300000000001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123</v>
      </c>
      <c r="B221" s="179">
        <f>'Données projet'!D204</f>
        <v>100.6</v>
      </c>
      <c r="C221" s="191">
        <v>55</v>
      </c>
      <c r="D221" s="177">
        <f t="shared" si="12"/>
        <v>5533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127</v>
      </c>
      <c r="B222" s="179">
        <f>'Données projet'!D205</f>
        <v>65.02</v>
      </c>
      <c r="C222" s="191">
        <v>55</v>
      </c>
      <c r="D222" s="177">
        <f t="shared" si="12"/>
        <v>3576.1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131</v>
      </c>
      <c r="B223" s="179">
        <f>'Données projet'!D206</f>
        <v>143.84</v>
      </c>
      <c r="C223" s="191">
        <v>55</v>
      </c>
      <c r="D223" s="177">
        <f t="shared" si="12"/>
        <v>7911.2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Cèdre de l'Atlas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2887.35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30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42</v>
      </c>
      <c r="B241" s="179">
        <f>'Données projet'!D219</f>
        <v>105.41</v>
      </c>
      <c r="C241" s="191">
        <v>45</v>
      </c>
      <c r="D241" s="177">
        <f t="shared" ref="D241:D259" si="13">B241*C241</f>
        <v>4743.45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50</v>
      </c>
      <c r="B242" s="179">
        <f>'Données projet'!D220</f>
        <v>106.51</v>
      </c>
      <c r="C242" s="191">
        <v>45</v>
      </c>
      <c r="D242" s="177">
        <f t="shared" si="13"/>
        <v>4792.95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58</v>
      </c>
      <c r="B243" s="179">
        <f>'Données projet'!D221</f>
        <v>87.34</v>
      </c>
      <c r="C243" s="191">
        <v>45</v>
      </c>
      <c r="D243" s="177">
        <f t="shared" si="13"/>
        <v>3930.3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66</v>
      </c>
      <c r="B244" s="179">
        <f>'Données projet'!D222</f>
        <v>87.73</v>
      </c>
      <c r="C244" s="191">
        <v>45</v>
      </c>
      <c r="D244" s="177">
        <f t="shared" si="13"/>
        <v>3947.8500000000004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75</v>
      </c>
      <c r="B245" s="179">
        <f>'Données projet'!D223</f>
        <v>87.99</v>
      </c>
      <c r="C245" s="191">
        <v>45</v>
      </c>
      <c r="D245" s="177">
        <f t="shared" si="13"/>
        <v>3959.5499999999997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83</v>
      </c>
      <c r="B246" s="179">
        <f>'Données projet'!D224</f>
        <v>90.24</v>
      </c>
      <c r="C246" s="191">
        <v>45</v>
      </c>
      <c r="D246" s="177">
        <f t="shared" si="13"/>
        <v>4060.7999999999997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91</v>
      </c>
      <c r="B247" s="179">
        <f>'Données projet'!D225</f>
        <v>260.64</v>
      </c>
      <c r="C247" s="191">
        <v>45</v>
      </c>
      <c r="D247" s="177">
        <f t="shared" si="13"/>
        <v>11728.8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101</v>
      </c>
      <c r="B248" s="179">
        <f>'Données projet'!D226</f>
        <v>351.18</v>
      </c>
      <c r="C248" s="191">
        <v>45</v>
      </c>
      <c r="D248" s="177">
        <f t="shared" si="13"/>
        <v>15803.1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Pin laricio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1442.1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15</v>
      </c>
      <c r="B271" s="179">
        <f>'Données projet'!D244</f>
        <v>21</v>
      </c>
      <c r="C271" s="191">
        <v>20</v>
      </c>
      <c r="D271" s="177">
        <f>B271*C271</f>
        <v>420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20</v>
      </c>
      <c r="B272" s="179">
        <f>'Données projet'!D245</f>
        <v>70</v>
      </c>
      <c r="C272" s="191">
        <v>20</v>
      </c>
      <c r="D272" s="177">
        <f t="shared" ref="D272:D290" si="14">B272*C272</f>
        <v>1400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25</v>
      </c>
      <c r="B273" s="179">
        <f>'Données projet'!D246</f>
        <v>70</v>
      </c>
      <c r="C273" s="191">
        <v>20</v>
      </c>
      <c r="D273" s="177">
        <f t="shared" si="14"/>
        <v>1400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30</v>
      </c>
      <c r="B274" s="179">
        <f>'Données projet'!D247</f>
        <v>70</v>
      </c>
      <c r="C274" s="191">
        <v>20</v>
      </c>
      <c r="D274" s="177">
        <f t="shared" si="14"/>
        <v>1400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35</v>
      </c>
      <c r="B275" s="179">
        <f>'Données projet'!D248</f>
        <v>70</v>
      </c>
      <c r="C275" s="191">
        <v>41</v>
      </c>
      <c r="D275" s="177">
        <f t="shared" si="14"/>
        <v>2870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40</v>
      </c>
      <c r="B276" s="179">
        <f>'Données projet'!D249</f>
        <v>70</v>
      </c>
      <c r="C276" s="191">
        <v>41</v>
      </c>
      <c r="D276" s="177">
        <f t="shared" si="14"/>
        <v>2870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45</v>
      </c>
      <c r="B277" s="179">
        <f>'Données projet'!D250</f>
        <v>64</v>
      </c>
      <c r="C277" s="191">
        <v>41</v>
      </c>
      <c r="D277" s="177">
        <f t="shared" si="14"/>
        <v>2624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50</v>
      </c>
      <c r="B278" s="179">
        <f>'Données projet'!D251</f>
        <v>56</v>
      </c>
      <c r="C278" s="191">
        <v>41</v>
      </c>
      <c r="D278" s="177">
        <f t="shared" si="14"/>
        <v>2296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55</v>
      </c>
      <c r="B279" s="179">
        <f>'Données projet'!D252</f>
        <v>48</v>
      </c>
      <c r="C279" s="191">
        <v>41</v>
      </c>
      <c r="D279" s="177">
        <f t="shared" si="14"/>
        <v>1968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60</v>
      </c>
      <c r="B280" s="179">
        <f>'Données projet'!D253</f>
        <v>42</v>
      </c>
      <c r="C280" s="191">
        <v>41</v>
      </c>
      <c r="D280" s="177">
        <f t="shared" si="14"/>
        <v>1722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65</v>
      </c>
      <c r="B281" s="179">
        <f>'Données projet'!D254</f>
        <v>37</v>
      </c>
      <c r="C281" s="191">
        <v>41</v>
      </c>
      <c r="D281" s="177">
        <f t="shared" si="14"/>
        <v>1517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70</v>
      </c>
      <c r="B282" s="179">
        <f>'Données projet'!D255</f>
        <v>34</v>
      </c>
      <c r="C282" s="191">
        <v>41</v>
      </c>
      <c r="D282" s="177">
        <f t="shared" si="14"/>
        <v>1394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75</v>
      </c>
      <c r="B283" s="179">
        <f>'Données projet'!D256</f>
        <v>33</v>
      </c>
      <c r="C283" s="191">
        <v>41</v>
      </c>
      <c r="D283" s="177">
        <f t="shared" si="14"/>
        <v>1353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80</v>
      </c>
      <c r="B284" s="179">
        <f>'Données projet'!D257</f>
        <v>32</v>
      </c>
      <c r="C284" s="191">
        <v>41</v>
      </c>
      <c r="D284" s="177">
        <f t="shared" si="14"/>
        <v>1312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Peuplier Brenta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2074.46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9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14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19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24</v>
      </c>
      <c r="B305" s="179">
        <f>'Données projet'!D273</f>
        <v>320.51282049999998</v>
      </c>
      <c r="C305" s="189">
        <v>58</v>
      </c>
      <c r="D305" s="180">
        <f t="shared" si="15"/>
        <v>18589.743588999998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2025-07-11T12:45:04Z</dcterms:modified>
</cp:coreProperties>
</file>